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drawings/drawing17.xml" ContentType="application/vnd.openxmlformats-officedocument.drawingml.chartshapes+xml"/>
  <Override PartName="/xl/charts/chart27.xml" ContentType="application/vnd.openxmlformats-officedocument.drawingml.chart+xml"/>
  <Override PartName="/xl/drawings/drawing18.xml" ContentType="application/vnd.openxmlformats-officedocument.drawingml.chartshapes+xml"/>
  <Override PartName="/xl/charts/chart28.xml" ContentType="application/vnd.openxmlformats-officedocument.drawingml.chart+xml"/>
  <Override PartName="/xl/drawings/drawing19.xml" ContentType="application/vnd.openxmlformats-officedocument.drawingml.chartshapes+xml"/>
  <Override PartName="/xl/charts/chart29.xml" ContentType="application/vnd.openxmlformats-officedocument.drawingml.chart+xml"/>
  <Override PartName="/xl/drawings/drawing20.xml" ContentType="application/vnd.openxmlformats-officedocument.drawingml.chartshapes+xml"/>
  <Override PartName="/xl/charts/chart30.xml" ContentType="application/vnd.openxmlformats-officedocument.drawingml.chart+xml"/>
  <Override PartName="/xl/drawings/drawing21.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22.xml" ContentType="application/vnd.openxmlformats-officedocument.drawingml.chartshapes+xml"/>
  <Override PartName="/xl/charts/chart33.xml" ContentType="application/vnd.openxmlformats-officedocument.drawingml.chart+xml"/>
  <Override PartName="/xl/drawings/drawing23.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drawings/drawing26.xml" ContentType="application/vnd.openxmlformats-officedocument.drawingml.chartshapes+xml"/>
  <Override PartName="/xl/charts/chart44.xml" ContentType="application/vnd.openxmlformats-officedocument.drawingml.chart+xml"/>
  <Override PartName="/xl/drawings/drawing27.xml" ContentType="application/vnd.openxmlformats-officedocument.drawingml.chartshapes+xml"/>
  <Override PartName="/xl/charts/chart45.xml" ContentType="application/vnd.openxmlformats-officedocument.drawingml.chart+xml"/>
  <Override PartName="/xl/drawings/drawing28.xml" ContentType="application/vnd.openxmlformats-officedocument.drawingml.chartshapes+xml"/>
  <Override PartName="/xl/charts/chart46.xml" ContentType="application/vnd.openxmlformats-officedocument.drawingml.chart+xml"/>
  <Override PartName="/xl/drawings/drawing29.xml" ContentType="application/vnd.openxmlformats-officedocument.drawingml.chartshapes+xml"/>
  <Override PartName="/xl/charts/chart47.xml" ContentType="application/vnd.openxmlformats-officedocument.drawingml.chart+xml"/>
  <Override PartName="/xl/drawings/drawing30.xml" ContentType="application/vnd.openxmlformats-officedocument.drawingml.chartshapes+xml"/>
  <Override PartName="/xl/charts/chart48.xml" ContentType="application/vnd.openxmlformats-officedocument.drawingml.chart+xml"/>
  <Override PartName="/xl/drawings/drawing31.xml" ContentType="application/vnd.openxmlformats-officedocument.drawingml.chartshapes+xml"/>
  <Override PartName="/xl/charts/chart49.xml" ContentType="application/vnd.openxmlformats-officedocument.drawingml.chart+xml"/>
  <Override PartName="/xl/drawings/drawing32.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230" yWindow="-15" windowWidth="10275" windowHeight="7830" tabRatio="640"/>
  </bookViews>
  <sheets>
    <sheet name="メイン" sheetId="2" r:id="rId1"/>
    <sheet name="外観図" sheetId="61" r:id="rId2"/>
    <sheet name="係数" sheetId="53" r:id="rId3"/>
    <sheet name="配慮" sheetId="3" r:id="rId4"/>
    <sheet name="スコア入力" sheetId="4" r:id="rId5"/>
    <sheet name="計画書_後" sheetId="54" r:id="rId6"/>
    <sheet name="計画書_前" sheetId="59" r:id="rId7"/>
    <sheet name="境界値" sheetId="57" r:id="rId8"/>
    <sheet name="性能表示(改修後)" sheetId="63" r:id="rId9"/>
    <sheet name="性能表示(改修前)" sheetId="64" r:id="rId10"/>
    <sheet name="結果(改修後)" sheetId="9" r:id="rId11"/>
    <sheet name="結果(改修前)" sheetId="10" r:id="rId12"/>
    <sheet name="改修前後の比較" sheetId="11" r:id="rId13"/>
    <sheet name="配慮事項（表示）" sheetId="65" r:id="rId14"/>
    <sheet name="スコア表示" sheetId="8" r:id="rId15"/>
    <sheet name="スコア（重点項目）（改修後）" sheetId="70" r:id="rId16"/>
    <sheet name="スコア（重点項目）（改修前）" sheetId="71" r:id="rId17"/>
    <sheet name="条件(標準)_後" sheetId="12" r:id="rId18"/>
    <sheet name="条件(標準)_前" sheetId="15" r:id="rId19"/>
    <sheet name="条件(個別)_後" sheetId="13" r:id="rId20"/>
    <sheet name="条件(個別)_前" sheetId="16" r:id="rId21"/>
    <sheet name="CO2計算_後" sheetId="55" r:id="rId22"/>
    <sheet name="CO2計算_前" sheetId="60" r:id="rId23"/>
    <sheet name="CO2データ" sheetId="33" r:id="rId24"/>
    <sheet name="重み_後" sheetId="22" r:id="rId25"/>
    <sheet name="重み_前" sheetId="47" r:id="rId26"/>
    <sheet name="重み_対象外" sheetId="21" r:id="rId27"/>
    <sheet name="改修後の重み（重点項目）" sheetId="72" r:id="rId28"/>
    <sheet name="改修前の重み（重点項目）" sheetId="73" r:id="rId29"/>
    <sheet name="クレジット" sheetId="23" r:id="rId30"/>
  </sheets>
  <externalReferences>
    <externalReference r:id="rId31"/>
    <externalReference r:id="rId32"/>
    <externalReference r:id="rId33"/>
    <externalReference r:id="rId34"/>
    <externalReference r:id="rId35"/>
    <externalReference r:id="rId36"/>
  </externalReferences>
  <definedNames>
    <definedName name="Cell_計算種別" localSheetId="15">[1]省エネメニュー!$L$2</definedName>
    <definedName name="Cell_計算種別" localSheetId="16">[1]省エネメニュー!$L$2</definedName>
    <definedName name="Cell_計算種別" localSheetId="27">[2]省エネメニュー!$L$2</definedName>
    <definedName name="Cell_計算種別" localSheetId="28">[2]省エネメニュー!$L$2</definedName>
    <definedName name="Cell_計算種別" localSheetId="8">[2]省エネメニュー!$L$2</definedName>
    <definedName name="Cell_計算種別" localSheetId="9">[2]省エネメニュー!$L$2</definedName>
    <definedName name="Cell_計算種別" localSheetId="13">[1]省エネメニュー!$L$2</definedName>
    <definedName name="Cell_計算種別">[1]省エネメニュー!$L$2</definedName>
    <definedName name="Cell_東電温暖化用HEMS削減効果" localSheetId="15">'[3]070507住宅マクロ条件一覧'!$V$196</definedName>
    <definedName name="Cell_東電温暖化用HEMS削減効果" localSheetId="16">'[3]070507住宅マクロ条件一覧'!$V$196</definedName>
    <definedName name="Cell_東電温暖化用HEMS削減効果" localSheetId="27">'[4]070507住宅マクロ条件一覧'!$V$196</definedName>
    <definedName name="Cell_東電温暖化用HEMS削減効果" localSheetId="28">'[4]070507住宅マクロ条件一覧'!$V$196</definedName>
    <definedName name="Cell_東電温暖化用HEMS削減効果" localSheetId="8">'[4]070507住宅マクロ条件一覧'!$V$196</definedName>
    <definedName name="Cell_東電温暖化用HEMS削減効果" localSheetId="9">'[4]070507住宅マクロ条件一覧'!$V$196</definedName>
    <definedName name="Cell_東電温暖化用HEMS削減効果" localSheetId="13">'[3]070507住宅マクロ条件一覧'!$V$196</definedName>
    <definedName name="Cell_東電温暖化用HEMS削減効果">'[3]070507住宅マクロ条件一覧'!$V$196</definedName>
    <definedName name="_xlnm.Print_Area" localSheetId="23">CO2データ!$A$1:$R$278</definedName>
    <definedName name="_xlnm.Print_Area" localSheetId="21">CO2計算_後!$B$1:$Z$179</definedName>
    <definedName name="_xlnm.Print_Area" localSheetId="22">CO2計算_前!$B$1:$Z$179</definedName>
    <definedName name="_xlnm.Print_Area" localSheetId="29">クレジット!$A$1:$S$37</definedName>
    <definedName name="_xlnm.Print_Area" localSheetId="15">'スコア（重点項目）（改修後）'!$A$1:$J$43</definedName>
    <definedName name="_xlnm.Print_Area" localSheetId="16">'スコア（重点項目）（改修前）'!$A$1:$J$43</definedName>
    <definedName name="_xlnm.Print_Area" localSheetId="4">スコア入力!$A$2:$Z$181</definedName>
    <definedName name="_xlnm.Print_Area" localSheetId="14">スコア表示!$A$2:$V$181</definedName>
    <definedName name="_xlnm.Print_Area" localSheetId="0">メイン!$A$1:$K$71</definedName>
    <definedName name="_xlnm.Print_Area" localSheetId="12">改修前後の比較!$B$1:$O$89</definedName>
    <definedName name="_xlnm.Print_Area" localSheetId="2">係数!$A$1:$L$48</definedName>
    <definedName name="_xlnm.Print_Area" localSheetId="5">計画書_後!$1:$121</definedName>
    <definedName name="_xlnm.Print_Area" localSheetId="6">計画書_前!$1:$121</definedName>
    <definedName name="_xlnm.Print_Area" localSheetId="10">'結果(改修後)'!$A$1:$P$97</definedName>
    <definedName name="_xlnm.Print_Area" localSheetId="11">'結果(改修前)'!$A$1:$P$97</definedName>
    <definedName name="_xlnm.Print_Area" localSheetId="24">重み_後!$A$1:$AQ$181</definedName>
    <definedName name="_xlnm.Print_Area" localSheetId="25">重み_前!$A$1:$AF$181</definedName>
    <definedName name="_xlnm.Print_Area" localSheetId="26">重み_対象外!$A$1:$Z$181</definedName>
    <definedName name="_xlnm.Print_Area" localSheetId="8">'性能表示(改修後)'!$A$1:$P$62</definedName>
    <definedName name="_xlnm.Print_Area" localSheetId="9">'性能表示(改修前)'!$A$1:$P$66</definedName>
    <definedName name="_xlnm.Print_Titles" localSheetId="27">'改修後の重み（重点項目）'!$6:$7</definedName>
    <definedName name="_xlnm.Print_Titles" localSheetId="28">'改修前の重み（重点項目）'!$6:$7</definedName>
    <definedName name="_xlnm.Print_Titles" localSheetId="24">重み_後!$5:$6</definedName>
    <definedName name="_xlnm.Print_Titles" localSheetId="25">重み_前!$5:$6</definedName>
    <definedName name="_xlnm.Print_Titles" localSheetId="26">重み_対象外!$5:$6</definedName>
    <definedName name="Z_047384A4_E844_4BB4_B522_1CE13C4699E4_.wvu.Cols" localSheetId="23" hidden="1">CO2データ!$G:$H,CO2データ!$S:$IV</definedName>
    <definedName name="Z_047384A4_E844_4BB4_B522_1CE13C4699E4_.wvu.Cols" localSheetId="21" hidden="1">CO2計算_後!$Q:$IV</definedName>
    <definedName name="Z_047384A4_E844_4BB4_B522_1CE13C4699E4_.wvu.Cols" localSheetId="22" hidden="1">CO2計算_前!$Q:$IV</definedName>
    <definedName name="Z_047384A4_E844_4BB4_B522_1CE13C4699E4_.wvu.Cols" localSheetId="25" hidden="1">重み_前!$Q:$Q,重み_前!$AY:$AY,重み_前!$BP:$BP,重み_前!$CF:$IV</definedName>
    <definedName name="Z_047384A4_E844_4BB4_B522_1CE13C4699E4_.wvu.PrintArea" localSheetId="23" hidden="1">CO2データ!$A$1:$R$278</definedName>
    <definedName name="Z_047384A4_E844_4BB4_B522_1CE13C4699E4_.wvu.PrintArea" localSheetId="21" hidden="1">CO2計算_後!$B$1:$Z$179</definedName>
    <definedName name="Z_047384A4_E844_4BB4_B522_1CE13C4699E4_.wvu.PrintArea" localSheetId="22" hidden="1">CO2計算_前!$B$1:$Z$179</definedName>
    <definedName name="Z_047384A4_E844_4BB4_B522_1CE13C4699E4_.wvu.PrintArea" localSheetId="25" hidden="1">重み_前!$A$1:$CD$180</definedName>
    <definedName name="Z_047384A4_E844_4BB4_B522_1CE13C4699E4_.wvu.PrintTitles" localSheetId="25" hidden="1">重み_前!$5:$6</definedName>
    <definedName name="Z_047384A4_E844_4BB4_B522_1CE13C4699E4_.wvu.Rows" localSheetId="23" hidden="1">CO2データ!$280:$65552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$167:$167,CO2データ!$173:$173,CO2データ!$180:$180,CO2データ!#REF!,CO2データ!$270:$270,CO2データ!$279:$279</definedName>
    <definedName name="Z_047384A4_E844_4BB4_B522_1CE13C4699E4_.wvu.Rows" localSheetId="21" hidden="1">CO2計算_後!$175:$65539,CO2計算_後!$26:$99,CO2計算_後!$139:$174</definedName>
    <definedName name="Z_047384A4_E844_4BB4_B522_1CE13C4699E4_.wvu.Rows" localSheetId="22" hidden="1">CO2計算_前!$175:$65539,CO2計算_前!$26:$99,CO2計算_前!$139:$174</definedName>
    <definedName name="Z_047384A4_E844_4BB4_B522_1CE13C4699E4_.wvu.Rows" localSheetId="25" hidden="1">重み_前!$219:$65540,重み_前!$32:$33,重み_前!$96:$96,重み_前!$115:$115,重み_前!$132:$132,重み_前!$182:$218</definedName>
    <definedName name="衛code" localSheetId="15">#REF!</definedName>
    <definedName name="衛code" localSheetId="16">#REF!</definedName>
    <definedName name="衛code" localSheetId="27">#REF!</definedName>
    <definedName name="衛code" localSheetId="28">#REF!</definedName>
    <definedName name="衛code" localSheetId="8">#REF!</definedName>
    <definedName name="衛code" localSheetId="9">#REF!</definedName>
    <definedName name="衛code" localSheetId="13">#REF!</definedName>
    <definedName name="衛code">#REF!</definedName>
    <definedName name="衛kg" localSheetId="15">#REF!</definedName>
    <definedName name="衛kg" localSheetId="16">#REF!</definedName>
    <definedName name="衛kg" localSheetId="27">#REF!</definedName>
    <definedName name="衛kg" localSheetId="28">#REF!</definedName>
    <definedName name="衛kg" localSheetId="8">#REF!</definedName>
    <definedName name="衛kg" localSheetId="9">#REF!</definedName>
    <definedName name="衛kg" localSheetId="13">#REF!</definedName>
    <definedName name="衛kg">#REF!</definedName>
    <definedName name="空code" localSheetId="15">#REF!</definedName>
    <definedName name="空code" localSheetId="16">#REF!</definedName>
    <definedName name="空code" localSheetId="27">#REF!</definedName>
    <definedName name="空code" localSheetId="28">#REF!</definedName>
    <definedName name="空code" localSheetId="8">#REF!</definedName>
    <definedName name="空code" localSheetId="9">#REF!</definedName>
    <definedName name="空code" localSheetId="13">#REF!</definedName>
    <definedName name="空code">#REF!</definedName>
    <definedName name="空kg" localSheetId="15">#REF!</definedName>
    <definedName name="空kg" localSheetId="16">#REF!</definedName>
    <definedName name="空kg" localSheetId="27">#REF!</definedName>
    <definedName name="空kg" localSheetId="28">#REF!</definedName>
    <definedName name="空kg" localSheetId="8">#REF!</definedName>
    <definedName name="空kg" localSheetId="9">#REF!</definedName>
    <definedName name="空kg" localSheetId="13">#REF!</definedName>
    <definedName name="空kg">#REF!</definedName>
    <definedName name="資材原単" localSheetId="15">[5]⑬原単位!$A$2:$L$2</definedName>
    <definedName name="資材原単" localSheetId="16">[5]⑬原単位!$A$2:$L$2</definedName>
    <definedName name="資材原単" localSheetId="27">[6]⑬原単位!$A$2:$L$2</definedName>
    <definedName name="資材原単" localSheetId="28">[6]⑬原単位!$A$2:$L$2</definedName>
    <definedName name="資材原単" localSheetId="8">[6]⑬原単位!$A$2:$L$2</definedName>
    <definedName name="資材原単" localSheetId="9">[6]⑬原単位!$A$2:$L$2</definedName>
    <definedName name="資材原単" localSheetId="13">[5]⑬原単位!$A$2:$L$2</definedName>
    <definedName name="資材原単">[5]⑬原単位!$A$2:$L$2</definedName>
    <definedName name="昇code" localSheetId="15">#REF!</definedName>
    <definedName name="昇code" localSheetId="16">#REF!</definedName>
    <definedName name="昇code" localSheetId="27">#REF!</definedName>
    <definedName name="昇code" localSheetId="28">#REF!</definedName>
    <definedName name="昇code" localSheetId="8">#REF!</definedName>
    <definedName name="昇code" localSheetId="9">#REF!</definedName>
    <definedName name="昇code" localSheetId="13">#REF!</definedName>
    <definedName name="昇code">#REF!</definedName>
    <definedName name="昇kg" localSheetId="15">#REF!</definedName>
    <definedName name="昇kg" localSheetId="16">#REF!</definedName>
    <definedName name="昇kg" localSheetId="27">#REF!</definedName>
    <definedName name="昇kg" localSheetId="28">#REF!</definedName>
    <definedName name="昇kg" localSheetId="8">#REF!</definedName>
    <definedName name="昇kg" localSheetId="9">#REF!</definedName>
    <definedName name="昇kg" localSheetId="13">#REF!</definedName>
    <definedName name="昇kg">#REF!</definedName>
    <definedName name="設備品目code" localSheetId="15">#REF!</definedName>
    <definedName name="設備品目code" localSheetId="16">#REF!</definedName>
    <definedName name="設備品目code" localSheetId="27">#REF!</definedName>
    <definedName name="設備品目code" localSheetId="28">#REF!</definedName>
    <definedName name="設備品目code" localSheetId="8">#REF!</definedName>
    <definedName name="設備品目code" localSheetId="9">#REF!</definedName>
    <definedName name="設備品目code" localSheetId="13">#REF!</definedName>
    <definedName name="設備品目code">#REF!</definedName>
    <definedName name="設備品目kg1" localSheetId="15">#REF!</definedName>
    <definedName name="設備品目kg1" localSheetId="16">#REF!</definedName>
    <definedName name="設備品目kg1" localSheetId="27">#REF!</definedName>
    <definedName name="設備品目kg1" localSheetId="28">#REF!</definedName>
    <definedName name="設備品目kg1" localSheetId="8">#REF!</definedName>
    <definedName name="設備品目kg1" localSheetId="9">#REF!</definedName>
    <definedName name="設備品目kg1" localSheetId="13">#REF!</definedName>
    <definedName name="設備品目kg1">#REF!</definedName>
    <definedName name="設備品目kg2" localSheetId="15">#REF!</definedName>
    <definedName name="設備品目kg2" localSheetId="16">#REF!</definedName>
    <definedName name="設備品目kg2" localSheetId="27">#REF!</definedName>
    <definedName name="設備品目kg2" localSheetId="28">#REF!</definedName>
    <definedName name="設備品目kg2" localSheetId="8">#REF!</definedName>
    <definedName name="設備品目kg2" localSheetId="9">#REF!</definedName>
    <definedName name="設備品目kg2" localSheetId="13">#REF!</definedName>
    <definedName name="設備品目kg2">#REF!</definedName>
    <definedName name="設備品目kg3" localSheetId="15">#REF!</definedName>
    <definedName name="設備品目kg3" localSheetId="16">#REF!</definedName>
    <definedName name="設備品目kg3" localSheetId="27">#REF!</definedName>
    <definedName name="設備品目kg3" localSheetId="28">#REF!</definedName>
    <definedName name="設備品目kg3" localSheetId="8">#REF!</definedName>
    <definedName name="設備品目kg3" localSheetId="9">#REF!</definedName>
    <definedName name="設備品目kg3" localSheetId="13">#REF!</definedName>
    <definedName name="設備品目kg3">#REF!</definedName>
    <definedName name="設備品目kg4" localSheetId="15">#REF!</definedName>
    <definedName name="設備品目kg4" localSheetId="16">#REF!</definedName>
    <definedName name="設備品目kg4" localSheetId="27">#REF!</definedName>
    <definedName name="設備品目kg4" localSheetId="28">#REF!</definedName>
    <definedName name="設備品目kg4" localSheetId="8">#REF!</definedName>
    <definedName name="設備品目kg4" localSheetId="9">#REF!</definedName>
    <definedName name="設備品目kg4" localSheetId="13">#REF!</definedName>
    <definedName name="設備品目kg4">#REF!</definedName>
    <definedName name="電code" localSheetId="15">#REF!</definedName>
    <definedName name="電code" localSheetId="16">#REF!</definedName>
    <definedName name="電code" localSheetId="27">#REF!</definedName>
    <definedName name="電code" localSheetId="28">#REF!</definedName>
    <definedName name="電code" localSheetId="8">#REF!</definedName>
    <definedName name="電code" localSheetId="9">#REF!</definedName>
    <definedName name="電code" localSheetId="13">#REF!</definedName>
    <definedName name="電code">#REF!</definedName>
    <definedName name="電kg" localSheetId="15">#REF!</definedName>
    <definedName name="電kg" localSheetId="16">#REF!</definedName>
    <definedName name="電kg" localSheetId="27">#REF!</definedName>
    <definedName name="電kg" localSheetId="28">#REF!</definedName>
    <definedName name="電kg" localSheetId="8">#REF!</definedName>
    <definedName name="電kg" localSheetId="9">#REF!</definedName>
    <definedName name="電kg" localSheetId="13">#REF!</definedName>
    <definedName name="電kg">#REF!</definedName>
  </definedNames>
  <calcPr calcId="145621"/>
</workbook>
</file>

<file path=xl/calcChain.xml><?xml version="1.0" encoding="utf-8"?>
<calcChain xmlns="http://schemas.openxmlformats.org/spreadsheetml/2006/main">
  <c r="J7" i="71" l="1"/>
  <c r="J7" i="70"/>
  <c r="D16" i="53" l="1"/>
  <c r="B22" i="65" l="1"/>
  <c r="B21" i="65"/>
  <c r="B19" i="65"/>
  <c r="B17" i="65"/>
  <c r="B15" i="65"/>
  <c r="B13" i="65"/>
  <c r="B11" i="65"/>
  <c r="B9" i="65"/>
  <c r="B7" i="65"/>
  <c r="B20" i="65"/>
  <c r="B18" i="65"/>
  <c r="B16" i="65"/>
  <c r="B14" i="65"/>
  <c r="B12" i="65"/>
  <c r="B10" i="65"/>
  <c r="B8" i="65"/>
  <c r="E15" i="64"/>
  <c r="D11" i="64"/>
  <c r="D9" i="64"/>
  <c r="D18" i="63"/>
  <c r="J17" i="63"/>
  <c r="E17" i="63"/>
  <c r="J16" i="63"/>
  <c r="E16" i="63"/>
  <c r="J15" i="63"/>
  <c r="E15" i="63"/>
  <c r="J14" i="63"/>
  <c r="J13" i="63"/>
  <c r="F13" i="63"/>
  <c r="D13" i="63"/>
  <c r="J12" i="63"/>
  <c r="D12" i="63"/>
  <c r="J11" i="63"/>
  <c r="D11" i="63"/>
  <c r="J10" i="63"/>
  <c r="D10" i="63"/>
  <c r="J9" i="63"/>
  <c r="D9" i="63"/>
  <c r="J8" i="63"/>
  <c r="D8" i="63"/>
  <c r="N20" i="63"/>
  <c r="N19" i="63"/>
  <c r="N18" i="63"/>
  <c r="N17" i="63"/>
  <c r="F35" i="70"/>
  <c r="F34" i="70"/>
  <c r="F33" i="70"/>
  <c r="F32" i="70"/>
  <c r="F31" i="70"/>
  <c r="F29" i="70"/>
  <c r="F28" i="70"/>
  <c r="F27" i="70"/>
  <c r="F26" i="70"/>
  <c r="F24" i="70"/>
  <c r="F23" i="70"/>
  <c r="F22" i="70"/>
  <c r="F21" i="70"/>
  <c r="F20" i="70"/>
  <c r="F18" i="70"/>
  <c r="F17" i="70"/>
  <c r="F16" i="70"/>
  <c r="F15" i="70"/>
  <c r="F14" i="70"/>
  <c r="F13" i="70"/>
  <c r="F12" i="70"/>
  <c r="F11" i="70"/>
  <c r="F35" i="71"/>
  <c r="F34" i="71"/>
  <c r="F33" i="71"/>
  <c r="F28" i="71"/>
  <c r="F27" i="71"/>
  <c r="F24" i="71"/>
  <c r="F18" i="71"/>
  <c r="F17" i="71"/>
  <c r="H5" i="71"/>
  <c r="D5" i="71"/>
  <c r="H5" i="70"/>
  <c r="D5" i="70"/>
  <c r="P35" i="71" l="1"/>
  <c r="P34" i="71"/>
  <c r="T34" i="71" s="1"/>
  <c r="G34" i="71" s="1"/>
  <c r="P33" i="71"/>
  <c r="P32" i="71"/>
  <c r="T32" i="71" s="1"/>
  <c r="G32" i="71" s="1"/>
  <c r="P31" i="71"/>
  <c r="P29" i="71"/>
  <c r="T29" i="71" s="1"/>
  <c r="G29" i="71" s="1"/>
  <c r="P28" i="71"/>
  <c r="P27" i="71"/>
  <c r="T27" i="71" s="1"/>
  <c r="G27" i="71" s="1"/>
  <c r="P26" i="71"/>
  <c r="P24" i="71"/>
  <c r="T24" i="71" s="1"/>
  <c r="G24" i="71" s="1"/>
  <c r="P23" i="71"/>
  <c r="P22" i="71"/>
  <c r="P21" i="71"/>
  <c r="P20" i="71"/>
  <c r="T20" i="71" s="1"/>
  <c r="G20" i="71" s="1"/>
  <c r="R8" i="71"/>
  <c r="P8" i="71"/>
  <c r="P35" i="70"/>
  <c r="T35" i="70" s="1"/>
  <c r="G35" i="70" s="1"/>
  <c r="P34" i="70"/>
  <c r="P33" i="70"/>
  <c r="T33" i="70" s="1"/>
  <c r="G33" i="70" s="1"/>
  <c r="P32" i="70"/>
  <c r="P31" i="70"/>
  <c r="T31" i="70" s="1"/>
  <c r="G31" i="70" s="1"/>
  <c r="P29" i="70"/>
  <c r="T29" i="70" s="1"/>
  <c r="G29" i="70" s="1"/>
  <c r="P28" i="70"/>
  <c r="T28" i="70" s="1"/>
  <c r="G28" i="70" s="1"/>
  <c r="P27" i="70"/>
  <c r="T27" i="70" s="1"/>
  <c r="G27" i="70" s="1"/>
  <c r="P26" i="70"/>
  <c r="T26" i="70" s="1"/>
  <c r="G26" i="70" s="1"/>
  <c r="P24" i="70"/>
  <c r="T24" i="70" s="1"/>
  <c r="G24" i="70" s="1"/>
  <c r="P23" i="70"/>
  <c r="T23" i="70" s="1"/>
  <c r="G23" i="70" s="1"/>
  <c r="P22" i="70"/>
  <c r="T22" i="70" s="1"/>
  <c r="G22" i="70" s="1"/>
  <c r="P21" i="70"/>
  <c r="T21" i="70" s="1"/>
  <c r="G21" i="70" s="1"/>
  <c r="P20" i="70"/>
  <c r="T20" i="70" s="1"/>
  <c r="G20" i="70" s="1"/>
  <c r="R8" i="70"/>
  <c r="P8" i="70"/>
  <c r="H68" i="9"/>
  <c r="B68" i="9"/>
  <c r="H66" i="9"/>
  <c r="B66" i="9"/>
  <c r="H66" i="10"/>
  <c r="B66" i="10"/>
  <c r="H68" i="10"/>
  <c r="B68" i="10"/>
  <c r="AA8" i="73"/>
  <c r="Z8" i="73"/>
  <c r="Y8" i="73"/>
  <c r="AD8" i="73" s="1"/>
  <c r="X8" i="73"/>
  <c r="AC8" i="73" s="1"/>
  <c r="W8" i="73"/>
  <c r="AB8" i="73" s="1"/>
  <c r="V8" i="73"/>
  <c r="U8" i="73"/>
  <c r="T8" i="73"/>
  <c r="S8" i="73"/>
  <c r="E8" i="73"/>
  <c r="D8" i="73" s="1"/>
  <c r="E8" i="72"/>
  <c r="D8" i="72" s="1"/>
  <c r="AA8" i="72"/>
  <c r="Z8" i="72"/>
  <c r="Y8" i="72"/>
  <c r="AD8" i="72" s="1"/>
  <c r="X8" i="72"/>
  <c r="AC8" i="72" s="1"/>
  <c r="W8" i="72"/>
  <c r="AB8" i="72" s="1"/>
  <c r="V8" i="72"/>
  <c r="U8" i="72"/>
  <c r="T8" i="72"/>
  <c r="S8" i="72"/>
  <c r="AD9" i="72"/>
  <c r="Y9" i="72" s="1"/>
  <c r="AC9" i="72"/>
  <c r="AB9" i="72"/>
  <c r="W9" i="72" s="1"/>
  <c r="L35" i="73"/>
  <c r="K35" i="73"/>
  <c r="L34" i="73"/>
  <c r="K34" i="73"/>
  <c r="L33" i="73"/>
  <c r="K33" i="73"/>
  <c r="L32" i="73"/>
  <c r="K32" i="73"/>
  <c r="L31" i="73"/>
  <c r="K31" i="73"/>
  <c r="L29" i="73"/>
  <c r="K29" i="73"/>
  <c r="L28" i="73"/>
  <c r="K28" i="73"/>
  <c r="L27" i="73"/>
  <c r="K27" i="73"/>
  <c r="L26" i="73"/>
  <c r="K26" i="73"/>
  <c r="L24" i="73"/>
  <c r="K24" i="73"/>
  <c r="L23" i="73"/>
  <c r="K23" i="73"/>
  <c r="L22" i="73"/>
  <c r="K22" i="73"/>
  <c r="L21" i="73"/>
  <c r="K21" i="73"/>
  <c r="L20" i="73"/>
  <c r="K20" i="73"/>
  <c r="L18" i="73"/>
  <c r="K18" i="73"/>
  <c r="L17" i="73"/>
  <c r="K17" i="73"/>
  <c r="L16" i="73"/>
  <c r="K16" i="73"/>
  <c r="L15" i="73"/>
  <c r="L14" i="73"/>
  <c r="L13" i="73"/>
  <c r="K13" i="73"/>
  <c r="L12" i="73"/>
  <c r="K12" i="73"/>
  <c r="L11" i="73"/>
  <c r="K11" i="73"/>
  <c r="AD9" i="73"/>
  <c r="Y9" i="73" s="1"/>
  <c r="AC9" i="73"/>
  <c r="AB9" i="73"/>
  <c r="L35" i="72"/>
  <c r="K35" i="72"/>
  <c r="L34" i="72"/>
  <c r="K34" i="72"/>
  <c r="L33" i="72"/>
  <c r="K33" i="72"/>
  <c r="L32" i="72"/>
  <c r="K32" i="72"/>
  <c r="L31" i="72"/>
  <c r="K31" i="72"/>
  <c r="L29" i="72"/>
  <c r="K29" i="72"/>
  <c r="L28" i="72"/>
  <c r="K28" i="72"/>
  <c r="L27" i="72"/>
  <c r="K27" i="72"/>
  <c r="L26" i="72"/>
  <c r="K26" i="72"/>
  <c r="L24" i="72"/>
  <c r="K24" i="72"/>
  <c r="L23" i="72"/>
  <c r="K23" i="72"/>
  <c r="L22" i="72"/>
  <c r="K22" i="72"/>
  <c r="L21" i="72"/>
  <c r="K21" i="72"/>
  <c r="L20" i="72"/>
  <c r="K20" i="72"/>
  <c r="L18" i="72"/>
  <c r="K18" i="72"/>
  <c r="L17" i="72"/>
  <c r="K17" i="72"/>
  <c r="L16" i="72"/>
  <c r="K16" i="72"/>
  <c r="L15" i="72"/>
  <c r="L14" i="72"/>
  <c r="L13" i="72"/>
  <c r="K13" i="72"/>
  <c r="L12" i="72"/>
  <c r="K12" i="72"/>
  <c r="L11" i="72"/>
  <c r="K11" i="72"/>
  <c r="AD40" i="73"/>
  <c r="AC40" i="73"/>
  <c r="AB40" i="73"/>
  <c r="AA40" i="73"/>
  <c r="Z40" i="73"/>
  <c r="Y40" i="73"/>
  <c r="X40" i="73"/>
  <c r="W40" i="73"/>
  <c r="V40" i="73"/>
  <c r="U40" i="73"/>
  <c r="T40" i="73"/>
  <c r="S40" i="73"/>
  <c r="AD39" i="73"/>
  <c r="AC39" i="73"/>
  <c r="AB39" i="73"/>
  <c r="AA39" i="73"/>
  <c r="Z39" i="73"/>
  <c r="Y39" i="73"/>
  <c r="X39" i="73"/>
  <c r="W39" i="73"/>
  <c r="V39" i="73"/>
  <c r="U39" i="73"/>
  <c r="T39" i="73"/>
  <c r="S39" i="73"/>
  <c r="AD38" i="73"/>
  <c r="AC38" i="73"/>
  <c r="AB38" i="73"/>
  <c r="AA38" i="73"/>
  <c r="Z38" i="73"/>
  <c r="Y38" i="73"/>
  <c r="X38" i="73"/>
  <c r="W38" i="73"/>
  <c r="V38" i="73"/>
  <c r="U38" i="73"/>
  <c r="T38" i="73"/>
  <c r="S38" i="73"/>
  <c r="AD37" i="73"/>
  <c r="AC37" i="73"/>
  <c r="AB37" i="73"/>
  <c r="AA37" i="73"/>
  <c r="Z37" i="73"/>
  <c r="Y37" i="73"/>
  <c r="X37" i="73"/>
  <c r="W37" i="73"/>
  <c r="V37" i="73"/>
  <c r="U37" i="73"/>
  <c r="T37" i="73"/>
  <c r="S37" i="73"/>
  <c r="C35" i="73"/>
  <c r="B35" i="73"/>
  <c r="C34" i="73"/>
  <c r="B34" i="73"/>
  <c r="C33" i="73"/>
  <c r="B33" i="73"/>
  <c r="C32" i="73"/>
  <c r="B32" i="73"/>
  <c r="C31" i="73"/>
  <c r="B31" i="73"/>
  <c r="C30" i="73"/>
  <c r="B30" i="73"/>
  <c r="C29" i="73"/>
  <c r="B29" i="73"/>
  <c r="C28" i="73"/>
  <c r="B28" i="73"/>
  <c r="C27" i="73"/>
  <c r="B27" i="73"/>
  <c r="C26" i="73"/>
  <c r="B26"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W9" i="73"/>
  <c r="X9" i="73"/>
  <c r="B9" i="73"/>
  <c r="AD40" i="72"/>
  <c r="AC40" i="72"/>
  <c r="AB40" i="72"/>
  <c r="AA40" i="72"/>
  <c r="Z40" i="72"/>
  <c r="Y40" i="72"/>
  <c r="X40" i="72"/>
  <c r="W40" i="72"/>
  <c r="V40" i="72"/>
  <c r="U40" i="72"/>
  <c r="T40" i="72"/>
  <c r="S40" i="72"/>
  <c r="AD39" i="72"/>
  <c r="AC39" i="72"/>
  <c r="AB39" i="72"/>
  <c r="AA39" i="72"/>
  <c r="Z39" i="72"/>
  <c r="Y39" i="72"/>
  <c r="X39" i="72"/>
  <c r="W39" i="72"/>
  <c r="V39" i="72"/>
  <c r="U39" i="72"/>
  <c r="T39" i="72"/>
  <c r="S39" i="72"/>
  <c r="AD38" i="72"/>
  <c r="AC38" i="72"/>
  <c r="AB38" i="72"/>
  <c r="AA38" i="72"/>
  <c r="Z38" i="72"/>
  <c r="Y38" i="72"/>
  <c r="X38" i="72"/>
  <c r="W38" i="72"/>
  <c r="V38" i="72"/>
  <c r="U38" i="72"/>
  <c r="T38" i="72"/>
  <c r="S38" i="72"/>
  <c r="AD37" i="72"/>
  <c r="AC37" i="72"/>
  <c r="AB37" i="72"/>
  <c r="AA37" i="72"/>
  <c r="Z37" i="72"/>
  <c r="Y37" i="72"/>
  <c r="X37" i="72"/>
  <c r="W37" i="72"/>
  <c r="V37" i="72"/>
  <c r="U37" i="72"/>
  <c r="T37" i="72"/>
  <c r="S37" i="72"/>
  <c r="C35" i="72"/>
  <c r="B35" i="72"/>
  <c r="C34" i="72"/>
  <c r="B34" i="72"/>
  <c r="C33" i="72"/>
  <c r="B33" i="72"/>
  <c r="C32" i="72"/>
  <c r="B32" i="72"/>
  <c r="C31" i="72"/>
  <c r="B31" i="72"/>
  <c r="C30" i="72"/>
  <c r="B30" i="72"/>
  <c r="C29" i="72"/>
  <c r="B29" i="72"/>
  <c r="C28" i="72"/>
  <c r="B28" i="72"/>
  <c r="C27" i="72"/>
  <c r="B27" i="72"/>
  <c r="C26" i="72"/>
  <c r="B26" i="72"/>
  <c r="C25" i="72"/>
  <c r="B25" i="72"/>
  <c r="C24" i="72"/>
  <c r="B24" i="72"/>
  <c r="C23" i="72"/>
  <c r="B23" i="72"/>
  <c r="C22" i="72"/>
  <c r="B22" i="72"/>
  <c r="C21" i="72"/>
  <c r="B21" i="72"/>
  <c r="C20" i="72"/>
  <c r="B20" i="72"/>
  <c r="C19" i="72"/>
  <c r="B19" i="72"/>
  <c r="C18" i="72"/>
  <c r="B18" i="72"/>
  <c r="C17" i="72"/>
  <c r="B17" i="72"/>
  <c r="C16" i="72"/>
  <c r="B16" i="72"/>
  <c r="C15" i="72"/>
  <c r="B15" i="72"/>
  <c r="C14" i="72"/>
  <c r="B14" i="72"/>
  <c r="C13" i="72"/>
  <c r="B13" i="72"/>
  <c r="C12" i="72"/>
  <c r="B12" i="72"/>
  <c r="C11" i="72"/>
  <c r="B11" i="72"/>
  <c r="C10" i="72"/>
  <c r="B10" i="72"/>
  <c r="X9" i="72"/>
  <c r="B9" i="72"/>
  <c r="Q35" i="71"/>
  <c r="S35" i="71" s="1"/>
  <c r="T35" i="71"/>
  <c r="G35" i="71" s="1"/>
  <c r="O35" i="71"/>
  <c r="Q34" i="71"/>
  <c r="S34" i="71" s="1"/>
  <c r="O34" i="71"/>
  <c r="Q33" i="71"/>
  <c r="S33" i="71" s="1"/>
  <c r="T33" i="71"/>
  <c r="G33" i="71" s="1"/>
  <c r="O33" i="71"/>
  <c r="Q32" i="71"/>
  <c r="S32" i="71" s="1"/>
  <c r="O32" i="71"/>
  <c r="F32" i="71"/>
  <c r="Q31" i="71"/>
  <c r="O31" i="71"/>
  <c r="F31" i="71"/>
  <c r="Q29" i="71"/>
  <c r="S29" i="71" s="1"/>
  <c r="O29" i="71"/>
  <c r="F29" i="71"/>
  <c r="Q28" i="71"/>
  <c r="S28" i="71" s="1"/>
  <c r="T28" i="71"/>
  <c r="G28" i="71" s="1"/>
  <c r="O28" i="71"/>
  <c r="Q27" i="71"/>
  <c r="S27" i="71" s="1"/>
  <c r="O27" i="71"/>
  <c r="Q26" i="71"/>
  <c r="T26" i="71"/>
  <c r="G26" i="71" s="1"/>
  <c r="O26" i="71"/>
  <c r="F26" i="71"/>
  <c r="Q24" i="71"/>
  <c r="O24" i="71"/>
  <c r="Q23" i="71"/>
  <c r="S23" i="71" s="1"/>
  <c r="T23" i="71"/>
  <c r="G23" i="71" s="1"/>
  <c r="O23" i="71"/>
  <c r="F23" i="71"/>
  <c r="Q22" i="71"/>
  <c r="S22" i="71" s="1"/>
  <c r="O22" i="71"/>
  <c r="F22" i="71"/>
  <c r="Q21" i="71"/>
  <c r="T21" i="71"/>
  <c r="G21" i="71" s="1"/>
  <c r="O21" i="71"/>
  <c r="F21" i="71"/>
  <c r="Q20" i="71"/>
  <c r="S20" i="71" s="1"/>
  <c r="O20" i="71"/>
  <c r="F20" i="71"/>
  <c r="Q18" i="71"/>
  <c r="O18" i="71"/>
  <c r="Q17" i="71"/>
  <c r="S17" i="71" s="1"/>
  <c r="O17" i="71"/>
  <c r="Q16" i="71"/>
  <c r="O16" i="71"/>
  <c r="F16" i="71"/>
  <c r="Q15" i="71"/>
  <c r="S15" i="71" s="1"/>
  <c r="O15" i="71"/>
  <c r="F15" i="71"/>
  <c r="Q14" i="71"/>
  <c r="Q13" i="71"/>
  <c r="O13" i="71"/>
  <c r="F13" i="71"/>
  <c r="Q12" i="71"/>
  <c r="O12" i="71"/>
  <c r="F12" i="71"/>
  <c r="Q11" i="71"/>
  <c r="O11" i="71"/>
  <c r="F11" i="71"/>
  <c r="D3" i="71"/>
  <c r="G2" i="71"/>
  <c r="Q35" i="70"/>
  <c r="S35" i="70" s="1"/>
  <c r="O35" i="70"/>
  <c r="Q34" i="70"/>
  <c r="S34" i="70" s="1"/>
  <c r="T34" i="70"/>
  <c r="G34" i="70" s="1"/>
  <c r="O34" i="70"/>
  <c r="Q33" i="70"/>
  <c r="S33" i="70" s="1"/>
  <c r="O33" i="70"/>
  <c r="Q32" i="70"/>
  <c r="O32" i="70"/>
  <c r="Q31" i="70"/>
  <c r="S31" i="70" s="1"/>
  <c r="O31" i="70"/>
  <c r="Q29" i="70"/>
  <c r="S29" i="70" s="1"/>
  <c r="O29" i="70"/>
  <c r="Q28" i="70"/>
  <c r="S28" i="70" s="1"/>
  <c r="O28" i="70"/>
  <c r="Q27" i="70"/>
  <c r="O27" i="70"/>
  <c r="Q26" i="70"/>
  <c r="S26" i="70" s="1"/>
  <c r="O26" i="70"/>
  <c r="Q24" i="70"/>
  <c r="S24" i="70" s="1"/>
  <c r="O24" i="70"/>
  <c r="Q23" i="70"/>
  <c r="S23" i="70" s="1"/>
  <c r="O23" i="70"/>
  <c r="Q22" i="70"/>
  <c r="O22" i="70"/>
  <c r="Q21" i="70"/>
  <c r="S21" i="70" s="1"/>
  <c r="O21" i="70"/>
  <c r="Q20" i="70"/>
  <c r="S20" i="70" s="1"/>
  <c r="O20" i="70"/>
  <c r="Q18" i="70"/>
  <c r="S18" i="70" s="1"/>
  <c r="O18" i="70"/>
  <c r="Q17" i="70"/>
  <c r="S17" i="70" s="1"/>
  <c r="O17" i="70"/>
  <c r="Q16" i="70"/>
  <c r="S16" i="70" s="1"/>
  <c r="O16" i="70"/>
  <c r="Q15" i="70"/>
  <c r="S15" i="70" s="1"/>
  <c r="O15" i="70"/>
  <c r="Q14" i="70"/>
  <c r="Q13" i="70"/>
  <c r="O13" i="70"/>
  <c r="Q12" i="70"/>
  <c r="O12" i="70"/>
  <c r="Q11" i="70"/>
  <c r="O11" i="70"/>
  <c r="D3" i="70"/>
  <c r="G2" i="70"/>
  <c r="M35" i="71"/>
  <c r="T31" i="71"/>
  <c r="G31" i="71" s="1"/>
  <c r="S24" i="71"/>
  <c r="T22" i="71"/>
  <c r="G22" i="71" s="1"/>
  <c r="AA10" i="71"/>
  <c r="Z10" i="71"/>
  <c r="Y10" i="71"/>
  <c r="X10" i="71"/>
  <c r="M35" i="70"/>
  <c r="T32" i="70"/>
  <c r="G32" i="70" s="1"/>
  <c r="AA10" i="70"/>
  <c r="Z10" i="70"/>
  <c r="Y10" i="70"/>
  <c r="X10" i="70"/>
  <c r="H5" i="11"/>
  <c r="H5" i="10"/>
  <c r="H5" i="9"/>
  <c r="L24" i="70" l="1"/>
  <c r="N17" i="73"/>
  <c r="I17" i="73" s="1"/>
  <c r="N35" i="73"/>
  <c r="I35" i="73" s="1"/>
  <c r="N10" i="72"/>
  <c r="K10" i="72" s="1"/>
  <c r="I10" i="72" s="1"/>
  <c r="O31" i="72"/>
  <c r="J31" i="72" s="1"/>
  <c r="N15" i="73"/>
  <c r="O35" i="72"/>
  <c r="J35" i="72" s="1"/>
  <c r="N34" i="73"/>
  <c r="I34" i="73" s="1"/>
  <c r="N32" i="73"/>
  <c r="I32" i="73" s="1"/>
  <c r="N25" i="73"/>
  <c r="K25" i="73" s="1"/>
  <c r="I25" i="73" s="1"/>
  <c r="N24" i="73"/>
  <c r="I24" i="73" s="1"/>
  <c r="N30" i="73"/>
  <c r="K30" i="73" s="1"/>
  <c r="I30" i="73" s="1"/>
  <c r="N29" i="73"/>
  <c r="I29" i="73" s="1"/>
  <c r="N27" i="73"/>
  <c r="I27" i="73" s="1"/>
  <c r="N22" i="73"/>
  <c r="I22" i="73" s="1"/>
  <c r="N20" i="73"/>
  <c r="I20" i="73" s="1"/>
  <c r="O35" i="73"/>
  <c r="J35" i="73" s="1"/>
  <c r="O33" i="73"/>
  <c r="J33" i="73" s="1"/>
  <c r="O31" i="73"/>
  <c r="J31" i="73" s="1"/>
  <c r="O28" i="73"/>
  <c r="J28" i="73" s="1"/>
  <c r="O26" i="73"/>
  <c r="J26" i="73" s="1"/>
  <c r="O23" i="73"/>
  <c r="J23" i="73" s="1"/>
  <c r="O21" i="73"/>
  <c r="O19" i="73"/>
  <c r="L19" i="73" s="1"/>
  <c r="J19" i="73" s="1"/>
  <c r="O18" i="73"/>
  <c r="J18" i="73" s="1"/>
  <c r="O16" i="73"/>
  <c r="J16" i="73" s="1"/>
  <c r="O14" i="73"/>
  <c r="J14" i="73" s="1"/>
  <c r="O12" i="73"/>
  <c r="J12" i="73" s="1"/>
  <c r="O10" i="73"/>
  <c r="L10" i="73" s="1"/>
  <c r="J10" i="73" s="1"/>
  <c r="O34" i="73"/>
  <c r="J34" i="73" s="1"/>
  <c r="O29" i="73"/>
  <c r="J29" i="73" s="1"/>
  <c r="O25" i="73"/>
  <c r="L25" i="73" s="1"/>
  <c r="J25" i="73" s="1"/>
  <c r="O22" i="73"/>
  <c r="J22" i="73" s="1"/>
  <c r="O17" i="73"/>
  <c r="J17" i="73" s="1"/>
  <c r="O32" i="73"/>
  <c r="J32" i="73" s="1"/>
  <c r="O30" i="73"/>
  <c r="L30" i="73" s="1"/>
  <c r="J30" i="73" s="1"/>
  <c r="O27" i="73"/>
  <c r="J27" i="73" s="1"/>
  <c r="O24" i="73"/>
  <c r="J24" i="73" s="1"/>
  <c r="O20" i="73"/>
  <c r="J20" i="73" s="1"/>
  <c r="O15" i="73"/>
  <c r="J15" i="73" s="1"/>
  <c r="O13" i="73"/>
  <c r="J13" i="73" s="1"/>
  <c r="O11" i="73"/>
  <c r="J11" i="73" s="1"/>
  <c r="N13" i="73"/>
  <c r="I13" i="73" s="1"/>
  <c r="N11" i="73"/>
  <c r="I11" i="73" s="1"/>
  <c r="J21" i="73"/>
  <c r="N10" i="73"/>
  <c r="K10" i="73" s="1"/>
  <c r="I10" i="73" s="1"/>
  <c r="G9" i="73" s="1"/>
  <c r="N12" i="73"/>
  <c r="I12" i="73" s="1"/>
  <c r="N14" i="73"/>
  <c r="N16" i="73"/>
  <c r="I16" i="73" s="1"/>
  <c r="N18" i="73"/>
  <c r="I18" i="73" s="1"/>
  <c r="N19" i="73"/>
  <c r="K19" i="73" s="1"/>
  <c r="I19" i="73" s="1"/>
  <c r="N21" i="73"/>
  <c r="I21" i="73" s="1"/>
  <c r="N23" i="73"/>
  <c r="I23" i="73" s="1"/>
  <c r="N26" i="73"/>
  <c r="I26" i="73" s="1"/>
  <c r="N28" i="73"/>
  <c r="I28" i="73" s="1"/>
  <c r="N31" i="73"/>
  <c r="I31" i="73" s="1"/>
  <c r="N33" i="73"/>
  <c r="I33" i="73" s="1"/>
  <c r="S12" i="70"/>
  <c r="O14" i="72"/>
  <c r="J14" i="72" s="1"/>
  <c r="O26" i="72"/>
  <c r="J26" i="72" s="1"/>
  <c r="O12" i="72"/>
  <c r="J12" i="72" s="1"/>
  <c r="O23" i="72"/>
  <c r="J23" i="72" s="1"/>
  <c r="O33" i="72"/>
  <c r="J33" i="72" s="1"/>
  <c r="O10" i="72"/>
  <c r="L10" i="72" s="1"/>
  <c r="J10" i="72" s="1"/>
  <c r="O18" i="72"/>
  <c r="J18" i="72" s="1"/>
  <c r="O21" i="72"/>
  <c r="J21" i="72" s="1"/>
  <c r="N35" i="72"/>
  <c r="I35" i="72" s="1"/>
  <c r="N33" i="72"/>
  <c r="I33" i="72" s="1"/>
  <c r="N31" i="72"/>
  <c r="I31" i="72" s="1"/>
  <c r="N28" i="72"/>
  <c r="I28" i="72" s="1"/>
  <c r="N26" i="72"/>
  <c r="I26" i="72" s="1"/>
  <c r="G25" i="72" s="1"/>
  <c r="N23" i="72"/>
  <c r="I23" i="72" s="1"/>
  <c r="N21" i="72"/>
  <c r="I21" i="72" s="1"/>
  <c r="N19" i="72"/>
  <c r="K19" i="72" s="1"/>
  <c r="I19" i="72" s="1"/>
  <c r="N18" i="72"/>
  <c r="I18" i="72" s="1"/>
  <c r="N16" i="72"/>
  <c r="I16" i="72" s="1"/>
  <c r="N14" i="72"/>
  <c r="N12" i="72"/>
  <c r="I12" i="72" s="1"/>
  <c r="N34" i="72"/>
  <c r="I34" i="72" s="1"/>
  <c r="N32" i="72"/>
  <c r="I32" i="72" s="1"/>
  <c r="N29" i="72"/>
  <c r="I29" i="72" s="1"/>
  <c r="N27" i="72"/>
  <c r="I27" i="72" s="1"/>
  <c r="N25" i="72"/>
  <c r="K25" i="72" s="1"/>
  <c r="I25" i="72" s="1"/>
  <c r="N17" i="72"/>
  <c r="I17" i="72" s="1"/>
  <c r="N30" i="72"/>
  <c r="K30" i="72" s="1"/>
  <c r="I30" i="72" s="1"/>
  <c r="N24" i="72"/>
  <c r="I24" i="72" s="1"/>
  <c r="N22" i="72"/>
  <c r="I22" i="72" s="1"/>
  <c r="N20" i="72"/>
  <c r="I20" i="72" s="1"/>
  <c r="N15" i="72"/>
  <c r="N13" i="72"/>
  <c r="I13" i="72" s="1"/>
  <c r="N11" i="72"/>
  <c r="I11" i="72" s="1"/>
  <c r="O34" i="72"/>
  <c r="J34" i="72" s="1"/>
  <c r="O32" i="72"/>
  <c r="J32" i="72" s="1"/>
  <c r="O30" i="72"/>
  <c r="L30" i="72" s="1"/>
  <c r="J30" i="72" s="1"/>
  <c r="O29" i="72"/>
  <c r="J29" i="72" s="1"/>
  <c r="O27" i="72"/>
  <c r="J27" i="72" s="1"/>
  <c r="O25" i="72"/>
  <c r="L25" i="72" s="1"/>
  <c r="J25" i="72" s="1"/>
  <c r="O24" i="72"/>
  <c r="J24" i="72" s="1"/>
  <c r="O22" i="72"/>
  <c r="J22" i="72" s="1"/>
  <c r="O20" i="72"/>
  <c r="J20" i="72" s="1"/>
  <c r="O17" i="72"/>
  <c r="J17" i="72" s="1"/>
  <c r="O15" i="72"/>
  <c r="J15" i="72" s="1"/>
  <c r="O13" i="72"/>
  <c r="J13" i="72" s="1"/>
  <c r="O11" i="72"/>
  <c r="J11" i="72" s="1"/>
  <c r="O16" i="72"/>
  <c r="J16" i="72" s="1"/>
  <c r="O19" i="72"/>
  <c r="L19" i="72" s="1"/>
  <c r="J19" i="72" s="1"/>
  <c r="O28" i="72"/>
  <c r="J28" i="72" s="1"/>
  <c r="S13" i="71"/>
  <c r="S16" i="71"/>
  <c r="S21" i="71"/>
  <c r="S26" i="71"/>
  <c r="S31" i="71"/>
  <c r="S11" i="70"/>
  <c r="S22" i="70"/>
  <c r="S27" i="70"/>
  <c r="S32" i="70"/>
  <c r="S11" i="71"/>
  <c r="S12" i="71"/>
  <c r="T8" i="71"/>
  <c r="S18" i="71"/>
  <c r="T8" i="70"/>
  <c r="S13" i="70"/>
  <c r="L24" i="71"/>
  <c r="H19" i="71"/>
  <c r="L29" i="71"/>
  <c r="H25" i="71"/>
  <c r="L35" i="71"/>
  <c r="H30" i="71"/>
  <c r="L35" i="70"/>
  <c r="H30" i="70"/>
  <c r="H19" i="70"/>
  <c r="L29" i="70"/>
  <c r="H25" i="70"/>
  <c r="J18" i="63"/>
  <c r="D14" i="63"/>
  <c r="E17" i="64"/>
  <c r="J16" i="64"/>
  <c r="E16" i="64"/>
  <c r="J15" i="64"/>
  <c r="J14" i="64"/>
  <c r="D14" i="64"/>
  <c r="J13" i="64"/>
  <c r="D13" i="64"/>
  <c r="J12" i="64"/>
  <c r="D12" i="64"/>
  <c r="J11" i="64"/>
  <c r="J10" i="64"/>
  <c r="D10" i="64"/>
  <c r="J9" i="64"/>
  <c r="J8" i="64"/>
  <c r="D8" i="64"/>
  <c r="H19" i="72" l="1"/>
  <c r="K67" i="10"/>
  <c r="J54" i="64"/>
  <c r="K69" i="10"/>
  <c r="J58" i="64"/>
  <c r="G69" i="10"/>
  <c r="J56" i="64"/>
  <c r="J56" i="63"/>
  <c r="G69" i="9"/>
  <c r="K67" i="9"/>
  <c r="J54" i="63"/>
  <c r="K69" i="9"/>
  <c r="J58" i="63"/>
  <c r="H30" i="73"/>
  <c r="E33" i="73" s="1"/>
  <c r="R33" i="71" s="1"/>
  <c r="G30" i="72"/>
  <c r="D32" i="72" s="1"/>
  <c r="H30" i="72"/>
  <c r="E31" i="72" s="1"/>
  <c r="R31" i="70" s="1"/>
  <c r="G25" i="73"/>
  <c r="G30" i="73"/>
  <c r="G19" i="73"/>
  <c r="H10" i="73"/>
  <c r="D30" i="73"/>
  <c r="D19" i="73"/>
  <c r="D10" i="73"/>
  <c r="D25" i="73"/>
  <c r="H25" i="73"/>
  <c r="H19" i="73"/>
  <c r="H9" i="73"/>
  <c r="E23" i="72"/>
  <c r="R23" i="70" s="1"/>
  <c r="E21" i="72"/>
  <c r="R21" i="70" s="1"/>
  <c r="E20" i="72"/>
  <c r="R20" i="70" s="1"/>
  <c r="E22" i="72"/>
  <c r="R22" i="70" s="1"/>
  <c r="E24" i="72"/>
  <c r="R24" i="70" s="1"/>
  <c r="D34" i="72"/>
  <c r="D31" i="72"/>
  <c r="D29" i="72"/>
  <c r="D27" i="72"/>
  <c r="D28" i="72"/>
  <c r="D26" i="72"/>
  <c r="E35" i="72"/>
  <c r="R35" i="70" s="1"/>
  <c r="H25" i="72"/>
  <c r="G19" i="72"/>
  <c r="H10" i="72"/>
  <c r="G9" i="72"/>
  <c r="H9" i="72"/>
  <c r="J25" i="71"/>
  <c r="Z11" i="71"/>
  <c r="J30" i="71"/>
  <c r="AA11" i="71"/>
  <c r="J19" i="71"/>
  <c r="Y11" i="71"/>
  <c r="J19" i="70"/>
  <c r="Y11" i="70"/>
  <c r="J30" i="70"/>
  <c r="AA11" i="70"/>
  <c r="Z11" i="70"/>
  <c r="J25" i="70"/>
  <c r="E35" i="73" l="1"/>
  <c r="R35" i="71" s="1"/>
  <c r="E32" i="73"/>
  <c r="R32" i="71" s="1"/>
  <c r="E31" i="73"/>
  <c r="R31" i="71" s="1"/>
  <c r="E34" i="73"/>
  <c r="R34" i="71" s="1"/>
  <c r="D33" i="72"/>
  <c r="D35" i="72"/>
  <c r="E34" i="72"/>
  <c r="R34" i="70" s="1"/>
  <c r="E33" i="72"/>
  <c r="R33" i="70" s="1"/>
  <c r="E32" i="72"/>
  <c r="R32" i="70" s="1"/>
  <c r="D35" i="73"/>
  <c r="D31" i="73"/>
  <c r="D34" i="73"/>
  <c r="D32" i="73"/>
  <c r="D33" i="73"/>
  <c r="E29" i="73"/>
  <c r="R29" i="71" s="1"/>
  <c r="E27" i="73"/>
  <c r="R27" i="71" s="1"/>
  <c r="E28" i="73"/>
  <c r="R28" i="71" s="1"/>
  <c r="E26" i="73"/>
  <c r="R26" i="71" s="1"/>
  <c r="E17" i="73"/>
  <c r="R17" i="71" s="1"/>
  <c r="E15" i="73"/>
  <c r="R15" i="71" s="1"/>
  <c r="E13" i="73"/>
  <c r="R13" i="71" s="1"/>
  <c r="E11" i="73"/>
  <c r="R11" i="71" s="1"/>
  <c r="E18" i="73"/>
  <c r="R18" i="71" s="1"/>
  <c r="E16" i="73"/>
  <c r="R16" i="71" s="1"/>
  <c r="E14" i="73"/>
  <c r="R14" i="71" s="1"/>
  <c r="E12" i="73"/>
  <c r="R12" i="71" s="1"/>
  <c r="D28" i="73"/>
  <c r="D29" i="73"/>
  <c r="D27" i="73"/>
  <c r="D26" i="73"/>
  <c r="E24" i="73"/>
  <c r="R24" i="71" s="1"/>
  <c r="E22" i="73"/>
  <c r="R22" i="71" s="1"/>
  <c r="E20" i="73"/>
  <c r="R20" i="71" s="1"/>
  <c r="E23" i="73"/>
  <c r="R23" i="71" s="1"/>
  <c r="E21" i="73"/>
  <c r="R21" i="71" s="1"/>
  <c r="E19" i="73"/>
  <c r="E10" i="73"/>
  <c r="E25" i="73"/>
  <c r="E30" i="73"/>
  <c r="D23" i="73"/>
  <c r="D21" i="73"/>
  <c r="D24" i="73"/>
  <c r="D22" i="73"/>
  <c r="D20" i="73"/>
  <c r="E30" i="72"/>
  <c r="E25" i="72"/>
  <c r="E19" i="72"/>
  <c r="E10" i="72"/>
  <c r="D24" i="72"/>
  <c r="D22" i="72"/>
  <c r="D20" i="72"/>
  <c r="D23" i="72"/>
  <c r="D21" i="72"/>
  <c r="D19" i="72"/>
  <c r="D10" i="72"/>
  <c r="D25" i="72"/>
  <c r="D30" i="72"/>
  <c r="E28" i="72"/>
  <c r="R28" i="70" s="1"/>
  <c r="E26" i="72"/>
  <c r="R26" i="70" s="1"/>
  <c r="E27" i="72"/>
  <c r="R27" i="70" s="1"/>
  <c r="E29" i="72"/>
  <c r="R29" i="70" s="1"/>
  <c r="E18" i="72"/>
  <c r="R18" i="70" s="1"/>
  <c r="E16" i="72"/>
  <c r="R16" i="70" s="1"/>
  <c r="E14" i="72"/>
  <c r="R14" i="70" s="1"/>
  <c r="E12" i="72"/>
  <c r="R12" i="70" s="1"/>
  <c r="E15" i="72"/>
  <c r="R15" i="70" s="1"/>
  <c r="E17" i="72"/>
  <c r="R17" i="70" s="1"/>
  <c r="E11" i="72"/>
  <c r="R11" i="70" s="1"/>
  <c r="E13" i="72"/>
  <c r="R13" i="70" s="1"/>
  <c r="AI12" i="71"/>
  <c r="Y13" i="71"/>
  <c r="Y14" i="71" s="1"/>
  <c r="Y12" i="71"/>
  <c r="AI13" i="71"/>
  <c r="Z12" i="71"/>
  <c r="Z13" i="71"/>
  <c r="Z14" i="71" s="1"/>
  <c r="AI14" i="71"/>
  <c r="AA13" i="71"/>
  <c r="AA14" i="71" s="1"/>
  <c r="AA12" i="71"/>
  <c r="Z13" i="70"/>
  <c r="Z14" i="70" s="1"/>
  <c r="AI13" i="70"/>
  <c r="Z12" i="70"/>
  <c r="AA13" i="70"/>
  <c r="AA14" i="70" s="1"/>
  <c r="AI14" i="70"/>
  <c r="AA12" i="70"/>
  <c r="Y12" i="70"/>
  <c r="AI12" i="70"/>
  <c r="Y13" i="70"/>
  <c r="Y14" i="70" s="1"/>
  <c r="V3" i="4"/>
  <c r="O160" i="4" l="1"/>
  <c r="M160" i="4"/>
  <c r="L8" i="57" l="1"/>
  <c r="I31" i="59" l="1"/>
  <c r="I33" i="59" s="1"/>
  <c r="I31" i="54"/>
  <c r="T21" i="60" l="1"/>
  <c r="U21" i="60"/>
  <c r="R9" i="60"/>
  <c r="S9" i="60"/>
  <c r="R10" i="60"/>
  <c r="S10" i="60"/>
  <c r="R11" i="60"/>
  <c r="S11" i="60"/>
  <c r="R12" i="60"/>
  <c r="S12" i="60"/>
  <c r="R13" i="60"/>
  <c r="S13" i="60"/>
  <c r="R14" i="60"/>
  <c r="S14" i="60"/>
  <c r="R15" i="60"/>
  <c r="S15" i="60"/>
  <c r="R16" i="60"/>
  <c r="S16" i="60"/>
  <c r="R17" i="60"/>
  <c r="S17" i="60"/>
  <c r="R18" i="60"/>
  <c r="S18" i="60"/>
  <c r="R19" i="60"/>
  <c r="S19" i="60"/>
  <c r="R20" i="60"/>
  <c r="S20" i="60"/>
  <c r="R21" i="60"/>
  <c r="S21" i="60"/>
  <c r="R22" i="60"/>
  <c r="S22" i="60"/>
  <c r="R23" i="60"/>
  <c r="S23" i="60"/>
  <c r="R24" i="60"/>
  <c r="R25" i="60"/>
  <c r="S25" i="60"/>
  <c r="R8" i="60"/>
  <c r="T21" i="55"/>
  <c r="U21" i="55"/>
  <c r="R9" i="55"/>
  <c r="S9" i="55"/>
  <c r="R10" i="55"/>
  <c r="S10" i="55"/>
  <c r="R11" i="55"/>
  <c r="S11" i="55"/>
  <c r="R12" i="55"/>
  <c r="S12" i="55"/>
  <c r="R13" i="55"/>
  <c r="S13" i="55"/>
  <c r="R14" i="55"/>
  <c r="S14" i="55"/>
  <c r="R15" i="55"/>
  <c r="R16" i="55"/>
  <c r="S16" i="55"/>
  <c r="R17" i="55"/>
  <c r="S17" i="55"/>
  <c r="R18" i="55"/>
  <c r="S18" i="55"/>
  <c r="R19" i="55"/>
  <c r="S19" i="55"/>
  <c r="R20" i="55"/>
  <c r="S20" i="55"/>
  <c r="R21" i="55"/>
  <c r="S21" i="55"/>
  <c r="R22" i="55"/>
  <c r="S22" i="55"/>
  <c r="R23" i="55"/>
  <c r="S23" i="55"/>
  <c r="R24" i="55"/>
  <c r="R25" i="55"/>
  <c r="S25" i="55"/>
  <c r="R8" i="55"/>
  <c r="H91" i="59" l="1"/>
  <c r="H91" i="54"/>
  <c r="Z4" i="59" l="1"/>
  <c r="Z3" i="59"/>
  <c r="V4" i="59"/>
  <c r="V3" i="59"/>
  <c r="Z4" i="54"/>
  <c r="Z3" i="54"/>
  <c r="V4" i="54"/>
  <c r="V3" i="54"/>
  <c r="S78" i="59" l="1"/>
  <c r="H76" i="16"/>
  <c r="H75" i="16"/>
  <c r="H76" i="13"/>
  <c r="H75" i="13"/>
  <c r="L134" i="4" l="1"/>
  <c r="P10" i="47"/>
  <c r="B10" i="47" s="1"/>
  <c r="Q10" i="47"/>
  <c r="R10" i="47"/>
  <c r="C10" i="47" s="1"/>
  <c r="S10" i="47"/>
  <c r="T10" i="47"/>
  <c r="U10" i="47"/>
  <c r="V10" i="47"/>
  <c r="W10" i="47"/>
  <c r="X10" i="47"/>
  <c r="Y10" i="47"/>
  <c r="Z10" i="47"/>
  <c r="AA10" i="47"/>
  <c r="AB10" i="47"/>
  <c r="AC10" i="47"/>
  <c r="AD10" i="47"/>
  <c r="AE10" i="47"/>
  <c r="P11" i="47"/>
  <c r="B11" i="47" s="1"/>
  <c r="Q11" i="47"/>
  <c r="R11" i="47"/>
  <c r="C11" i="47" s="1"/>
  <c r="S11" i="47"/>
  <c r="T11" i="47"/>
  <c r="U11" i="47"/>
  <c r="V11" i="47"/>
  <c r="W11" i="47"/>
  <c r="X11" i="47"/>
  <c r="Y11" i="47"/>
  <c r="Z11" i="47"/>
  <c r="AA11" i="47"/>
  <c r="AB11" i="47"/>
  <c r="AC11" i="47"/>
  <c r="AD11" i="47"/>
  <c r="AE11" i="47"/>
  <c r="C12" i="47" l="1"/>
  <c r="D12" i="47"/>
  <c r="E12" i="47"/>
  <c r="P12" i="47"/>
  <c r="B12" i="47" s="1"/>
  <c r="Q12" i="47"/>
  <c r="R12" i="47"/>
  <c r="S12" i="47"/>
  <c r="T12" i="47"/>
  <c r="U12" i="47"/>
  <c r="V12" i="47"/>
  <c r="W12" i="47"/>
  <c r="X12" i="47"/>
  <c r="Y12" i="47"/>
  <c r="Z12" i="47"/>
  <c r="AA12" i="47"/>
  <c r="AB12" i="47"/>
  <c r="AC12" i="47"/>
  <c r="AD12" i="47"/>
  <c r="AE12" i="47"/>
  <c r="D13" i="47"/>
  <c r="E13" i="47"/>
  <c r="P13" i="47"/>
  <c r="B13" i="47" s="1"/>
  <c r="Q13" i="47"/>
  <c r="R13" i="47"/>
  <c r="C13" i="47" s="1"/>
  <c r="S13" i="47"/>
  <c r="T13" i="47"/>
  <c r="U13" i="47"/>
  <c r="V13" i="47"/>
  <c r="W13" i="47"/>
  <c r="X13" i="47"/>
  <c r="Y13" i="47"/>
  <c r="Z13" i="47"/>
  <c r="AA13" i="47"/>
  <c r="AB13" i="47"/>
  <c r="AC13" i="47"/>
  <c r="AD13" i="47"/>
  <c r="AE13" i="47"/>
  <c r="B11" i="21"/>
  <c r="C11" i="21"/>
  <c r="B12" i="21"/>
  <c r="C12" i="21"/>
  <c r="B10" i="21"/>
  <c r="C10" i="21"/>
  <c r="B9" i="21"/>
  <c r="C9"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L121" i="4" l="1"/>
  <c r="L120" i="4"/>
  <c r="L132" i="4"/>
  <c r="L126" i="4"/>
  <c r="L125" i="4"/>
  <c r="L14" i="4"/>
  <c r="L137" i="4"/>
  <c r="L146" i="4"/>
  <c r="L143" i="4"/>
  <c r="L141" i="4" s="1"/>
  <c r="AF12" i="8"/>
  <c r="AK11" i="8"/>
  <c r="AJ11" i="8"/>
  <c r="AG11" i="8"/>
  <c r="AF11" i="8"/>
  <c r="W11" i="8" s="1"/>
  <c r="K11" i="47" s="1"/>
  <c r="F88" i="53" l="1"/>
  <c r="D88" i="53"/>
  <c r="F87" i="53"/>
  <c r="D87" i="53"/>
  <c r="F86" i="53"/>
  <c r="D86" i="53"/>
  <c r="F85" i="53"/>
  <c r="D85" i="53"/>
  <c r="F84" i="53"/>
  <c r="D84" i="53"/>
  <c r="F83" i="53"/>
  <c r="D83" i="53"/>
  <c r="F82" i="53"/>
  <c r="D82" i="53"/>
  <c r="F81" i="53"/>
  <c r="D81" i="53"/>
  <c r="F80" i="53"/>
  <c r="D80" i="53"/>
  <c r="F79" i="53"/>
  <c r="D79" i="53"/>
  <c r="F78" i="53"/>
  <c r="D78" i="53"/>
  <c r="F77" i="53"/>
  <c r="D77" i="53"/>
  <c r="F76" i="53"/>
  <c r="D76" i="53"/>
  <c r="F75" i="53"/>
  <c r="D75" i="53"/>
  <c r="F74" i="53"/>
  <c r="D74" i="53"/>
  <c r="F73" i="53"/>
  <c r="D73" i="53"/>
  <c r="F72" i="53"/>
  <c r="D72" i="53"/>
  <c r="F71" i="53"/>
  <c r="D71" i="53"/>
  <c r="F70" i="53"/>
  <c r="D70" i="53"/>
  <c r="F69" i="53"/>
  <c r="D69" i="53"/>
  <c r="F68" i="53"/>
  <c r="D68" i="53"/>
  <c r="F67" i="53"/>
  <c r="D67" i="53"/>
  <c r="F66" i="53"/>
  <c r="D66" i="53"/>
  <c r="F65" i="53"/>
  <c r="D65" i="53"/>
  <c r="F64" i="53"/>
  <c r="D64" i="53"/>
  <c r="F63" i="53"/>
  <c r="D63" i="53"/>
  <c r="F62" i="53"/>
  <c r="D62" i="53"/>
  <c r="F61" i="53"/>
  <c r="D61" i="53"/>
  <c r="F60" i="53"/>
  <c r="D60" i="53"/>
  <c r="F59" i="53"/>
  <c r="D59" i="53"/>
  <c r="F58" i="53"/>
  <c r="D58" i="53"/>
  <c r="F57" i="53"/>
  <c r="D57" i="53"/>
  <c r="F56" i="53"/>
  <c r="D56" i="53"/>
  <c r="F55" i="53"/>
  <c r="D55" i="53"/>
  <c r="F54" i="53"/>
  <c r="D54" i="53"/>
  <c r="F53" i="53"/>
  <c r="D53" i="53"/>
  <c r="F52" i="53"/>
  <c r="D52" i="53"/>
  <c r="F51" i="53"/>
  <c r="D51" i="53"/>
  <c r="F50" i="53"/>
  <c r="D50" i="53"/>
  <c r="F49" i="53"/>
  <c r="D49" i="53"/>
  <c r="J46" i="53"/>
  <c r="I46" i="53"/>
  <c r="J44" i="53"/>
  <c r="I44" i="53"/>
  <c r="J43" i="53"/>
  <c r="I43" i="53"/>
  <c r="J42" i="53"/>
  <c r="I42" i="53"/>
  <c r="J41" i="53"/>
  <c r="I41" i="53"/>
  <c r="J40" i="53"/>
  <c r="I40" i="53"/>
  <c r="J39" i="53"/>
  <c r="I39" i="53"/>
  <c r="J38" i="53"/>
  <c r="I38" i="53"/>
  <c r="J37" i="53"/>
  <c r="I37" i="53"/>
  <c r="J36" i="53"/>
  <c r="I36" i="53"/>
  <c r="J35" i="53"/>
  <c r="I35" i="53"/>
  <c r="J34" i="53"/>
  <c r="I34" i="53"/>
  <c r="J33" i="53"/>
  <c r="I33" i="53"/>
  <c r="J32" i="53"/>
  <c r="I32" i="53"/>
  <c r="J31" i="53"/>
  <c r="I31" i="53"/>
  <c r="J30" i="53"/>
  <c r="I30" i="53"/>
  <c r="J29" i="53"/>
  <c r="I29" i="53"/>
  <c r="J28" i="53"/>
  <c r="I28" i="53"/>
  <c r="J27" i="53"/>
  <c r="I27" i="53"/>
  <c r="J26" i="53"/>
  <c r="I26" i="53"/>
  <c r="J25" i="53"/>
  <c r="I25" i="53"/>
  <c r="J24" i="53"/>
  <c r="I24" i="53"/>
  <c r="J23" i="53"/>
  <c r="I23" i="53"/>
  <c r="J22" i="53"/>
  <c r="I22" i="53"/>
  <c r="J21" i="53"/>
  <c r="I21" i="53"/>
  <c r="J20" i="53"/>
  <c r="I20" i="53"/>
  <c r="J19" i="53"/>
  <c r="I19" i="53"/>
  <c r="J18" i="53"/>
  <c r="I18" i="53"/>
  <c r="J17" i="53"/>
  <c r="I17" i="53"/>
  <c r="J16" i="53"/>
  <c r="I16" i="53"/>
  <c r="J15" i="53"/>
  <c r="I15" i="53"/>
  <c r="J14" i="53"/>
  <c r="I14" i="53"/>
  <c r="J13" i="53"/>
  <c r="I13" i="53"/>
  <c r="J12" i="53"/>
  <c r="I12" i="53"/>
  <c r="J11" i="53"/>
  <c r="I11" i="53"/>
  <c r="J10" i="53"/>
  <c r="I10" i="53"/>
  <c r="J9" i="53"/>
  <c r="I9" i="53"/>
  <c r="J8" i="53"/>
  <c r="I8" i="53"/>
  <c r="J7" i="53"/>
  <c r="I7" i="53"/>
  <c r="J6" i="53"/>
  <c r="I6" i="53"/>
  <c r="H14" i="57"/>
  <c r="N29" i="59"/>
  <c r="I53" i="59" s="1"/>
  <c r="M29" i="59"/>
  <c r="M14" i="59" s="1"/>
  <c r="G12" i="54"/>
  <c r="G12" i="59"/>
  <c r="I56" i="59"/>
  <c r="I55" i="59" l="1"/>
  <c r="I54" i="59"/>
  <c r="I52" i="59"/>
  <c r="F20" i="60" l="1"/>
  <c r="P24" i="2"/>
  <c r="N24" i="2"/>
  <c r="F20" i="55"/>
  <c r="O111" i="55" s="1"/>
  <c r="O108" i="55"/>
  <c r="O104" i="55"/>
  <c r="O16" i="55"/>
  <c r="O12" i="55"/>
  <c r="O17" i="60"/>
  <c r="O15" i="60"/>
  <c r="O13" i="60"/>
  <c r="O11" i="60"/>
  <c r="O10" i="60"/>
  <c r="O13" i="55" l="1"/>
  <c r="O17" i="55"/>
  <c r="O105" i="55"/>
  <c r="O109" i="55"/>
  <c r="O10" i="55"/>
  <c r="O14" i="55"/>
  <c r="O18" i="55"/>
  <c r="O106" i="55"/>
  <c r="O110" i="55"/>
  <c r="O11" i="55"/>
  <c r="O15" i="55"/>
  <c r="O103" i="55"/>
  <c r="O107" i="55"/>
  <c r="O12" i="60"/>
  <c r="O14" i="60"/>
  <c r="O16" i="60"/>
  <c r="O18" i="60"/>
  <c r="O103" i="60"/>
  <c r="O104" i="60"/>
  <c r="O105" i="60"/>
  <c r="O106" i="60"/>
  <c r="O107" i="60"/>
  <c r="O108" i="60"/>
  <c r="O109" i="60"/>
  <c r="O110" i="60"/>
  <c r="O111" i="60"/>
  <c r="Q112" i="59" l="1"/>
  <c r="N112" i="59"/>
  <c r="I121" i="60"/>
  <c r="Q108" i="59"/>
  <c r="N108" i="59"/>
  <c r="J91" i="60"/>
  <c r="I91" i="60"/>
  <c r="H91" i="60"/>
  <c r="J90" i="60"/>
  <c r="I90" i="60"/>
  <c r="H90" i="60"/>
  <c r="J89" i="60"/>
  <c r="I89" i="60"/>
  <c r="H89" i="60"/>
  <c r="J88" i="60"/>
  <c r="I88" i="60"/>
  <c r="H88" i="60"/>
  <c r="J87" i="60"/>
  <c r="I87" i="60"/>
  <c r="H87" i="60"/>
  <c r="J86" i="60"/>
  <c r="I86" i="60"/>
  <c r="H86" i="60"/>
  <c r="J85" i="60"/>
  <c r="I85" i="60"/>
  <c r="H85" i="60"/>
  <c r="J84" i="60"/>
  <c r="I84" i="60"/>
  <c r="H84" i="60"/>
  <c r="J83" i="60"/>
  <c r="I83" i="60"/>
  <c r="H83" i="60"/>
  <c r="J82" i="60"/>
  <c r="I82" i="60"/>
  <c r="H82" i="60"/>
  <c r="J81" i="60"/>
  <c r="I81" i="60"/>
  <c r="H81" i="60"/>
  <c r="J80" i="60"/>
  <c r="I80" i="60"/>
  <c r="H80" i="60"/>
  <c r="J79" i="60"/>
  <c r="I79" i="60"/>
  <c r="H79" i="60"/>
  <c r="J78" i="60"/>
  <c r="I78" i="60"/>
  <c r="H78" i="60"/>
  <c r="J77" i="60"/>
  <c r="I77" i="60"/>
  <c r="H77" i="60"/>
  <c r="J76" i="60"/>
  <c r="I76" i="60"/>
  <c r="H76" i="60"/>
  <c r="J75" i="60"/>
  <c r="I75" i="60"/>
  <c r="H75" i="60"/>
  <c r="J74" i="60"/>
  <c r="I74" i="60"/>
  <c r="H74" i="60"/>
  <c r="J73" i="60"/>
  <c r="I73" i="60"/>
  <c r="H73" i="60"/>
  <c r="J72" i="60"/>
  <c r="I72" i="60"/>
  <c r="H72" i="60"/>
  <c r="J71" i="60"/>
  <c r="I71" i="60"/>
  <c r="H71" i="60"/>
  <c r="J70" i="60"/>
  <c r="I70" i="60"/>
  <c r="H70" i="60"/>
  <c r="J69" i="60"/>
  <c r="I69" i="60"/>
  <c r="H69" i="60"/>
  <c r="J68" i="60"/>
  <c r="I68" i="60"/>
  <c r="H68" i="60"/>
  <c r="J67" i="60"/>
  <c r="I67" i="60"/>
  <c r="H67" i="60"/>
  <c r="J66" i="60"/>
  <c r="I66" i="60"/>
  <c r="H66" i="60"/>
  <c r="J65" i="60"/>
  <c r="I65" i="60"/>
  <c r="H65" i="60"/>
  <c r="J64" i="60"/>
  <c r="I64" i="60"/>
  <c r="H64" i="60"/>
  <c r="J63" i="60"/>
  <c r="I63" i="60"/>
  <c r="H63" i="60"/>
  <c r="J62" i="60"/>
  <c r="I62" i="60"/>
  <c r="H62" i="60"/>
  <c r="J61" i="60"/>
  <c r="I61" i="60"/>
  <c r="H61" i="60"/>
  <c r="J60" i="60"/>
  <c r="I60" i="60"/>
  <c r="H60" i="60"/>
  <c r="J59" i="60"/>
  <c r="I59" i="60"/>
  <c r="H59" i="60"/>
  <c r="J58" i="60"/>
  <c r="I58" i="60"/>
  <c r="H58" i="60"/>
  <c r="J57" i="60"/>
  <c r="I57" i="60"/>
  <c r="H57" i="60"/>
  <c r="J56" i="60"/>
  <c r="I56" i="60"/>
  <c r="H56" i="60"/>
  <c r="J55" i="60"/>
  <c r="I55" i="60"/>
  <c r="H55" i="60"/>
  <c r="J54" i="60"/>
  <c r="I54" i="60"/>
  <c r="H54" i="60"/>
  <c r="J53" i="60"/>
  <c r="I53" i="60"/>
  <c r="H53" i="60"/>
  <c r="J52" i="60"/>
  <c r="I52" i="60"/>
  <c r="H52" i="60"/>
  <c r="J51" i="60"/>
  <c r="I51" i="60"/>
  <c r="H51" i="60"/>
  <c r="J50" i="60"/>
  <c r="I50" i="60"/>
  <c r="H50" i="60"/>
  <c r="J49" i="60"/>
  <c r="I49" i="60"/>
  <c r="H49" i="60"/>
  <c r="J48" i="60"/>
  <c r="I48" i="60"/>
  <c r="H48" i="60"/>
  <c r="J47" i="60"/>
  <c r="I47" i="60"/>
  <c r="H47" i="60"/>
  <c r="J46" i="60"/>
  <c r="I46" i="60"/>
  <c r="H46" i="60"/>
  <c r="J45" i="60"/>
  <c r="I45" i="60"/>
  <c r="H45" i="60"/>
  <c r="J44" i="60"/>
  <c r="I44" i="60"/>
  <c r="H44" i="60"/>
  <c r="J43" i="60"/>
  <c r="I43" i="60"/>
  <c r="H43" i="60"/>
  <c r="J42" i="60"/>
  <c r="I42" i="60"/>
  <c r="H42" i="60"/>
  <c r="J41" i="60"/>
  <c r="I41" i="60"/>
  <c r="H41" i="60"/>
  <c r="J40" i="60"/>
  <c r="I40" i="60"/>
  <c r="H40" i="60"/>
  <c r="J39" i="60"/>
  <c r="I39" i="60"/>
  <c r="H39" i="60"/>
  <c r="J38" i="60"/>
  <c r="I38" i="60"/>
  <c r="H38" i="60"/>
  <c r="J34" i="60"/>
  <c r="I34" i="60"/>
  <c r="H34" i="60"/>
  <c r="J33" i="60"/>
  <c r="I33" i="60"/>
  <c r="H33" i="60"/>
  <c r="J32" i="60"/>
  <c r="I32" i="60"/>
  <c r="H32" i="60"/>
  <c r="J31" i="60"/>
  <c r="I31" i="60"/>
  <c r="H31" i="60"/>
  <c r="J30" i="60"/>
  <c r="I30" i="60"/>
  <c r="H30" i="60"/>
  <c r="J29" i="60"/>
  <c r="I29" i="60"/>
  <c r="H29" i="60"/>
  <c r="J28" i="60"/>
  <c r="I28" i="60"/>
  <c r="H28" i="60"/>
  <c r="J27" i="60"/>
  <c r="I27" i="60"/>
  <c r="H27" i="60"/>
  <c r="J26" i="60"/>
  <c r="I26" i="60"/>
  <c r="H26" i="60"/>
  <c r="H43" i="55"/>
  <c r="I43" i="55"/>
  <c r="J43" i="55"/>
  <c r="H44" i="55"/>
  <c r="I44" i="55"/>
  <c r="J44" i="55"/>
  <c r="H45" i="55"/>
  <c r="I45" i="55"/>
  <c r="J45" i="55"/>
  <c r="H46" i="55"/>
  <c r="I46" i="55"/>
  <c r="J46" i="55"/>
  <c r="H47" i="55"/>
  <c r="I47" i="55"/>
  <c r="J47" i="55"/>
  <c r="H48" i="55"/>
  <c r="I48" i="55"/>
  <c r="J48" i="55"/>
  <c r="H49" i="55"/>
  <c r="I49" i="55"/>
  <c r="J49" i="55"/>
  <c r="H50" i="55"/>
  <c r="I50" i="55"/>
  <c r="J50" i="55"/>
  <c r="H51" i="55"/>
  <c r="I51" i="55"/>
  <c r="J51" i="55"/>
  <c r="H52" i="55"/>
  <c r="I52" i="55"/>
  <c r="J52" i="55"/>
  <c r="H53" i="55"/>
  <c r="I53" i="55"/>
  <c r="J53" i="55"/>
  <c r="H54" i="55"/>
  <c r="I54" i="55"/>
  <c r="J54" i="55"/>
  <c r="H55" i="55"/>
  <c r="I55" i="55"/>
  <c r="J55" i="55"/>
  <c r="H56" i="55"/>
  <c r="I56" i="55"/>
  <c r="J56" i="55"/>
  <c r="H57" i="55"/>
  <c r="I57" i="55"/>
  <c r="J57" i="55"/>
  <c r="H58" i="55"/>
  <c r="I58" i="55"/>
  <c r="J58" i="55"/>
  <c r="H59" i="55"/>
  <c r="I59" i="55"/>
  <c r="J59" i="55"/>
  <c r="H60" i="55"/>
  <c r="I60" i="55"/>
  <c r="J60" i="55"/>
  <c r="H61" i="55"/>
  <c r="I61" i="55"/>
  <c r="J61" i="55"/>
  <c r="H62" i="55"/>
  <c r="I62" i="55"/>
  <c r="J62" i="55"/>
  <c r="H63" i="55"/>
  <c r="I63" i="55"/>
  <c r="J63" i="55"/>
  <c r="H64" i="55"/>
  <c r="I64" i="55"/>
  <c r="J64" i="55"/>
  <c r="H65" i="55"/>
  <c r="I65" i="55"/>
  <c r="J65" i="55"/>
  <c r="H66" i="55"/>
  <c r="I66" i="55"/>
  <c r="J66" i="55"/>
  <c r="H67" i="55"/>
  <c r="I67" i="55"/>
  <c r="J67" i="55"/>
  <c r="H68" i="55"/>
  <c r="I68" i="55"/>
  <c r="J68" i="55"/>
  <c r="H69" i="55"/>
  <c r="I69" i="55"/>
  <c r="J69" i="55"/>
  <c r="H70" i="55"/>
  <c r="I70" i="55"/>
  <c r="J70" i="55"/>
  <c r="H71" i="55"/>
  <c r="I71" i="55"/>
  <c r="J71" i="55"/>
  <c r="H72" i="55"/>
  <c r="I72" i="55"/>
  <c r="J72" i="55"/>
  <c r="H73" i="55"/>
  <c r="I73" i="55"/>
  <c r="J73" i="55"/>
  <c r="H74" i="55"/>
  <c r="I74" i="55"/>
  <c r="J74" i="55"/>
  <c r="H75" i="55"/>
  <c r="I75" i="55"/>
  <c r="J75" i="55"/>
  <c r="H76" i="55"/>
  <c r="I76" i="55"/>
  <c r="J76" i="55"/>
  <c r="H77" i="55"/>
  <c r="I77" i="55"/>
  <c r="J77" i="55"/>
  <c r="H78" i="55"/>
  <c r="I78" i="55"/>
  <c r="J78" i="55"/>
  <c r="H79" i="55"/>
  <c r="I79" i="55"/>
  <c r="J79" i="55"/>
  <c r="H80" i="55"/>
  <c r="I80" i="55"/>
  <c r="J80" i="55"/>
  <c r="H81" i="55"/>
  <c r="I81" i="55"/>
  <c r="J81" i="55"/>
  <c r="H82" i="55"/>
  <c r="I82" i="55"/>
  <c r="J82" i="55"/>
  <c r="H83" i="55"/>
  <c r="I83" i="55"/>
  <c r="J83" i="55"/>
  <c r="H84" i="55"/>
  <c r="I84" i="55"/>
  <c r="J84" i="55"/>
  <c r="H85" i="55"/>
  <c r="I85" i="55"/>
  <c r="J85" i="55"/>
  <c r="H86" i="55"/>
  <c r="I86" i="55"/>
  <c r="J86" i="55"/>
  <c r="H87" i="55"/>
  <c r="I87" i="55"/>
  <c r="J87" i="55"/>
  <c r="H88" i="55"/>
  <c r="I88" i="55"/>
  <c r="J88" i="55"/>
  <c r="H89" i="55"/>
  <c r="I89" i="55"/>
  <c r="J89" i="55"/>
  <c r="H90" i="55"/>
  <c r="I90" i="55"/>
  <c r="J90" i="55"/>
  <c r="H91" i="55"/>
  <c r="I91" i="55"/>
  <c r="J91" i="55"/>
  <c r="H41" i="55"/>
  <c r="I41" i="55"/>
  <c r="J41" i="55"/>
  <c r="H42" i="55"/>
  <c r="I42" i="55"/>
  <c r="J42" i="55"/>
  <c r="H40" i="55"/>
  <c r="I40" i="55"/>
  <c r="J40" i="55"/>
  <c r="H39" i="55"/>
  <c r="I39" i="55"/>
  <c r="J39" i="55"/>
  <c r="I38" i="55"/>
  <c r="J38" i="55"/>
  <c r="H38" i="55"/>
  <c r="H27" i="55"/>
  <c r="I27" i="55"/>
  <c r="J27" i="55"/>
  <c r="H28" i="55"/>
  <c r="I28" i="55"/>
  <c r="J28" i="55"/>
  <c r="H29" i="55"/>
  <c r="I29" i="55"/>
  <c r="J29" i="55"/>
  <c r="H30" i="55"/>
  <c r="I30" i="55"/>
  <c r="J30" i="55"/>
  <c r="H31" i="55"/>
  <c r="I31" i="55"/>
  <c r="J31" i="55"/>
  <c r="H32" i="55"/>
  <c r="I32" i="55"/>
  <c r="J32" i="55"/>
  <c r="H33" i="55"/>
  <c r="I33" i="55"/>
  <c r="J33" i="55"/>
  <c r="H34" i="55"/>
  <c r="I34" i="55"/>
  <c r="J34" i="55"/>
  <c r="I26" i="55"/>
  <c r="J26" i="55"/>
  <c r="H26" i="55"/>
  <c r="M101" i="54" l="1"/>
  <c r="M100" i="54"/>
  <c r="M101" i="59"/>
  <c r="M100" i="59"/>
  <c r="AK121" i="8"/>
  <c r="AJ121" i="8"/>
  <c r="AG121" i="8"/>
  <c r="AF121" i="8"/>
  <c r="AK120" i="8"/>
  <c r="AJ120" i="8"/>
  <c r="AG120" i="8"/>
  <c r="AF120" i="8"/>
  <c r="R121" i="4"/>
  <c r="Q121" i="4"/>
  <c r="O121" i="4"/>
  <c r="M121" i="4"/>
  <c r="P135" i="47"/>
  <c r="B135" i="47" s="1"/>
  <c r="Q135" i="47"/>
  <c r="R135" i="47"/>
  <c r="C135" i="47" s="1"/>
  <c r="S135" i="47"/>
  <c r="T135" i="47"/>
  <c r="U135" i="47"/>
  <c r="V135" i="47"/>
  <c r="W135" i="47"/>
  <c r="X135" i="47"/>
  <c r="Y135" i="47"/>
  <c r="Z135" i="47"/>
  <c r="AA135" i="47"/>
  <c r="AB135" i="47"/>
  <c r="P136" i="47"/>
  <c r="Q136" i="47"/>
  <c r="R136" i="47"/>
  <c r="S136" i="47"/>
  <c r="T136" i="47"/>
  <c r="U136" i="47"/>
  <c r="V136" i="47"/>
  <c r="W136" i="47"/>
  <c r="X136" i="47"/>
  <c r="Y136" i="47"/>
  <c r="Z136" i="47"/>
  <c r="AA136" i="47"/>
  <c r="AB136" i="47"/>
  <c r="P137" i="47"/>
  <c r="B137" i="47" s="1"/>
  <c r="Q137" i="47"/>
  <c r="R137" i="47"/>
  <c r="C137" i="47" s="1"/>
  <c r="S137" i="47"/>
  <c r="T137" i="47"/>
  <c r="U137" i="47"/>
  <c r="V137" i="47"/>
  <c r="W137" i="47"/>
  <c r="X137" i="47"/>
  <c r="Y137" i="47"/>
  <c r="Z137" i="47"/>
  <c r="AA137" i="47"/>
  <c r="AB137" i="47"/>
  <c r="P138" i="47"/>
  <c r="Q138" i="47"/>
  <c r="R138" i="47"/>
  <c r="S138" i="47"/>
  <c r="T138" i="47"/>
  <c r="U138" i="47"/>
  <c r="V138" i="47"/>
  <c r="W138" i="47"/>
  <c r="X138" i="47"/>
  <c r="Y138" i="47"/>
  <c r="Z138" i="47"/>
  <c r="AA138" i="47"/>
  <c r="AB138" i="47"/>
  <c r="P139" i="47"/>
  <c r="B139" i="47" s="1"/>
  <c r="Q139" i="47"/>
  <c r="R139" i="47"/>
  <c r="S139" i="47"/>
  <c r="T139" i="47"/>
  <c r="U139" i="47"/>
  <c r="V139" i="47"/>
  <c r="W139" i="47"/>
  <c r="X139" i="47"/>
  <c r="Y139" i="47"/>
  <c r="Z139" i="47"/>
  <c r="AA139" i="47"/>
  <c r="AB139" i="47"/>
  <c r="B136" i="47"/>
  <c r="C136" i="47"/>
  <c r="B138" i="47"/>
  <c r="C138" i="47"/>
  <c r="C139" i="47"/>
  <c r="B135" i="21"/>
  <c r="C135" i="21"/>
  <c r="B136" i="21"/>
  <c r="C136" i="21"/>
  <c r="B137" i="21"/>
  <c r="C137" i="21"/>
  <c r="B138" i="21"/>
  <c r="C138" i="21"/>
  <c r="B139" i="21"/>
  <c r="C139" i="21"/>
  <c r="E7" i="22"/>
  <c r="D7" i="22" s="1"/>
  <c r="B135" i="22"/>
  <c r="C135" i="22"/>
  <c r="B136" i="22"/>
  <c r="C136" i="22"/>
  <c r="B137" i="22"/>
  <c r="C137" i="22"/>
  <c r="B138" i="22"/>
  <c r="C138" i="22"/>
  <c r="B139" i="22"/>
  <c r="C139" i="22"/>
  <c r="AD135" i="22"/>
  <c r="AE135" i="22"/>
  <c r="AF135" i="22"/>
  <c r="AG135" i="22"/>
  <c r="AH135" i="22"/>
  <c r="AI135" i="22"/>
  <c r="AJ135" i="22"/>
  <c r="AK135" i="22"/>
  <c r="AL135" i="22"/>
  <c r="AM135" i="22"/>
  <c r="AD136" i="22"/>
  <c r="AE136" i="22"/>
  <c r="AF136" i="22"/>
  <c r="AG136" i="22"/>
  <c r="AH136" i="22"/>
  <c r="AI136" i="22"/>
  <c r="AJ136" i="22"/>
  <c r="AK136" i="22"/>
  <c r="AL136" i="22"/>
  <c r="AM136" i="22"/>
  <c r="AD137" i="22"/>
  <c r="AE137" i="22"/>
  <c r="AF137" i="22"/>
  <c r="AG137" i="22"/>
  <c r="AH137" i="22"/>
  <c r="AI137" i="22"/>
  <c r="AJ137" i="22"/>
  <c r="AK137" i="22"/>
  <c r="AL137" i="22"/>
  <c r="AM137" i="22"/>
  <c r="AD138" i="22"/>
  <c r="AE138" i="22"/>
  <c r="AF138" i="22"/>
  <c r="AG138" i="22"/>
  <c r="AH138" i="22"/>
  <c r="AI138" i="22"/>
  <c r="AJ138" i="22"/>
  <c r="AK138" i="22"/>
  <c r="AL138" i="22"/>
  <c r="AM138" i="22"/>
  <c r="AD139" i="22"/>
  <c r="AE139" i="22"/>
  <c r="AF139" i="22"/>
  <c r="AG139" i="22"/>
  <c r="AH139" i="22"/>
  <c r="AI139" i="22"/>
  <c r="AJ139" i="22"/>
  <c r="AK139" i="22"/>
  <c r="AL139" i="22"/>
  <c r="AM139" i="22"/>
  <c r="M126" i="4" l="1"/>
  <c r="AK139" i="8"/>
  <c r="AJ139" i="8"/>
  <c r="AG139" i="8"/>
  <c r="AF139" i="8"/>
  <c r="AK138" i="8"/>
  <c r="AJ138" i="8"/>
  <c r="AG138" i="8"/>
  <c r="AF138" i="8"/>
  <c r="AK136" i="8"/>
  <c r="AJ136" i="8"/>
  <c r="AG136" i="8"/>
  <c r="AF136" i="8"/>
  <c r="AK135" i="8"/>
  <c r="AJ135" i="8"/>
  <c r="AG135" i="8"/>
  <c r="X135" i="8" s="1"/>
  <c r="K135" i="22" s="1"/>
  <c r="AF135" i="8"/>
  <c r="W135" i="8" s="1"/>
  <c r="K135" i="47" s="1"/>
  <c r="AB139" i="8"/>
  <c r="L139" i="22" s="1"/>
  <c r="AA139" i="8"/>
  <c r="L139" i="47" s="1"/>
  <c r="X139" i="8"/>
  <c r="K139" i="22" s="1"/>
  <c r="W139" i="8"/>
  <c r="K139" i="47" s="1"/>
  <c r="AB138" i="8"/>
  <c r="L138" i="22" s="1"/>
  <c r="AA138" i="8"/>
  <c r="L138" i="47" s="1"/>
  <c r="X138" i="8"/>
  <c r="K138" i="22" s="1"/>
  <c r="W138" i="8"/>
  <c r="K138" i="47" s="1"/>
  <c r="AB136" i="8"/>
  <c r="L136" i="22" s="1"/>
  <c r="AA136" i="8"/>
  <c r="L136" i="47" s="1"/>
  <c r="X136" i="8"/>
  <c r="K136" i="22" s="1"/>
  <c r="W136" i="8"/>
  <c r="K136" i="47" s="1"/>
  <c r="AB135" i="8"/>
  <c r="L135" i="22" s="1"/>
  <c r="AA135" i="8"/>
  <c r="L135" i="47" s="1"/>
  <c r="M132" i="4"/>
  <c r="O87" i="4"/>
  <c r="O132" i="4"/>
  <c r="Y139" i="4"/>
  <c r="X139" i="4"/>
  <c r="R139" i="4"/>
  <c r="Q139" i="4"/>
  <c r="O139" i="4"/>
  <c r="M139" i="4"/>
  <c r="Y138" i="4"/>
  <c r="X138" i="4"/>
  <c r="R138" i="4"/>
  <c r="Q138" i="4"/>
  <c r="O138" i="4"/>
  <c r="M138" i="4"/>
  <c r="Y136" i="4"/>
  <c r="X136" i="4"/>
  <c r="R136" i="4"/>
  <c r="Q136" i="4"/>
  <c r="O136" i="4"/>
  <c r="M136" i="4"/>
  <c r="Y135" i="4"/>
  <c r="X135" i="4"/>
  <c r="R135" i="4"/>
  <c r="Q135" i="4"/>
  <c r="O135" i="4"/>
  <c r="M135" i="4"/>
  <c r="X137" i="4"/>
  <c r="Y119" i="4"/>
  <c r="X119" i="4"/>
  <c r="R119" i="4"/>
  <c r="Q119" i="4"/>
  <c r="O119" i="4"/>
  <c r="M119" i="4"/>
  <c r="Y11" i="4"/>
  <c r="X11" i="4"/>
  <c r="V11" i="4"/>
  <c r="T11" i="4"/>
  <c r="R11" i="4"/>
  <c r="Q11" i="4"/>
  <c r="O11" i="4"/>
  <c r="M11" i="4"/>
  <c r="Q137" i="4" l="1"/>
  <c r="Y137" i="4"/>
  <c r="S137" i="22" s="1"/>
  <c r="R137" i="4" l="1"/>
  <c r="R137" i="22" s="1"/>
  <c r="R134" i="4"/>
  <c r="R134" i="22" s="1"/>
  <c r="Q134" i="4" l="1"/>
  <c r="X134" i="4" l="1"/>
  <c r="Y134" i="4"/>
  <c r="Y48" i="2" l="1"/>
  <c r="Z48" i="2" s="1"/>
  <c r="Y50" i="2"/>
  <c r="Z50" i="2" s="1"/>
  <c r="Y51" i="2"/>
  <c r="Z51" i="2" s="1"/>
  <c r="Y52" i="2"/>
  <c r="Z52" i="2" s="1"/>
  <c r="Y53" i="2"/>
  <c r="Z53" i="2" s="1"/>
  <c r="Y55" i="2"/>
  <c r="Z55" i="2" s="1"/>
  <c r="Y58" i="2"/>
  <c r="Z58" i="2" s="1"/>
  <c r="Y59" i="2"/>
  <c r="Z59" i="2" s="1"/>
  <c r="R48" i="2"/>
  <c r="S48" i="2" s="1"/>
  <c r="R50" i="2"/>
  <c r="S50" i="2" s="1"/>
  <c r="R51" i="2"/>
  <c r="S51" i="2" s="1"/>
  <c r="R52" i="2"/>
  <c r="S52" i="2" s="1"/>
  <c r="R53" i="2"/>
  <c r="S53" i="2" s="1"/>
  <c r="R55" i="2"/>
  <c r="S55" i="2" s="1"/>
  <c r="R58" i="2"/>
  <c r="S58" i="2" s="1"/>
  <c r="R59" i="2"/>
  <c r="S59" i="2" s="1"/>
  <c r="N2" i="54"/>
  <c r="N3" i="55"/>
  <c r="B3" i="55"/>
  <c r="N2" i="55"/>
  <c r="B2" i="55"/>
  <c r="M1" i="57"/>
  <c r="N3" i="60"/>
  <c r="N2" i="60"/>
  <c r="B3" i="60"/>
  <c r="B2" i="60"/>
  <c r="N2" i="59"/>
  <c r="D64" i="15" l="1"/>
  <c r="D43" i="15"/>
  <c r="E43" i="15" s="1"/>
  <c r="D42" i="15"/>
  <c r="E42" i="15" s="1"/>
  <c r="D41" i="15"/>
  <c r="E41" i="15" s="1"/>
  <c r="D39" i="15"/>
  <c r="E39" i="15" s="1"/>
  <c r="D38" i="15"/>
  <c r="E38" i="15" s="1"/>
  <c r="D37" i="15"/>
  <c r="D36" i="15"/>
  <c r="E36" i="15" s="1"/>
  <c r="F58" i="12"/>
  <c r="F58" i="15" l="1"/>
  <c r="H74" i="16"/>
  <c r="F58" i="16"/>
  <c r="F58" i="13"/>
  <c r="H74" i="13"/>
  <c r="E58" i="12"/>
  <c r="E58" i="15" s="1"/>
  <c r="D58" i="12"/>
  <c r="D58" i="15" s="1"/>
  <c r="F22" i="60"/>
  <c r="F21" i="60"/>
  <c r="F22" i="55"/>
  <c r="H11" i="33" s="1"/>
  <c r="H53" i="33" s="1"/>
  <c r="F21" i="55"/>
  <c r="H10" i="33" s="1"/>
  <c r="H52" i="33" s="1"/>
  <c r="F31" i="15"/>
  <c r="F30" i="15"/>
  <c r="E31" i="15"/>
  <c r="E30" i="15"/>
  <c r="E76" i="13" l="1"/>
  <c r="E75" i="13"/>
  <c r="E75" i="16"/>
  <c r="E76" i="16"/>
  <c r="H22" i="33"/>
  <c r="H34" i="33"/>
  <c r="H46" i="33"/>
  <c r="H58" i="33"/>
  <c r="H23" i="33"/>
  <c r="H35" i="33"/>
  <c r="H47" i="33"/>
  <c r="H59" i="33"/>
  <c r="H16" i="33"/>
  <c r="H28" i="33"/>
  <c r="H40" i="33"/>
  <c r="H17" i="33"/>
  <c r="H29" i="33"/>
  <c r="H41" i="33"/>
  <c r="M196" i="33"/>
  <c r="L196" i="33"/>
  <c r="K196" i="33"/>
  <c r="T196" i="33"/>
  <c r="H127" i="60"/>
  <c r="I127" i="60" s="1"/>
  <c r="H126" i="60"/>
  <c r="H125" i="60"/>
  <c r="N18" i="60"/>
  <c r="N17" i="60"/>
  <c r="N16" i="60"/>
  <c r="N15" i="60"/>
  <c r="N14" i="60"/>
  <c r="N13" i="60"/>
  <c r="N12" i="60"/>
  <c r="N11" i="60"/>
  <c r="H121" i="60"/>
  <c r="N101" i="59"/>
  <c r="N100" i="59"/>
  <c r="H98" i="59"/>
  <c r="S93" i="59"/>
  <c r="S92" i="59"/>
  <c r="S91" i="59"/>
  <c r="S90" i="59"/>
  <c r="S89" i="59"/>
  <c r="S88" i="59"/>
  <c r="S87" i="59"/>
  <c r="S86" i="59"/>
  <c r="S85" i="59"/>
  <c r="S84" i="59"/>
  <c r="S83" i="59"/>
  <c r="S82" i="59"/>
  <c r="S81" i="59"/>
  <c r="S80" i="59"/>
  <c r="S79" i="59"/>
  <c r="F74" i="59"/>
  <c r="H57" i="59"/>
  <c r="M56" i="59"/>
  <c r="M55" i="59"/>
  <c r="M54" i="59"/>
  <c r="M53" i="59"/>
  <c r="M52" i="59"/>
  <c r="AB49" i="59"/>
  <c r="AC49" i="59" s="1"/>
  <c r="X49" i="59"/>
  <c r="Y49" i="59" s="1"/>
  <c r="AB48" i="59"/>
  <c r="AC48" i="59" s="1"/>
  <c r="X48" i="59"/>
  <c r="Y48" i="59" s="1"/>
  <c r="AB47" i="59"/>
  <c r="AC47" i="59" s="1"/>
  <c r="X47" i="59"/>
  <c r="Y47" i="59" s="1"/>
  <c r="AB46" i="59"/>
  <c r="AC46" i="59" s="1"/>
  <c r="X46" i="59"/>
  <c r="Y46" i="59" s="1"/>
  <c r="M45" i="59"/>
  <c r="I45" i="59"/>
  <c r="V44" i="59"/>
  <c r="M44" i="59"/>
  <c r="M25" i="59" s="1"/>
  <c r="I44" i="59"/>
  <c r="V27" i="59" s="1"/>
  <c r="AB39" i="59"/>
  <c r="AC39" i="59" s="1"/>
  <c r="X39" i="59"/>
  <c r="Y39" i="59" s="1"/>
  <c r="AB38" i="59"/>
  <c r="AC38" i="59" s="1"/>
  <c r="X38" i="59"/>
  <c r="Y38" i="59" s="1"/>
  <c r="AB37" i="59"/>
  <c r="AC37" i="59" s="1"/>
  <c r="X37" i="59"/>
  <c r="Y37" i="59" s="1"/>
  <c r="AB36" i="59"/>
  <c r="AC36" i="59" s="1"/>
  <c r="X36" i="59"/>
  <c r="Y36" i="59" s="1"/>
  <c r="I36" i="59"/>
  <c r="F120" i="60"/>
  <c r="F126" i="60" s="1"/>
  <c r="L126" i="60" s="1"/>
  <c r="N27" i="59"/>
  <c r="I27" i="59"/>
  <c r="N25" i="59"/>
  <c r="Z27" i="59" s="1"/>
  <c r="AB24" i="59"/>
  <c r="AC24" i="59" s="1"/>
  <c r="W24" i="59"/>
  <c r="AB23" i="59"/>
  <c r="AC23" i="59" s="1"/>
  <c r="V23" i="59"/>
  <c r="AB22" i="59"/>
  <c r="AC22" i="59" s="1"/>
  <c r="AB21" i="59"/>
  <c r="AC21" i="59" s="1"/>
  <c r="V19" i="59"/>
  <c r="M12" i="59"/>
  <c r="AB10" i="59"/>
  <c r="AC10" i="59" s="1"/>
  <c r="AC3" i="59" s="1"/>
  <c r="Y10" i="59"/>
  <c r="X10" i="59"/>
  <c r="AB9" i="59"/>
  <c r="AC9" i="59" s="1"/>
  <c r="X9" i="59"/>
  <c r="Y9" i="59" s="1"/>
  <c r="AB8" i="59"/>
  <c r="AC8" i="59" s="1"/>
  <c r="X8" i="59"/>
  <c r="Y8" i="59" s="1"/>
  <c r="I8" i="59"/>
  <c r="AB7" i="59"/>
  <c r="AC7" i="59" s="1"/>
  <c r="X7" i="59"/>
  <c r="Y7" i="59" s="1"/>
  <c r="H6" i="59"/>
  <c r="J8" i="59"/>
  <c r="J10" i="59"/>
  <c r="I10" i="59"/>
  <c r="W25" i="59" l="1"/>
  <c r="V22" i="59"/>
  <c r="W23" i="59"/>
  <c r="V21" i="59"/>
  <c r="W22" i="59"/>
  <c r="E77" i="16"/>
  <c r="W21" i="59"/>
  <c r="V24" i="59"/>
  <c r="V25" i="59" s="1"/>
  <c r="I19" i="59" s="1"/>
  <c r="Z19" i="59" s="1"/>
  <c r="E77" i="13"/>
  <c r="AF125" i="8"/>
  <c r="N196" i="33"/>
  <c r="O196" i="33" s="1"/>
  <c r="J110" i="59"/>
  <c r="O120" i="60"/>
  <c r="N52" i="59"/>
  <c r="N40" i="59" s="1"/>
  <c r="O45" i="60"/>
  <c r="O72" i="60"/>
  <c r="O41" i="60"/>
  <c r="O46" i="60"/>
  <c r="O53" i="60"/>
  <c r="O64" i="60"/>
  <c r="O80" i="60"/>
  <c r="O54" i="60"/>
  <c r="O74" i="60"/>
  <c r="O68" i="60"/>
  <c r="O60" i="60"/>
  <c r="O56" i="60"/>
  <c r="O52" i="60"/>
  <c r="O49" i="60"/>
  <c r="O44" i="60"/>
  <c r="O43" i="60"/>
  <c r="O84" i="60"/>
  <c r="O48" i="60"/>
  <c r="O47" i="60"/>
  <c r="O42" i="60"/>
  <c r="O38" i="60"/>
  <c r="O76" i="60"/>
  <c r="O58" i="60"/>
  <c r="O39" i="60"/>
  <c r="O40" i="60"/>
  <c r="O51" i="60"/>
  <c r="O66" i="60"/>
  <c r="O82" i="60"/>
  <c r="O90" i="60"/>
  <c r="Y27" i="59"/>
  <c r="X27" i="59"/>
  <c r="N197" i="33"/>
  <c r="F121" i="60"/>
  <c r="M31" i="59"/>
  <c r="AF126" i="8" s="1"/>
  <c r="O50" i="60"/>
  <c r="M36" i="59"/>
  <c r="Z44" i="59" s="1"/>
  <c r="AB3" i="59"/>
  <c r="J9" i="59" s="1"/>
  <c r="X44" i="59"/>
  <c r="Y44" i="59"/>
  <c r="M27" i="59"/>
  <c r="AB27" i="59"/>
  <c r="AC27" i="59"/>
  <c r="V42" i="59"/>
  <c r="Y3" i="59"/>
  <c r="O88" i="60"/>
  <c r="X3" i="59"/>
  <c r="L120" i="60"/>
  <c r="L80" i="60"/>
  <c r="L38" i="60"/>
  <c r="L44" i="60"/>
  <c r="L54" i="60"/>
  <c r="AF132" i="8" l="1"/>
  <c r="I37" i="59"/>
  <c r="L66" i="60"/>
  <c r="L45" i="60"/>
  <c r="L51" i="60"/>
  <c r="L46" i="60"/>
  <c r="L72" i="60"/>
  <c r="L49" i="60"/>
  <c r="L74" i="60"/>
  <c r="L43" i="60"/>
  <c r="L53" i="60"/>
  <c r="L76" i="60"/>
  <c r="L50" i="60"/>
  <c r="L42" i="60"/>
  <c r="L47" i="60"/>
  <c r="L41" i="60"/>
  <c r="L64" i="60"/>
  <c r="L84" i="60"/>
  <c r="L52" i="60"/>
  <c r="L56" i="60"/>
  <c r="L88" i="60"/>
  <c r="L39" i="60"/>
  <c r="L48" i="60"/>
  <c r="L40" i="60"/>
  <c r="L58" i="60"/>
  <c r="L82" i="60"/>
  <c r="L90" i="60"/>
  <c r="O197" i="33"/>
  <c r="O70" i="60"/>
  <c r="L70" i="60"/>
  <c r="O55" i="60"/>
  <c r="L55" i="60"/>
  <c r="O71" i="60"/>
  <c r="L71" i="60"/>
  <c r="O83" i="60"/>
  <c r="L83" i="60"/>
  <c r="L121" i="60"/>
  <c r="F127" i="60"/>
  <c r="L127" i="60" s="1"/>
  <c r="O121" i="60"/>
  <c r="AC44" i="59"/>
  <c r="AB19" i="59"/>
  <c r="AB44" i="59"/>
  <c r="AC19" i="59"/>
  <c r="L60" i="60"/>
  <c r="O65" i="60"/>
  <c r="L65" i="60"/>
  <c r="O77" i="60"/>
  <c r="L77" i="60"/>
  <c r="Y42" i="59"/>
  <c r="X42" i="59"/>
  <c r="M37" i="59"/>
  <c r="O78" i="60"/>
  <c r="L78" i="60"/>
  <c r="L62" i="60"/>
  <c r="O62" i="60"/>
  <c r="O59" i="60"/>
  <c r="L59" i="60"/>
  <c r="O63" i="60"/>
  <c r="L63" i="60"/>
  <c r="O67" i="60"/>
  <c r="L67" i="60"/>
  <c r="O75" i="60"/>
  <c r="L75" i="60"/>
  <c r="O79" i="60"/>
  <c r="L79" i="60"/>
  <c r="O87" i="60"/>
  <c r="L87" i="60"/>
  <c r="O91" i="60"/>
  <c r="L91" i="60"/>
  <c r="L68" i="60"/>
  <c r="O57" i="60"/>
  <c r="L57" i="60"/>
  <c r="O61" i="60"/>
  <c r="L61" i="60"/>
  <c r="O69" i="60"/>
  <c r="L69" i="60"/>
  <c r="O73" i="60"/>
  <c r="L73" i="60"/>
  <c r="O81" i="60"/>
  <c r="L81" i="60"/>
  <c r="O85" i="60"/>
  <c r="L85" i="60"/>
  <c r="O89" i="60"/>
  <c r="L89" i="60"/>
  <c r="O86" i="60"/>
  <c r="L86" i="60"/>
  <c r="I9" i="59"/>
  <c r="I12" i="59" s="1"/>
  <c r="I21" i="59" l="1"/>
  <c r="J110" i="54" l="1"/>
  <c r="N29" i="54"/>
  <c r="M29" i="54"/>
  <c r="V196" i="33"/>
  <c r="U196" i="33"/>
  <c r="W197" i="33" s="1"/>
  <c r="X197" i="33" s="1"/>
  <c r="D196" i="33"/>
  <c r="E196" i="33"/>
  <c r="F196" i="33"/>
  <c r="S79" i="54"/>
  <c r="S80" i="54"/>
  <c r="S81" i="54"/>
  <c r="S82" i="54"/>
  <c r="S83" i="54"/>
  <c r="S84" i="54"/>
  <c r="S85" i="54"/>
  <c r="S86" i="54"/>
  <c r="S87" i="54"/>
  <c r="S88" i="54"/>
  <c r="S89" i="54"/>
  <c r="S90" i="54"/>
  <c r="S91" i="54"/>
  <c r="S92" i="54"/>
  <c r="S93" i="54"/>
  <c r="S78" i="54"/>
  <c r="O170" i="33"/>
  <c r="N170" i="33"/>
  <c r="P170" i="33"/>
  <c r="H41" i="57"/>
  <c r="H33" i="57"/>
  <c r="K25" i="57"/>
  <c r="M42" i="57" s="1"/>
  <c r="J20" i="57"/>
  <c r="I18" i="57"/>
  <c r="I17" i="57"/>
  <c r="I16" i="57"/>
  <c r="I15" i="57"/>
  <c r="BJ169" i="47"/>
  <c r="BI169" i="47"/>
  <c r="BH169" i="47"/>
  <c r="BG169" i="47"/>
  <c r="BF169" i="47"/>
  <c r="BE169" i="47"/>
  <c r="BD169" i="47"/>
  <c r="BC169" i="47"/>
  <c r="BB169" i="47"/>
  <c r="BA169" i="47"/>
  <c r="BJ161" i="47"/>
  <c r="BI161" i="47"/>
  <c r="BH161" i="47"/>
  <c r="BG161" i="47"/>
  <c r="BF161" i="47"/>
  <c r="BE161" i="47"/>
  <c r="BD161" i="47"/>
  <c r="BC161" i="47"/>
  <c r="BB161" i="47"/>
  <c r="BA161" i="47"/>
  <c r="BJ160" i="47"/>
  <c r="BI160" i="47"/>
  <c r="BH160" i="47"/>
  <c r="BG160" i="47"/>
  <c r="BF160" i="47"/>
  <c r="BE160" i="47"/>
  <c r="BD160" i="47"/>
  <c r="BC160" i="47"/>
  <c r="BB160" i="47"/>
  <c r="BA160" i="47"/>
  <c r="BD169" i="22"/>
  <c r="BC169" i="22"/>
  <c r="BB169" i="22"/>
  <c r="BA169" i="22"/>
  <c r="AZ169" i="22"/>
  <c r="AY169" i="22"/>
  <c r="AX169" i="22"/>
  <c r="AW169" i="22"/>
  <c r="AV169" i="22"/>
  <c r="AU169" i="22"/>
  <c r="BD161" i="22"/>
  <c r="BC161" i="22"/>
  <c r="BB161" i="22"/>
  <c r="BA161" i="22"/>
  <c r="AZ161" i="22"/>
  <c r="AY161" i="22"/>
  <c r="AX161" i="22"/>
  <c r="AW161" i="22"/>
  <c r="AV161" i="22"/>
  <c r="AU161" i="22"/>
  <c r="BD160" i="22"/>
  <c r="BC160" i="22"/>
  <c r="BB160" i="22"/>
  <c r="BA160" i="22"/>
  <c r="AZ160" i="22"/>
  <c r="AY160" i="22"/>
  <c r="AX160" i="22"/>
  <c r="AW160" i="22"/>
  <c r="AV160" i="22"/>
  <c r="AU160" i="22"/>
  <c r="L30" i="57" l="1"/>
  <c r="M33" i="57"/>
  <c r="M38" i="57"/>
  <c r="L26" i="57"/>
  <c r="L31" i="57"/>
  <c r="M34" i="57"/>
  <c r="M39" i="57"/>
  <c r="L27" i="57"/>
  <c r="L32" i="57"/>
  <c r="M35" i="57"/>
  <c r="L28" i="57"/>
  <c r="M37" i="57"/>
  <c r="M41" i="57"/>
  <c r="M14" i="54"/>
  <c r="N112" i="54"/>
  <c r="Q112" i="54"/>
  <c r="L29" i="57"/>
  <c r="M36" i="57"/>
  <c r="M40" i="57"/>
  <c r="I54" i="54"/>
  <c r="I53" i="54"/>
  <c r="I56" i="54"/>
  <c r="I52" i="54"/>
  <c r="I55" i="54"/>
  <c r="Q108" i="54"/>
  <c r="N108" i="54"/>
  <c r="G196" i="33"/>
  <c r="H196" i="33" s="1"/>
  <c r="W196" i="33"/>
  <c r="X196" i="33" s="1"/>
  <c r="G197" i="33"/>
  <c r="M27" i="57"/>
  <c r="M28" i="57"/>
  <c r="M29" i="57"/>
  <c r="M30" i="57"/>
  <c r="M31" i="57"/>
  <c r="M32" i="57"/>
  <c r="L42" i="57"/>
  <c r="L41" i="57"/>
  <c r="M26" i="57"/>
  <c r="L33" i="57"/>
  <c r="L34" i="57"/>
  <c r="L35" i="57"/>
  <c r="L36" i="57"/>
  <c r="L37" i="57"/>
  <c r="L38" i="57"/>
  <c r="L39" i="57"/>
  <c r="L40" i="57"/>
  <c r="H85" i="13" l="1"/>
  <c r="H85" i="16"/>
  <c r="CA169" i="47"/>
  <c r="BZ169" i="47"/>
  <c r="BY169" i="47"/>
  <c r="BX169" i="47"/>
  <c r="BW169" i="47"/>
  <c r="BV169" i="47"/>
  <c r="BU169" i="47"/>
  <c r="BT169" i="47"/>
  <c r="BS169" i="47"/>
  <c r="BR169" i="47"/>
  <c r="CA161" i="47"/>
  <c r="BZ161" i="47"/>
  <c r="BY161" i="47"/>
  <c r="BX161" i="47"/>
  <c r="BW161" i="47"/>
  <c r="BV161" i="47"/>
  <c r="BU161" i="47"/>
  <c r="BT161" i="47"/>
  <c r="BS161" i="47"/>
  <c r="BR161" i="47"/>
  <c r="CA160" i="47"/>
  <c r="BZ160" i="47"/>
  <c r="BY160" i="47"/>
  <c r="BX160" i="47"/>
  <c r="BW160" i="47"/>
  <c r="BV160" i="47"/>
  <c r="BU160" i="47"/>
  <c r="BT160" i="47"/>
  <c r="BS160" i="47"/>
  <c r="BR160" i="47"/>
  <c r="BU169" i="22"/>
  <c r="BT169" i="22"/>
  <c r="BS169" i="22"/>
  <c r="BR169" i="22"/>
  <c r="BQ169" i="22"/>
  <c r="BP169" i="22"/>
  <c r="BO169" i="22"/>
  <c r="BN169" i="22"/>
  <c r="BM169" i="22"/>
  <c r="BL169" i="22"/>
  <c r="BU161" i="22"/>
  <c r="BT161" i="22"/>
  <c r="BS161" i="22"/>
  <c r="BR161" i="22"/>
  <c r="BQ161" i="22"/>
  <c r="BP161" i="22"/>
  <c r="BO161" i="22"/>
  <c r="BN161" i="22"/>
  <c r="BM161" i="22"/>
  <c r="BL161" i="22"/>
  <c r="BU160" i="22"/>
  <c r="BT160" i="22"/>
  <c r="BS160" i="22"/>
  <c r="BR160" i="22"/>
  <c r="BQ160" i="22"/>
  <c r="BP160" i="22"/>
  <c r="BO160" i="22"/>
  <c r="BN160" i="22"/>
  <c r="BM160" i="22"/>
  <c r="BL160" i="22"/>
  <c r="H127" i="55"/>
  <c r="H126" i="55"/>
  <c r="H125" i="55"/>
  <c r="N18" i="55"/>
  <c r="N17" i="55"/>
  <c r="N16" i="55"/>
  <c r="N15" i="55"/>
  <c r="N14" i="55"/>
  <c r="N13" i="55"/>
  <c r="N12" i="55"/>
  <c r="N11" i="55"/>
  <c r="H121" i="55"/>
  <c r="I121" i="55"/>
  <c r="N101" i="54"/>
  <c r="N100" i="54"/>
  <c r="H98" i="54"/>
  <c r="H57" i="54"/>
  <c r="M56" i="54"/>
  <c r="M55" i="54"/>
  <c r="M54" i="54"/>
  <c r="M53" i="54"/>
  <c r="M52" i="54"/>
  <c r="AC49" i="54"/>
  <c r="AB49" i="54"/>
  <c r="X49" i="54"/>
  <c r="Y49" i="54" s="1"/>
  <c r="AC48" i="54"/>
  <c r="AB48" i="54"/>
  <c r="X48" i="54"/>
  <c r="Y48" i="54" s="1"/>
  <c r="AC47" i="54"/>
  <c r="AB47" i="54"/>
  <c r="X47" i="54"/>
  <c r="Y47" i="54" s="1"/>
  <c r="AC46" i="54"/>
  <c r="AB46" i="54"/>
  <c r="X46" i="54"/>
  <c r="Y46" i="54" s="1"/>
  <c r="M45" i="54"/>
  <c r="I45" i="54"/>
  <c r="F74" i="54" s="1"/>
  <c r="M44" i="54"/>
  <c r="M25" i="54" s="1"/>
  <c r="I44" i="54"/>
  <c r="V27" i="54" s="1"/>
  <c r="AC39" i="54"/>
  <c r="AB39" i="54"/>
  <c r="X39" i="54"/>
  <c r="Y39" i="54" s="1"/>
  <c r="AC38" i="54"/>
  <c r="AB38" i="54"/>
  <c r="X38" i="54"/>
  <c r="Y38" i="54" s="1"/>
  <c r="AC37" i="54"/>
  <c r="AB37" i="54"/>
  <c r="X37" i="54"/>
  <c r="Y37" i="54" s="1"/>
  <c r="AB36" i="54"/>
  <c r="AC36" i="54" s="1"/>
  <c r="X36" i="54"/>
  <c r="Y36" i="54" s="1"/>
  <c r="I36" i="54"/>
  <c r="V44" i="54" s="1"/>
  <c r="I27" i="54"/>
  <c r="N25" i="54"/>
  <c r="Z27" i="54" s="1"/>
  <c r="AB24" i="54"/>
  <c r="AC24" i="54" s="1"/>
  <c r="AC23" i="54"/>
  <c r="AB23" i="54"/>
  <c r="AB22" i="54"/>
  <c r="AC22" i="54" s="1"/>
  <c r="AB21" i="54"/>
  <c r="AC21" i="54" s="1"/>
  <c r="V19" i="54"/>
  <c r="W22" i="54" s="1"/>
  <c r="M12" i="54"/>
  <c r="AB10" i="54"/>
  <c r="AC10" i="54" s="1"/>
  <c r="AC3" i="54" s="1"/>
  <c r="X10" i="54"/>
  <c r="Y10" i="54" s="1"/>
  <c r="AB9" i="54"/>
  <c r="AC9" i="54" s="1"/>
  <c r="X9" i="54"/>
  <c r="Y9" i="54" s="1"/>
  <c r="AB8" i="54"/>
  <c r="AC8" i="54" s="1"/>
  <c r="X8" i="54"/>
  <c r="Y8" i="54" s="1"/>
  <c r="I8" i="54"/>
  <c r="AB7" i="54"/>
  <c r="AC7" i="54" s="1"/>
  <c r="X7" i="54"/>
  <c r="Y7" i="54" s="1"/>
  <c r="H6" i="54"/>
  <c r="J8" i="54"/>
  <c r="J10" i="54"/>
  <c r="I10" i="54"/>
  <c r="AB3" i="54"/>
  <c r="X3" i="54"/>
  <c r="W21" i="54" l="1"/>
  <c r="W24" i="54"/>
  <c r="W25" i="54" s="1"/>
  <c r="W23" i="54"/>
  <c r="I127" i="55"/>
  <c r="I33" i="54"/>
  <c r="AG132" i="8" s="1"/>
  <c r="AG125" i="8"/>
  <c r="O49" i="55"/>
  <c r="O41" i="55"/>
  <c r="O56" i="55"/>
  <c r="X27" i="54"/>
  <c r="Y27" i="54"/>
  <c r="O43" i="55"/>
  <c r="O51" i="55"/>
  <c r="O47" i="55"/>
  <c r="O53" i="55"/>
  <c r="O57" i="55"/>
  <c r="O39" i="55"/>
  <c r="AC27" i="54"/>
  <c r="AB27" i="54"/>
  <c r="M27" i="54"/>
  <c r="V42" i="54"/>
  <c r="M36" i="54"/>
  <c r="Z44" i="54" s="1"/>
  <c r="N52" i="54"/>
  <c r="N40" i="54" s="1"/>
  <c r="Y44" i="54"/>
  <c r="X44" i="54"/>
  <c r="J9" i="54"/>
  <c r="Y3" i="54"/>
  <c r="I9" i="54" s="1"/>
  <c r="V21" i="54"/>
  <c r="V22" i="54"/>
  <c r="V23" i="54"/>
  <c r="V24" i="54"/>
  <c r="V25" i="54" s="1"/>
  <c r="I19" i="54" s="1"/>
  <c r="O45" i="55"/>
  <c r="I12" i="54"/>
  <c r="N27" i="54"/>
  <c r="I37" i="54"/>
  <c r="L49" i="55"/>
  <c r="L41" i="55" l="1"/>
  <c r="L53" i="55"/>
  <c r="L47" i="55"/>
  <c r="L39" i="55"/>
  <c r="L51" i="55"/>
  <c r="L56" i="55"/>
  <c r="L43" i="55"/>
  <c r="L57" i="55"/>
  <c r="L45" i="55"/>
  <c r="Z19" i="54"/>
  <c r="L91" i="55"/>
  <c r="O91" i="55"/>
  <c r="L75" i="55"/>
  <c r="O75" i="55"/>
  <c r="L59" i="55"/>
  <c r="O59" i="55"/>
  <c r="L85" i="55"/>
  <c r="O85" i="55"/>
  <c r="L77" i="55"/>
  <c r="O77" i="55"/>
  <c r="L69" i="55"/>
  <c r="O69" i="55"/>
  <c r="L61" i="55"/>
  <c r="O61" i="55"/>
  <c r="L52" i="55"/>
  <c r="O52" i="55"/>
  <c r="L48" i="55"/>
  <c r="O48" i="55"/>
  <c r="L44" i="55"/>
  <c r="O44" i="55"/>
  <c r="L40" i="55"/>
  <c r="O40" i="55"/>
  <c r="F121" i="55"/>
  <c r="M31" i="54"/>
  <c r="AG126" i="8" s="1"/>
  <c r="L58" i="55"/>
  <c r="O58" i="55"/>
  <c r="O60" i="55"/>
  <c r="L60" i="55"/>
  <c r="O64" i="55"/>
  <c r="L64" i="55"/>
  <c r="O68" i="55"/>
  <c r="L68" i="55"/>
  <c r="O72" i="55"/>
  <c r="L72" i="55"/>
  <c r="O76" i="55"/>
  <c r="L76" i="55"/>
  <c r="O80" i="55"/>
  <c r="L80" i="55"/>
  <c r="O84" i="55"/>
  <c r="L84" i="55"/>
  <c r="O88" i="55"/>
  <c r="L88" i="55"/>
  <c r="M37" i="54"/>
  <c r="L83" i="55"/>
  <c r="O83" i="55"/>
  <c r="L67" i="55"/>
  <c r="O67" i="55"/>
  <c r="L87" i="55"/>
  <c r="O87" i="55"/>
  <c r="L79" i="55"/>
  <c r="O79" i="55"/>
  <c r="L71" i="55"/>
  <c r="O71" i="55"/>
  <c r="L63" i="55"/>
  <c r="O63" i="55"/>
  <c r="L89" i="55"/>
  <c r="O89" i="55"/>
  <c r="L81" i="55"/>
  <c r="O81" i="55"/>
  <c r="L73" i="55"/>
  <c r="O73" i="55"/>
  <c r="L65" i="55"/>
  <c r="O65" i="55"/>
  <c r="L55" i="55"/>
  <c r="O55" i="55"/>
  <c r="L54" i="55"/>
  <c r="O54" i="55"/>
  <c r="L50" i="55"/>
  <c r="O50" i="55"/>
  <c r="L46" i="55"/>
  <c r="O46" i="55"/>
  <c r="L42" i="55"/>
  <c r="O42" i="55"/>
  <c r="L38" i="55"/>
  <c r="O38" i="55"/>
  <c r="O62" i="55"/>
  <c r="L62" i="55"/>
  <c r="O66" i="55"/>
  <c r="L66" i="55"/>
  <c r="O70" i="55"/>
  <c r="L70" i="55"/>
  <c r="O74" i="55"/>
  <c r="L74" i="55"/>
  <c r="O78" i="55"/>
  <c r="L78" i="55"/>
  <c r="O82" i="55"/>
  <c r="L82" i="55"/>
  <c r="O86" i="55"/>
  <c r="L86" i="55"/>
  <c r="O90" i="55"/>
  <c r="L90" i="55"/>
  <c r="F120" i="55"/>
  <c r="X42" i="54"/>
  <c r="Y42" i="54"/>
  <c r="O121" i="55" l="1"/>
  <c r="F127" i="55"/>
  <c r="L127" i="55" s="1"/>
  <c r="L121" i="55"/>
  <c r="O120" i="55"/>
  <c r="L120" i="55"/>
  <c r="F126" i="55"/>
  <c r="L126" i="55" s="1"/>
  <c r="AB44" i="54"/>
  <c r="AC19" i="54"/>
  <c r="AB19" i="54"/>
  <c r="AC44" i="54"/>
  <c r="I21" i="54" l="1"/>
  <c r="O63" i="2" l="1"/>
  <c r="J70" i="2" l="1"/>
  <c r="W84" i="2"/>
  <c r="W86" i="2"/>
  <c r="W85" i="2"/>
  <c r="E40" i="57" s="1"/>
  <c r="W80" i="2"/>
  <c r="W88" i="2"/>
  <c r="G168" i="33" s="1"/>
  <c r="W72" i="2"/>
  <c r="W73" i="2"/>
  <c r="W74" i="2"/>
  <c r="W75" i="2"/>
  <c r="W76" i="2"/>
  <c r="E31" i="57" s="1"/>
  <c r="W77" i="2"/>
  <c r="E32" i="57" s="1"/>
  <c r="W78" i="2"/>
  <c r="W79" i="2"/>
  <c r="W81" i="2"/>
  <c r="W82" i="2"/>
  <c r="W83" i="2"/>
  <c r="W87" i="2"/>
  <c r="G167" i="33" s="1"/>
  <c r="H167" i="33" s="1"/>
  <c r="W89" i="2"/>
  <c r="G169" i="33" s="1"/>
  <c r="W71" i="2"/>
  <c r="P84" i="2"/>
  <c r="P86" i="2"/>
  <c r="P85" i="2"/>
  <c r="P80" i="2"/>
  <c r="H87" i="59" s="1"/>
  <c r="P72" i="2"/>
  <c r="P73" i="2"/>
  <c r="P74" i="2"/>
  <c r="P75" i="2"/>
  <c r="P76" i="2"/>
  <c r="P77" i="2"/>
  <c r="P78" i="2"/>
  <c r="P79" i="2"/>
  <c r="P81" i="2"/>
  <c r="P82" i="2"/>
  <c r="P83" i="2"/>
  <c r="P88" i="2"/>
  <c r="U168" i="33" s="1"/>
  <c r="V168" i="33" s="1"/>
  <c r="P89" i="2"/>
  <c r="U169" i="33" s="1"/>
  <c r="V169" i="33" s="1"/>
  <c r="P71" i="2"/>
  <c r="O60" i="2"/>
  <c r="R60" i="2" s="1"/>
  <c r="O61" i="2"/>
  <c r="P16" i="2"/>
  <c r="I177" i="33" s="1"/>
  <c r="P196" i="33" s="1"/>
  <c r="P7" i="53"/>
  <c r="D5" i="53" s="1"/>
  <c r="D24" i="53"/>
  <c r="O7" i="53"/>
  <c r="C5" i="53" s="1"/>
  <c r="AA179" i="33"/>
  <c r="Z179" i="33"/>
  <c r="Y179" i="33"/>
  <c r="X179" i="33"/>
  <c r="W179" i="33"/>
  <c r="V179" i="33"/>
  <c r="U179" i="33"/>
  <c r="T179" i="33"/>
  <c r="AA178" i="33"/>
  <c r="Z178" i="33"/>
  <c r="Y178" i="33"/>
  <c r="X178" i="33"/>
  <c r="W178" i="33"/>
  <c r="V178" i="33"/>
  <c r="U178" i="33"/>
  <c r="T178" i="33"/>
  <c r="H169" i="33"/>
  <c r="H168" i="33"/>
  <c r="Q167" i="33"/>
  <c r="P167" i="33"/>
  <c r="O167" i="33"/>
  <c r="P149" i="33"/>
  <c r="O149" i="33"/>
  <c r="I101" i="33"/>
  <c r="D65" i="15" s="1"/>
  <c r="Q91" i="33"/>
  <c r="P91" i="33"/>
  <c r="O91" i="33"/>
  <c r="N91" i="33"/>
  <c r="M91" i="33"/>
  <c r="L91" i="33"/>
  <c r="K91" i="33"/>
  <c r="J91" i="33"/>
  <c r="I91" i="33"/>
  <c r="Q88" i="33"/>
  <c r="P88" i="33"/>
  <c r="O88" i="33"/>
  <c r="N88" i="33"/>
  <c r="M88" i="33"/>
  <c r="L88" i="33"/>
  <c r="K88" i="33"/>
  <c r="J88" i="33"/>
  <c r="I88" i="33"/>
  <c r="Q85" i="33"/>
  <c r="P85" i="33"/>
  <c r="O85" i="33"/>
  <c r="N85" i="33"/>
  <c r="M85" i="33"/>
  <c r="L85" i="33"/>
  <c r="K85" i="33"/>
  <c r="J85" i="33"/>
  <c r="I85" i="33"/>
  <c r="Q82" i="33"/>
  <c r="P82" i="33"/>
  <c r="O82" i="33"/>
  <c r="N82" i="33"/>
  <c r="M82" i="33"/>
  <c r="L82" i="33"/>
  <c r="K82" i="33"/>
  <c r="J82" i="33"/>
  <c r="I82" i="33"/>
  <c r="Q79" i="33"/>
  <c r="P79" i="33"/>
  <c r="O79" i="33"/>
  <c r="N79" i="33"/>
  <c r="M79" i="33"/>
  <c r="L79" i="33"/>
  <c r="K79" i="33"/>
  <c r="J79" i="33"/>
  <c r="I79" i="33"/>
  <c r="Q76" i="33"/>
  <c r="P76" i="33"/>
  <c r="O76" i="33"/>
  <c r="N76" i="33"/>
  <c r="M76" i="33"/>
  <c r="L76" i="33"/>
  <c r="K76" i="33"/>
  <c r="J76" i="33"/>
  <c r="I76" i="33"/>
  <c r="Q73" i="33"/>
  <c r="P73" i="33"/>
  <c r="O73" i="33"/>
  <c r="K73" i="33"/>
  <c r="J73" i="33"/>
  <c r="I73" i="33"/>
  <c r="Q70" i="33"/>
  <c r="P70" i="33"/>
  <c r="O70" i="33"/>
  <c r="N70" i="33"/>
  <c r="M70" i="33"/>
  <c r="L70" i="33"/>
  <c r="K70" i="33"/>
  <c r="J70" i="33"/>
  <c r="I70" i="33"/>
  <c r="Q67" i="33"/>
  <c r="P67" i="33"/>
  <c r="O67" i="33"/>
  <c r="N67" i="33"/>
  <c r="M67" i="33"/>
  <c r="L67" i="33"/>
  <c r="K67" i="33"/>
  <c r="J67" i="33"/>
  <c r="I67" i="33"/>
  <c r="Q59" i="33"/>
  <c r="P58" i="33"/>
  <c r="P53" i="33"/>
  <c r="O52" i="33"/>
  <c r="O47" i="33"/>
  <c r="N46" i="33"/>
  <c r="N41" i="33"/>
  <c r="Q40" i="33"/>
  <c r="Q35" i="33"/>
  <c r="K34" i="33"/>
  <c r="P34" i="33"/>
  <c r="P29" i="33"/>
  <c r="O28" i="33"/>
  <c r="P23" i="33"/>
  <c r="N22" i="33"/>
  <c r="G18" i="33"/>
  <c r="G24" i="33" s="1"/>
  <c r="G30" i="33" s="1"/>
  <c r="G36" i="33" s="1"/>
  <c r="G42" i="33" s="1"/>
  <c r="G48" i="33" s="1"/>
  <c r="G54" i="33" s="1"/>
  <c r="G60" i="33" s="1"/>
  <c r="N17" i="33"/>
  <c r="G17" i="33"/>
  <c r="G23" i="33" s="1"/>
  <c r="G29" i="33" s="1"/>
  <c r="G35" i="33" s="1"/>
  <c r="G41" i="33" s="1"/>
  <c r="G47" i="33" s="1"/>
  <c r="G53" i="33" s="1"/>
  <c r="G59" i="33" s="1"/>
  <c r="Q16" i="33"/>
  <c r="G16" i="33"/>
  <c r="G22" i="33" s="1"/>
  <c r="G28" i="33" s="1"/>
  <c r="G34" i="33" s="1"/>
  <c r="G40" i="33" s="1"/>
  <c r="G46" i="33" s="1"/>
  <c r="G52" i="33" s="1"/>
  <c r="G58" i="33" s="1"/>
  <c r="G15" i="33"/>
  <c r="G21" i="33" s="1"/>
  <c r="G27" i="33" s="1"/>
  <c r="G33" i="33" s="1"/>
  <c r="G39" i="33" s="1"/>
  <c r="G45" i="33" s="1"/>
  <c r="G51" i="33" s="1"/>
  <c r="G57" i="33" s="1"/>
  <c r="G14" i="33"/>
  <c r="G20" i="33" s="1"/>
  <c r="G26" i="33" s="1"/>
  <c r="G32" i="33" s="1"/>
  <c r="G38" i="33" s="1"/>
  <c r="G44" i="33" s="1"/>
  <c r="G50" i="33" s="1"/>
  <c r="G56" i="33" s="1"/>
  <c r="G13" i="33"/>
  <c r="G19" i="33" s="1"/>
  <c r="G25" i="33" s="1"/>
  <c r="G31" i="33" s="1"/>
  <c r="G37" i="33" s="1"/>
  <c r="G43" i="33" s="1"/>
  <c r="G49" i="33" s="1"/>
  <c r="G55" i="33" s="1"/>
  <c r="P11" i="33"/>
  <c r="N10" i="33"/>
  <c r="H64" i="2"/>
  <c r="V62" i="2" s="1"/>
  <c r="Y62" i="2" s="1"/>
  <c r="C64" i="2"/>
  <c r="O62" i="2" s="1"/>
  <c r="H57" i="2"/>
  <c r="H54" i="2"/>
  <c r="H49" i="2"/>
  <c r="H47" i="2"/>
  <c r="C57" i="2"/>
  <c r="C54" i="2"/>
  <c r="C49" i="2"/>
  <c r="C47" i="2"/>
  <c r="S8" i="60" s="1"/>
  <c r="U7" i="60" s="1"/>
  <c r="I188" i="33" l="1"/>
  <c r="S15" i="55"/>
  <c r="F15" i="60"/>
  <c r="F13" i="60"/>
  <c r="F10" i="60"/>
  <c r="F11" i="60"/>
  <c r="F16" i="60"/>
  <c r="F14" i="60"/>
  <c r="F12" i="60"/>
  <c r="F17" i="60"/>
  <c r="F18" i="60"/>
  <c r="S8" i="55"/>
  <c r="H103" i="55"/>
  <c r="H103" i="60"/>
  <c r="J105" i="55"/>
  <c r="J105" i="60"/>
  <c r="H106" i="60"/>
  <c r="H106" i="55"/>
  <c r="J108" i="60"/>
  <c r="J108" i="55"/>
  <c r="I109" i="60"/>
  <c r="I109" i="55"/>
  <c r="H110" i="60"/>
  <c r="H110" i="55"/>
  <c r="H83" i="59"/>
  <c r="U156" i="33"/>
  <c r="V156" i="33" s="1"/>
  <c r="J83" i="59" s="1"/>
  <c r="H79" i="59"/>
  <c r="U152" i="33"/>
  <c r="V152" i="33" s="1"/>
  <c r="J79" i="59" s="1"/>
  <c r="U164" i="33"/>
  <c r="V164" i="33" s="1"/>
  <c r="J91" i="59" s="1"/>
  <c r="R62" i="2"/>
  <c r="I103" i="55"/>
  <c r="I103" i="60"/>
  <c r="H104" i="55"/>
  <c r="H104" i="60"/>
  <c r="I106" i="55"/>
  <c r="I106" i="60"/>
  <c r="H107" i="55"/>
  <c r="H107" i="60"/>
  <c r="J109" i="55"/>
  <c r="J109" i="60"/>
  <c r="I110" i="60"/>
  <c r="I110" i="55"/>
  <c r="H111" i="55"/>
  <c r="H111" i="60"/>
  <c r="H86" i="59"/>
  <c r="U159" i="33"/>
  <c r="V159" i="33" s="1"/>
  <c r="J86" i="59" s="1"/>
  <c r="H82" i="59"/>
  <c r="U155" i="33"/>
  <c r="V155" i="33" s="1"/>
  <c r="J82" i="59" s="1"/>
  <c r="P87" i="2"/>
  <c r="U167" i="33" s="1"/>
  <c r="V167" i="33" s="1"/>
  <c r="Z62" i="2"/>
  <c r="F34" i="55"/>
  <c r="R34" i="55" s="1"/>
  <c r="J103" i="60"/>
  <c r="J103" i="55"/>
  <c r="I104" i="55"/>
  <c r="I104" i="60"/>
  <c r="H105" i="60"/>
  <c r="H105" i="55"/>
  <c r="J106" i="60"/>
  <c r="J106" i="55"/>
  <c r="I107" i="55"/>
  <c r="I107" i="60"/>
  <c r="H108" i="55"/>
  <c r="H108" i="60"/>
  <c r="J110" i="60"/>
  <c r="J110" i="55"/>
  <c r="I111" i="60"/>
  <c r="I111" i="55"/>
  <c r="I195" i="33"/>
  <c r="S60" i="2"/>
  <c r="F32" i="60"/>
  <c r="R32" i="60" s="1"/>
  <c r="H90" i="59"/>
  <c r="U163" i="33"/>
  <c r="V163" i="33" s="1"/>
  <c r="J90" i="59" s="1"/>
  <c r="H85" i="59"/>
  <c r="U158" i="33"/>
  <c r="V158" i="33" s="1"/>
  <c r="J85" i="59" s="1"/>
  <c r="H81" i="59"/>
  <c r="H100" i="59" s="1"/>
  <c r="U154" i="33"/>
  <c r="V154" i="33" s="1"/>
  <c r="J81" i="59" s="1"/>
  <c r="H92" i="59"/>
  <c r="U165" i="33"/>
  <c r="V165" i="33" s="1"/>
  <c r="J92" i="59" s="1"/>
  <c r="E70" i="2"/>
  <c r="Q62" i="2" s="1"/>
  <c r="J104" i="60"/>
  <c r="J104" i="55"/>
  <c r="I105" i="55"/>
  <c r="I105" i="60"/>
  <c r="J107" i="60"/>
  <c r="J107" i="55"/>
  <c r="I108" i="55"/>
  <c r="I108" i="60"/>
  <c r="H109" i="60"/>
  <c r="H109" i="55"/>
  <c r="J111" i="60"/>
  <c r="J111" i="55"/>
  <c r="I180" i="33"/>
  <c r="I95" i="33"/>
  <c r="E86" i="13"/>
  <c r="E86" i="16"/>
  <c r="H84" i="59"/>
  <c r="U157" i="33"/>
  <c r="V157" i="33" s="1"/>
  <c r="J84" i="59" s="1"/>
  <c r="H80" i="59"/>
  <c r="U153" i="33"/>
  <c r="V153" i="33" s="1"/>
  <c r="J80" i="59" s="1"/>
  <c r="H89" i="59"/>
  <c r="U162" i="33"/>
  <c r="V162" i="33" s="1"/>
  <c r="J89" i="59" s="1"/>
  <c r="H88" i="59"/>
  <c r="U161" i="33"/>
  <c r="V161" i="33" s="1"/>
  <c r="J88" i="59" s="1"/>
  <c r="U160" i="33"/>
  <c r="V160" i="33" s="1"/>
  <c r="J87" i="59" s="1"/>
  <c r="H93" i="59"/>
  <c r="U166" i="33"/>
  <c r="V166" i="33" s="1"/>
  <c r="J93" i="59" s="1"/>
  <c r="Y197" i="33"/>
  <c r="Y196" i="33"/>
  <c r="H78" i="59"/>
  <c r="U151" i="33"/>
  <c r="V151" i="33" s="1"/>
  <c r="J78" i="59" s="1"/>
  <c r="E30" i="57"/>
  <c r="E26" i="57"/>
  <c r="H78" i="54"/>
  <c r="G151" i="33"/>
  <c r="H151" i="33" s="1"/>
  <c r="E42" i="57"/>
  <c r="G166" i="33"/>
  <c r="H166" i="33" s="1"/>
  <c r="H93" i="54"/>
  <c r="G165" i="33"/>
  <c r="H165" i="33" s="1"/>
  <c r="H92" i="54"/>
  <c r="G164" i="33"/>
  <c r="H164" i="33" s="1"/>
  <c r="E39" i="57"/>
  <c r="H90" i="54"/>
  <c r="G163" i="33"/>
  <c r="H163" i="33" s="1"/>
  <c r="E38" i="57"/>
  <c r="G162" i="33"/>
  <c r="H162" i="33" s="1"/>
  <c r="H89" i="54"/>
  <c r="E37" i="57"/>
  <c r="G161" i="33"/>
  <c r="H161" i="33" s="1"/>
  <c r="H88" i="54"/>
  <c r="E36" i="57"/>
  <c r="H87" i="54"/>
  <c r="G160" i="33"/>
  <c r="H160" i="33" s="1"/>
  <c r="E35" i="57"/>
  <c r="H86" i="54"/>
  <c r="G159" i="33"/>
  <c r="H159" i="33" s="1"/>
  <c r="E34" i="57"/>
  <c r="G158" i="33"/>
  <c r="H158" i="33" s="1"/>
  <c r="H85" i="54"/>
  <c r="G157" i="33"/>
  <c r="H157" i="33" s="1"/>
  <c r="H84" i="54"/>
  <c r="H83" i="54"/>
  <c r="G156" i="33"/>
  <c r="H156" i="33" s="1"/>
  <c r="H82" i="54"/>
  <c r="G155" i="33"/>
  <c r="H155" i="33" s="1"/>
  <c r="G154" i="33"/>
  <c r="H154" i="33" s="1"/>
  <c r="H81" i="54"/>
  <c r="H100" i="54" s="1"/>
  <c r="E29" i="57"/>
  <c r="G153" i="33"/>
  <c r="H153" i="33" s="1"/>
  <c r="H80" i="54"/>
  <c r="E28" i="57"/>
  <c r="H79" i="54"/>
  <c r="G152" i="33"/>
  <c r="H152" i="33" s="1"/>
  <c r="J50" i="53"/>
  <c r="J87" i="54"/>
  <c r="J81" i="54"/>
  <c r="J89" i="54"/>
  <c r="J95" i="33"/>
  <c r="I182" i="33"/>
  <c r="K29" i="33"/>
  <c r="K17" i="33"/>
  <c r="J29" i="33"/>
  <c r="I190" i="33"/>
  <c r="X62" i="2"/>
  <c r="N59" i="33"/>
  <c r="I178" i="33"/>
  <c r="I186" i="33"/>
  <c r="I194" i="33"/>
  <c r="Q29" i="33"/>
  <c r="N35" i="33"/>
  <c r="I184" i="33"/>
  <c r="I192" i="33"/>
  <c r="C63" i="2"/>
  <c r="S24" i="60" s="1"/>
  <c r="H63" i="2"/>
  <c r="I181" i="33"/>
  <c r="P197" i="33" s="1"/>
  <c r="L110" i="59" s="1"/>
  <c r="H120" i="60" s="1"/>
  <c r="I185" i="33"/>
  <c r="I189" i="33"/>
  <c r="I193" i="33"/>
  <c r="H197" i="33"/>
  <c r="I197" i="33" s="1"/>
  <c r="I179" i="33"/>
  <c r="I183" i="33"/>
  <c r="I187" i="33"/>
  <c r="I191" i="33"/>
  <c r="O34" i="33"/>
  <c r="K53" i="33"/>
  <c r="N29" i="33"/>
  <c r="I34" i="33"/>
  <c r="Q34" i="33"/>
  <c r="Q36" i="33" s="1"/>
  <c r="J40" i="33"/>
  <c r="N16" i="33"/>
  <c r="N18" i="33" s="1"/>
  <c r="K46" i="33"/>
  <c r="J11" i="33"/>
  <c r="O11" i="33"/>
  <c r="K22" i="33"/>
  <c r="I29" i="33"/>
  <c r="O29" i="33"/>
  <c r="O30" i="33" s="1"/>
  <c r="J34" i="33"/>
  <c r="O41" i="33"/>
  <c r="O58" i="33"/>
  <c r="I10" i="33"/>
  <c r="Q10" i="33"/>
  <c r="K11" i="33"/>
  <c r="Q11" i="33"/>
  <c r="M17" i="33"/>
  <c r="M22" i="33"/>
  <c r="I41" i="33"/>
  <c r="Q41" i="33"/>
  <c r="Q42" i="33" s="1"/>
  <c r="M46" i="33"/>
  <c r="M53" i="33"/>
  <c r="I58" i="33"/>
  <c r="Q58" i="33"/>
  <c r="Q60" i="33" s="1"/>
  <c r="O10" i="33"/>
  <c r="K10" i="33"/>
  <c r="M11" i="33"/>
  <c r="O17" i="33"/>
  <c r="O22" i="33"/>
  <c r="K41" i="33"/>
  <c r="O46" i="33"/>
  <c r="O48" i="33" s="1"/>
  <c r="O53" i="33"/>
  <c r="O54" i="33" s="1"/>
  <c r="K58" i="33"/>
  <c r="M10" i="33"/>
  <c r="I11" i="33"/>
  <c r="N11" i="33"/>
  <c r="N12" i="33" s="1"/>
  <c r="J16" i="33"/>
  <c r="I17" i="33"/>
  <c r="Q17" i="33"/>
  <c r="Q18" i="33" s="1"/>
  <c r="I22" i="33"/>
  <c r="Q22" i="33"/>
  <c r="M29" i="33"/>
  <c r="M34" i="33"/>
  <c r="J35" i="33"/>
  <c r="N40" i="33"/>
  <c r="N42" i="33" s="1"/>
  <c r="M41" i="33"/>
  <c r="I46" i="33"/>
  <c r="Q46" i="33"/>
  <c r="I53" i="33"/>
  <c r="Q53" i="33"/>
  <c r="M58" i="33"/>
  <c r="J59" i="33"/>
  <c r="O23" i="33"/>
  <c r="K23" i="33"/>
  <c r="N23" i="33"/>
  <c r="N24" i="33" s="1"/>
  <c r="J23" i="33"/>
  <c r="Q23" i="33"/>
  <c r="M23" i="33"/>
  <c r="M24" i="33" s="1"/>
  <c r="I23" i="33"/>
  <c r="L23" i="33"/>
  <c r="P28" i="33"/>
  <c r="P30" i="33" s="1"/>
  <c r="L10" i="33"/>
  <c r="P10" i="33"/>
  <c r="P12" i="33" s="1"/>
  <c r="K16" i="33"/>
  <c r="O16" i="33"/>
  <c r="L17" i="33"/>
  <c r="P17" i="33"/>
  <c r="L22" i="33"/>
  <c r="P22" i="33"/>
  <c r="P24" i="33" s="1"/>
  <c r="I28" i="33"/>
  <c r="M28" i="33"/>
  <c r="Q28" i="33"/>
  <c r="N34" i="33"/>
  <c r="K35" i="33"/>
  <c r="K36" i="33" s="1"/>
  <c r="O35" i="33"/>
  <c r="K40" i="33"/>
  <c r="O40" i="33"/>
  <c r="L41" i="33"/>
  <c r="P41" i="33"/>
  <c r="L46" i="33"/>
  <c r="P46" i="33"/>
  <c r="I47" i="33"/>
  <c r="M47" i="33"/>
  <c r="Q47" i="33"/>
  <c r="I52" i="33"/>
  <c r="M52" i="33"/>
  <c r="M54" i="33" s="1"/>
  <c r="Q52" i="33"/>
  <c r="J53" i="33"/>
  <c r="N53" i="33"/>
  <c r="J58" i="33"/>
  <c r="N58" i="33"/>
  <c r="K59" i="33"/>
  <c r="O59" i="33"/>
  <c r="L47" i="33"/>
  <c r="L16" i="33"/>
  <c r="P16" i="33"/>
  <c r="J28" i="33"/>
  <c r="N28" i="33"/>
  <c r="L35" i="33"/>
  <c r="P35" i="33"/>
  <c r="P36" i="33" s="1"/>
  <c r="L40" i="33"/>
  <c r="P40" i="33"/>
  <c r="J47" i="33"/>
  <c r="N47" i="33"/>
  <c r="N48" i="33" s="1"/>
  <c r="J52" i="33"/>
  <c r="N52" i="33"/>
  <c r="L59" i="33"/>
  <c r="P59" i="33"/>
  <c r="P60" i="33" s="1"/>
  <c r="L28" i="33"/>
  <c r="P47" i="33"/>
  <c r="L52" i="33"/>
  <c r="P52" i="33"/>
  <c r="P54" i="33" s="1"/>
  <c r="J10" i="33"/>
  <c r="J12" i="33" s="1"/>
  <c r="L11" i="33"/>
  <c r="I16" i="33"/>
  <c r="M16" i="33"/>
  <c r="J17" i="33"/>
  <c r="J22" i="33"/>
  <c r="K28" i="33"/>
  <c r="L29" i="33"/>
  <c r="L34" i="33"/>
  <c r="I35" i="33"/>
  <c r="M35" i="33"/>
  <c r="I40" i="33"/>
  <c r="M40" i="33"/>
  <c r="J41" i="33"/>
  <c r="J46" i="33"/>
  <c r="J48" i="33" s="1"/>
  <c r="K47" i="33"/>
  <c r="K48" i="33" s="1"/>
  <c r="K52" i="33"/>
  <c r="L53" i="33"/>
  <c r="L58" i="33"/>
  <c r="L60" i="33" s="1"/>
  <c r="I59" i="33"/>
  <c r="M59" i="33"/>
  <c r="L14" i="57" l="1"/>
  <c r="S24" i="55"/>
  <c r="U7" i="55"/>
  <c r="E82" i="16"/>
  <c r="E81" i="16"/>
  <c r="E81" i="13"/>
  <c r="I96" i="33"/>
  <c r="E82" i="13"/>
  <c r="U34" i="55"/>
  <c r="L34" i="55"/>
  <c r="O34" i="55"/>
  <c r="O95" i="33"/>
  <c r="E87" i="13"/>
  <c r="E87" i="16"/>
  <c r="J92" i="54"/>
  <c r="D63" i="12"/>
  <c r="S62" i="2"/>
  <c r="F34" i="60"/>
  <c r="R34" i="60" s="1"/>
  <c r="J80" i="54"/>
  <c r="D63" i="15"/>
  <c r="T94" i="59"/>
  <c r="L32" i="60"/>
  <c r="O32" i="60"/>
  <c r="U32" i="60"/>
  <c r="J85" i="54"/>
  <c r="I10" i="55"/>
  <c r="I10" i="60"/>
  <c r="M12" i="33"/>
  <c r="J14" i="55"/>
  <c r="J14" i="60"/>
  <c r="J16" i="55"/>
  <c r="J16" i="60"/>
  <c r="I16" i="55"/>
  <c r="I16" i="60"/>
  <c r="H94" i="59"/>
  <c r="I29" i="59" s="1"/>
  <c r="I34" i="59" s="1"/>
  <c r="J94" i="59"/>
  <c r="Q74" i="59" s="1"/>
  <c r="J88" i="54"/>
  <c r="J78" i="54"/>
  <c r="I196" i="33"/>
  <c r="K110" i="54" s="1"/>
  <c r="I120" i="55" s="1"/>
  <c r="I126" i="55" s="1"/>
  <c r="K110" i="59"/>
  <c r="I120" i="60" s="1"/>
  <c r="I126" i="60" s="1"/>
  <c r="J93" i="54"/>
  <c r="J83" i="54"/>
  <c r="J91" i="54"/>
  <c r="J90" i="54"/>
  <c r="J86" i="54"/>
  <c r="J84" i="54"/>
  <c r="J82" i="54"/>
  <c r="H94" i="54"/>
  <c r="I29" i="54" s="1"/>
  <c r="I34" i="54" s="1"/>
  <c r="J79" i="54"/>
  <c r="E44" i="57"/>
  <c r="H29" i="57" s="1"/>
  <c r="K18" i="33"/>
  <c r="N30" i="33"/>
  <c r="K54" i="33"/>
  <c r="J30" i="33"/>
  <c r="N36" i="33"/>
  <c r="Q30" i="33"/>
  <c r="M18" i="33"/>
  <c r="J42" i="33"/>
  <c r="I36" i="33"/>
  <c r="J24" i="33"/>
  <c r="J51" i="53"/>
  <c r="L110" i="54"/>
  <c r="H120" i="55" s="1"/>
  <c r="I60" i="33"/>
  <c r="I42" i="33"/>
  <c r="O12" i="33"/>
  <c r="K30" i="33"/>
  <c r="I18" i="33"/>
  <c r="Q54" i="33"/>
  <c r="M30" i="33"/>
  <c r="I48" i="33"/>
  <c r="I30" i="33"/>
  <c r="M36" i="33"/>
  <c r="N60" i="33"/>
  <c r="O36" i="33"/>
  <c r="J36" i="33"/>
  <c r="K42" i="33"/>
  <c r="K60" i="33"/>
  <c r="Q48" i="33"/>
  <c r="K24" i="33"/>
  <c r="I12" i="33"/>
  <c r="J18" i="33"/>
  <c r="I54" i="33"/>
  <c r="L54" i="33"/>
  <c r="L18" i="33"/>
  <c r="M48" i="33"/>
  <c r="Q24" i="33"/>
  <c r="O24" i="33"/>
  <c r="K12" i="33"/>
  <c r="J60" i="33"/>
  <c r="I24" i="33"/>
  <c r="M60" i="33"/>
  <c r="M42" i="33"/>
  <c r="L30" i="33"/>
  <c r="J54" i="33"/>
  <c r="L42" i="33"/>
  <c r="O60" i="33"/>
  <c r="P48" i="33"/>
  <c r="O42" i="33"/>
  <c r="O18" i="33"/>
  <c r="Q12" i="33"/>
  <c r="N54" i="33"/>
  <c r="P42" i="33"/>
  <c r="L12" i="33"/>
  <c r="L36" i="33"/>
  <c r="P18" i="33"/>
  <c r="L48" i="33"/>
  <c r="L24" i="33"/>
  <c r="I14" i="57" l="1"/>
  <c r="I48" i="57"/>
  <c r="I49" i="57" s="1"/>
  <c r="F15" i="55"/>
  <c r="F11" i="55"/>
  <c r="F18" i="55"/>
  <c r="F14" i="55"/>
  <c r="F10" i="55"/>
  <c r="F38" i="55" s="1"/>
  <c r="F17" i="55"/>
  <c r="F13" i="55"/>
  <c r="F16" i="55"/>
  <c r="F12" i="55"/>
  <c r="U34" i="60"/>
  <c r="L34" i="60"/>
  <c r="O34" i="60"/>
  <c r="J10" i="55"/>
  <c r="J10" i="60"/>
  <c r="H10" i="55"/>
  <c r="H10" i="60"/>
  <c r="H11" i="55"/>
  <c r="H11" i="60"/>
  <c r="J11" i="55"/>
  <c r="J11" i="60"/>
  <c r="I11" i="55"/>
  <c r="I11" i="60"/>
  <c r="I12" i="55"/>
  <c r="I12" i="60"/>
  <c r="J12" i="55"/>
  <c r="J12" i="60"/>
  <c r="H12" i="55"/>
  <c r="H12" i="60"/>
  <c r="H13" i="55"/>
  <c r="H13" i="60"/>
  <c r="J13" i="55"/>
  <c r="J13" i="60"/>
  <c r="I13" i="55"/>
  <c r="I13" i="60"/>
  <c r="I14" i="55"/>
  <c r="I14" i="60"/>
  <c r="H14" i="60"/>
  <c r="H14" i="55"/>
  <c r="I15" i="55"/>
  <c r="I15" i="60"/>
  <c r="J15" i="55"/>
  <c r="J15" i="60"/>
  <c r="H15" i="60"/>
  <c r="H15" i="55"/>
  <c r="H16" i="60"/>
  <c r="H16" i="55"/>
  <c r="I17" i="55"/>
  <c r="I17" i="60"/>
  <c r="H17" i="55"/>
  <c r="H17" i="60"/>
  <c r="J17" i="55"/>
  <c r="J17" i="60"/>
  <c r="H18" i="60"/>
  <c r="H18" i="55"/>
  <c r="I18" i="55"/>
  <c r="I18" i="60"/>
  <c r="J18" i="55"/>
  <c r="J18" i="60"/>
  <c r="H101" i="59"/>
  <c r="I14" i="59"/>
  <c r="T94" i="54"/>
  <c r="J94" i="54"/>
  <c r="Q74" i="54" s="1"/>
  <c r="H118" i="55" s="1"/>
  <c r="H40" i="57"/>
  <c r="H42" i="57"/>
  <c r="H39" i="57"/>
  <c r="H38" i="57"/>
  <c r="H37" i="57"/>
  <c r="H35" i="57"/>
  <c r="H36" i="57"/>
  <c r="H34" i="57"/>
  <c r="H31" i="57"/>
  <c r="H101" i="54"/>
  <c r="J74" i="54" s="1"/>
  <c r="H32" i="57"/>
  <c r="I14" i="54"/>
  <c r="I15" i="54" s="1"/>
  <c r="H30" i="57"/>
  <c r="H26" i="57"/>
  <c r="H28" i="57"/>
  <c r="F118" i="55"/>
  <c r="F125" i="55" s="1"/>
  <c r="V47" i="2"/>
  <c r="O47" i="2"/>
  <c r="R63" i="2" s="1"/>
  <c r="AK101" i="8"/>
  <c r="AB101" i="8" s="1"/>
  <c r="L101" i="22" s="1"/>
  <c r="AK36" i="8"/>
  <c r="AB36" i="8" s="1"/>
  <c r="L36" i="22" s="1"/>
  <c r="V60" i="2"/>
  <c r="AK37" i="8"/>
  <c r="AB37" i="8" s="1"/>
  <c r="L37" i="22" s="1"/>
  <c r="AK38" i="8"/>
  <c r="AB38" i="8" s="1"/>
  <c r="L38" i="22" s="1"/>
  <c r="O44" i="22"/>
  <c r="AI44" i="4" s="1"/>
  <c r="AD44" i="8" s="1"/>
  <c r="Q44" i="8" s="1"/>
  <c r="O45" i="22"/>
  <c r="AI45" i="4" s="1"/>
  <c r="AD45" i="8" s="1"/>
  <c r="Q45" i="8" s="1"/>
  <c r="AK15" i="8"/>
  <c r="AB15" i="8" s="1"/>
  <c r="L15" i="22" s="1"/>
  <c r="AK16" i="8"/>
  <c r="AB16" i="8" s="1"/>
  <c r="L16" i="22" s="1"/>
  <c r="AK17" i="8"/>
  <c r="AB17" i="8" s="1"/>
  <c r="L17" i="22" s="1"/>
  <c r="AK18" i="8"/>
  <c r="AB18" i="8" s="1"/>
  <c r="L18" i="22" s="1"/>
  <c r="AK19" i="8"/>
  <c r="AB19" i="8" s="1"/>
  <c r="L19" i="22" s="1"/>
  <c r="Q60" i="2"/>
  <c r="R125" i="4"/>
  <c r="R126" i="4"/>
  <c r="V63" i="2"/>
  <c r="O42" i="2"/>
  <c r="AM102" i="22" s="1"/>
  <c r="B176" i="21"/>
  <c r="C176" i="21"/>
  <c r="B177" i="21"/>
  <c r="C177" i="21"/>
  <c r="V49" i="2"/>
  <c r="O49" i="2"/>
  <c r="R49" i="2" s="1"/>
  <c r="V23" i="4"/>
  <c r="T23" i="4"/>
  <c r="R23" i="4"/>
  <c r="Q23" i="4"/>
  <c r="O23" i="4"/>
  <c r="M23" i="4"/>
  <c r="V29" i="4"/>
  <c r="T29" i="4"/>
  <c r="R29" i="4"/>
  <c r="Q29" i="4"/>
  <c r="O29" i="4"/>
  <c r="M29" i="4"/>
  <c r="V28" i="4"/>
  <c r="T28" i="4"/>
  <c r="R28" i="4"/>
  <c r="Q28" i="4"/>
  <c r="O28" i="4"/>
  <c r="M28" i="4"/>
  <c r="V27" i="4"/>
  <c r="T27" i="4"/>
  <c r="R27" i="4"/>
  <c r="Q27" i="4"/>
  <c r="O27" i="4"/>
  <c r="M27" i="4"/>
  <c r="V26" i="4"/>
  <c r="T26" i="4"/>
  <c r="R26" i="4"/>
  <c r="Q26" i="4"/>
  <c r="O26" i="4"/>
  <c r="M26" i="4"/>
  <c r="V40" i="4"/>
  <c r="T40" i="4"/>
  <c r="R40" i="4"/>
  <c r="Q40" i="4"/>
  <c r="O40" i="4"/>
  <c r="M40" i="4"/>
  <c r="R122" i="4"/>
  <c r="S128" i="47"/>
  <c r="T128" i="47"/>
  <c r="U128" i="47"/>
  <c r="V128" i="47"/>
  <c r="X128" i="47"/>
  <c r="Y128" i="47"/>
  <c r="Z128" i="47"/>
  <c r="AA128" i="47"/>
  <c r="AB128" i="47"/>
  <c r="AC128" i="47"/>
  <c r="AD128" i="47"/>
  <c r="AE128" i="47"/>
  <c r="S129" i="47"/>
  <c r="T129" i="47"/>
  <c r="U129" i="47"/>
  <c r="V129" i="47"/>
  <c r="W129" i="47"/>
  <c r="X129" i="47"/>
  <c r="Y129" i="47"/>
  <c r="Z129" i="47"/>
  <c r="AB129" i="47"/>
  <c r="AC129" i="47"/>
  <c r="AE129" i="47"/>
  <c r="S130" i="47"/>
  <c r="T130" i="47"/>
  <c r="V130" i="47"/>
  <c r="W130" i="47"/>
  <c r="X130" i="47"/>
  <c r="Y130" i="47"/>
  <c r="AA130" i="47"/>
  <c r="AB130" i="47"/>
  <c r="AC130" i="47"/>
  <c r="AD130" i="47"/>
  <c r="AE130" i="47"/>
  <c r="S131" i="47"/>
  <c r="U131" i="47"/>
  <c r="V131" i="47"/>
  <c r="W131" i="47"/>
  <c r="Z131" i="47"/>
  <c r="AA131" i="47"/>
  <c r="AD131" i="47"/>
  <c r="AE131" i="47"/>
  <c r="T127" i="47"/>
  <c r="U127" i="47"/>
  <c r="V127" i="47"/>
  <c r="W127" i="47"/>
  <c r="Y127" i="47"/>
  <c r="Z127" i="47"/>
  <c r="AB127" i="47"/>
  <c r="AC127" i="47"/>
  <c r="AD127" i="47"/>
  <c r="S127" i="47"/>
  <c r="T131" i="47"/>
  <c r="U130" i="47"/>
  <c r="Z130" i="47"/>
  <c r="AA127" i="47"/>
  <c r="AA129" i="47"/>
  <c r="W128" i="47"/>
  <c r="X131" i="47"/>
  <c r="Y131" i="47"/>
  <c r="X127" i="47"/>
  <c r="AG87" i="8"/>
  <c r="X87" i="8" s="1"/>
  <c r="K87" i="22" s="1"/>
  <c r="AJ87" i="8"/>
  <c r="AA87" i="8" s="1"/>
  <c r="L87" i="47" s="1"/>
  <c r="AJ88" i="8"/>
  <c r="AA88" i="8" s="1"/>
  <c r="L88" i="47" s="1"/>
  <c r="AJ89" i="8"/>
  <c r="AA89" i="8" s="1"/>
  <c r="L89" i="47" s="1"/>
  <c r="AF87" i="8"/>
  <c r="W87" i="8" s="1"/>
  <c r="K87" i="47" s="1"/>
  <c r="AF88" i="8"/>
  <c r="W88" i="8" s="1"/>
  <c r="K88" i="47" s="1"/>
  <c r="AF89" i="8"/>
  <c r="W89" i="8" s="1"/>
  <c r="K89" i="47" s="1"/>
  <c r="R118" i="4"/>
  <c r="X120" i="8"/>
  <c r="K120" i="22" s="1"/>
  <c r="AF122" i="8"/>
  <c r="W122" i="8" s="1"/>
  <c r="K122" i="47" s="1"/>
  <c r="S9" i="47"/>
  <c r="U96" i="33"/>
  <c r="AF46" i="8"/>
  <c r="W46" i="8" s="1"/>
  <c r="K46" i="47" s="1"/>
  <c r="AK44" i="8"/>
  <c r="AB44" i="8" s="1"/>
  <c r="L44" i="22" s="1"/>
  <c r="Y44" i="4"/>
  <c r="Y45" i="4"/>
  <c r="AK45" i="8"/>
  <c r="AB45" i="8" s="1"/>
  <c r="L45" i="22" s="1"/>
  <c r="AK40" i="8"/>
  <c r="AB40" i="8" s="1"/>
  <c r="L40" i="22" s="1"/>
  <c r="Y40" i="4"/>
  <c r="AK41" i="8"/>
  <c r="AB41" i="8" s="1"/>
  <c r="L41" i="22" s="1"/>
  <c r="AK42" i="8"/>
  <c r="AB42" i="8" s="1"/>
  <c r="L42" i="22" s="1"/>
  <c r="AJ43" i="8"/>
  <c r="AA43" i="8" s="1"/>
  <c r="L43" i="47" s="1"/>
  <c r="AK43" i="8"/>
  <c r="AB43" i="8" s="1"/>
  <c r="L43" i="22" s="1"/>
  <c r="AG43" i="8"/>
  <c r="X43" i="8" s="1"/>
  <c r="K43" i="22" s="1"/>
  <c r="R44" i="4"/>
  <c r="R45" i="4"/>
  <c r="AG46" i="8"/>
  <c r="X46" i="8" s="1"/>
  <c r="K46" i="22" s="1"/>
  <c r="AF43" i="8"/>
  <c r="W43" i="8" s="1"/>
  <c r="K43" i="47" s="1"/>
  <c r="S39" i="4"/>
  <c r="Y39" i="4" s="1"/>
  <c r="S39" i="22" s="1"/>
  <c r="V43" i="4"/>
  <c r="T43" i="4"/>
  <c r="R43" i="4"/>
  <c r="Q43" i="4"/>
  <c r="O43" i="4"/>
  <c r="M43" i="4"/>
  <c r="C43" i="2"/>
  <c r="V36" i="11" s="1"/>
  <c r="R174" i="47"/>
  <c r="AJ180" i="8"/>
  <c r="AA180" i="8" s="1"/>
  <c r="L180" i="47" s="1"/>
  <c r="AF180" i="8"/>
  <c r="W180" i="8" s="1"/>
  <c r="K180" i="47" s="1"/>
  <c r="AJ179" i="8"/>
  <c r="AA179" i="8" s="1"/>
  <c r="L179" i="47" s="1"/>
  <c r="AF179" i="8"/>
  <c r="W179" i="8" s="1"/>
  <c r="K179" i="47" s="1"/>
  <c r="AJ177" i="8"/>
  <c r="AA177" i="8" s="1"/>
  <c r="L177" i="47" s="1"/>
  <c r="AF177" i="8"/>
  <c r="W177" i="8" s="1"/>
  <c r="K177" i="47" s="1"/>
  <c r="AJ176" i="8"/>
  <c r="AA176" i="8" s="1"/>
  <c r="L176" i="47" s="1"/>
  <c r="AF176" i="8"/>
  <c r="W176" i="8" s="1"/>
  <c r="K176" i="47" s="1"/>
  <c r="AJ175" i="8"/>
  <c r="AA175" i="8" s="1"/>
  <c r="L175" i="47" s="1"/>
  <c r="AF175" i="8"/>
  <c r="W175" i="8" s="1"/>
  <c r="K175" i="47" s="1"/>
  <c r="AJ173" i="8"/>
  <c r="AA173" i="8" s="1"/>
  <c r="L173" i="47" s="1"/>
  <c r="AF173" i="8"/>
  <c r="W173" i="8" s="1"/>
  <c r="K173" i="47" s="1"/>
  <c r="AJ172" i="8"/>
  <c r="AA172" i="8" s="1"/>
  <c r="L172" i="47" s="1"/>
  <c r="AF172" i="8"/>
  <c r="W172" i="8" s="1"/>
  <c r="K172" i="47" s="1"/>
  <c r="AJ171" i="8"/>
  <c r="AA171" i="8" s="1"/>
  <c r="L171" i="47" s="1"/>
  <c r="AF171" i="8"/>
  <c r="W171" i="8" s="1"/>
  <c r="K171" i="47" s="1"/>
  <c r="AJ168" i="8"/>
  <c r="AA168" i="8" s="1"/>
  <c r="L168" i="47" s="1"/>
  <c r="AF168" i="8"/>
  <c r="W168" i="8" s="1"/>
  <c r="K168" i="47" s="1"/>
  <c r="AJ167" i="8"/>
  <c r="AA167" i="8" s="1"/>
  <c r="L167" i="47" s="1"/>
  <c r="AF167" i="8"/>
  <c r="W167" i="8" s="1"/>
  <c r="K167" i="47" s="1"/>
  <c r="AJ166" i="8"/>
  <c r="AA166" i="8" s="1"/>
  <c r="L166" i="47" s="1"/>
  <c r="AF166" i="8"/>
  <c r="W166" i="8" s="1"/>
  <c r="K166" i="47" s="1"/>
  <c r="AJ165" i="8"/>
  <c r="AA165" i="8" s="1"/>
  <c r="L165" i="47" s="1"/>
  <c r="AF165" i="8"/>
  <c r="W165" i="8" s="1"/>
  <c r="K165" i="47" s="1"/>
  <c r="AJ163" i="8"/>
  <c r="AA163" i="8" s="1"/>
  <c r="L163" i="47" s="1"/>
  <c r="AF163" i="8"/>
  <c r="W163" i="8" s="1"/>
  <c r="K163" i="47" s="1"/>
  <c r="AJ162" i="8"/>
  <c r="AA162" i="8" s="1"/>
  <c r="L162" i="47" s="1"/>
  <c r="AF162" i="8"/>
  <c r="W162" i="8" s="1"/>
  <c r="K162" i="47" s="1"/>
  <c r="AJ160" i="8"/>
  <c r="AA160" i="8" s="1"/>
  <c r="L160" i="47" s="1"/>
  <c r="AF123" i="8"/>
  <c r="W123" i="8" s="1"/>
  <c r="K123" i="47" s="1"/>
  <c r="AB123" i="47"/>
  <c r="AB121" i="47"/>
  <c r="AJ158" i="8"/>
  <c r="AA158" i="8" s="1"/>
  <c r="L158" i="47" s="1"/>
  <c r="AF158" i="8"/>
  <c r="W158" i="8" s="1"/>
  <c r="K158" i="47" s="1"/>
  <c r="AJ157" i="8"/>
  <c r="AA157" i="8" s="1"/>
  <c r="L157" i="47" s="1"/>
  <c r="AF157" i="8"/>
  <c r="W157" i="8" s="1"/>
  <c r="K157" i="47" s="1"/>
  <c r="AJ156" i="8"/>
  <c r="AA156" i="8" s="1"/>
  <c r="L156" i="47" s="1"/>
  <c r="AF156" i="8"/>
  <c r="W156" i="8" s="1"/>
  <c r="K156" i="47" s="1"/>
  <c r="AJ154" i="8"/>
  <c r="AA154" i="8" s="1"/>
  <c r="L154" i="47" s="1"/>
  <c r="AF154" i="8"/>
  <c r="W154" i="8" s="1"/>
  <c r="K154" i="47" s="1"/>
  <c r="AJ152" i="8"/>
  <c r="AA152" i="8" s="1"/>
  <c r="L152" i="47" s="1"/>
  <c r="AF152" i="8"/>
  <c r="W152" i="8" s="1"/>
  <c r="K152" i="47" s="1"/>
  <c r="AJ151" i="8"/>
  <c r="AA151" i="8" s="1"/>
  <c r="L151" i="47" s="1"/>
  <c r="AF151" i="8"/>
  <c r="W151" i="8" s="1"/>
  <c r="K151" i="47" s="1"/>
  <c r="AJ150" i="8"/>
  <c r="AA150" i="8" s="1"/>
  <c r="L150" i="47" s="1"/>
  <c r="AF150" i="8"/>
  <c r="W150" i="8" s="1"/>
  <c r="K150" i="47" s="1"/>
  <c r="AJ149" i="8"/>
  <c r="AA149" i="8" s="1"/>
  <c r="L149" i="47" s="1"/>
  <c r="AF149" i="8"/>
  <c r="W149" i="8" s="1"/>
  <c r="K149" i="47" s="1"/>
  <c r="AJ148" i="8"/>
  <c r="AA148" i="8" s="1"/>
  <c r="L148" i="47" s="1"/>
  <c r="AF148" i="8"/>
  <c r="W148" i="8" s="1"/>
  <c r="K148" i="47" s="1"/>
  <c r="AJ147" i="8"/>
  <c r="AA147" i="8" s="1"/>
  <c r="L147" i="47" s="1"/>
  <c r="AF147" i="8"/>
  <c r="W147" i="8" s="1"/>
  <c r="K147" i="47" s="1"/>
  <c r="AJ145" i="8"/>
  <c r="AA145" i="8" s="1"/>
  <c r="L145" i="47" s="1"/>
  <c r="AF145" i="8"/>
  <c r="W145" i="8" s="1"/>
  <c r="K145" i="47" s="1"/>
  <c r="AJ144" i="8"/>
  <c r="AA144" i="8" s="1"/>
  <c r="L144" i="47" s="1"/>
  <c r="AF144" i="8"/>
  <c r="W144" i="8" s="1"/>
  <c r="K144" i="47" s="1"/>
  <c r="AJ142" i="8"/>
  <c r="AA142" i="8" s="1"/>
  <c r="L142" i="47" s="1"/>
  <c r="AF142" i="8"/>
  <c r="W142" i="8" s="1"/>
  <c r="K142" i="47" s="1"/>
  <c r="AK144" i="8"/>
  <c r="AB144" i="8" s="1"/>
  <c r="L144" i="22" s="1"/>
  <c r="AK145" i="8"/>
  <c r="AB145" i="8" s="1"/>
  <c r="L145" i="22" s="1"/>
  <c r="AJ132" i="8"/>
  <c r="AA132" i="8" s="1"/>
  <c r="L132" i="47" s="1"/>
  <c r="AJ131" i="8"/>
  <c r="AA131" i="8" s="1"/>
  <c r="L131" i="47" s="1"/>
  <c r="AF131" i="8"/>
  <c r="W131" i="8" s="1"/>
  <c r="K131" i="47" s="1"/>
  <c r="AJ130" i="8"/>
  <c r="AA130" i="8" s="1"/>
  <c r="L130" i="47" s="1"/>
  <c r="AF130" i="8"/>
  <c r="W130" i="8" s="1"/>
  <c r="K130" i="47" s="1"/>
  <c r="AJ129" i="8"/>
  <c r="AA129" i="8" s="1"/>
  <c r="L129" i="47" s="1"/>
  <c r="AF129" i="8"/>
  <c r="W129" i="8" s="1"/>
  <c r="K129" i="47" s="1"/>
  <c r="AJ128" i="8"/>
  <c r="AA128" i="8" s="1"/>
  <c r="L128" i="47" s="1"/>
  <c r="AF128" i="8"/>
  <c r="W128" i="8" s="1"/>
  <c r="K128" i="47" s="1"/>
  <c r="AJ127" i="8"/>
  <c r="AF127" i="8"/>
  <c r="W127" i="8" s="1"/>
  <c r="K127" i="47" s="1"/>
  <c r="AE127" i="47"/>
  <c r="AD129" i="47"/>
  <c r="AC131" i="47"/>
  <c r="AJ125" i="8"/>
  <c r="AA125" i="8" s="1"/>
  <c r="L125" i="47" s="1"/>
  <c r="AJ123" i="8"/>
  <c r="AA123" i="8" s="1"/>
  <c r="L123" i="47" s="1"/>
  <c r="AJ122" i="8"/>
  <c r="AA122" i="8" s="1"/>
  <c r="L122" i="47" s="1"/>
  <c r="W120" i="8"/>
  <c r="K120" i="47" s="1"/>
  <c r="AB120" i="47"/>
  <c r="AJ118" i="8"/>
  <c r="AA118" i="8" s="1"/>
  <c r="L118" i="47" s="1"/>
  <c r="AK118" i="8"/>
  <c r="AB118" i="8" s="1"/>
  <c r="L118" i="22" s="1"/>
  <c r="Y125" i="4"/>
  <c r="Y127" i="4"/>
  <c r="Y128" i="4"/>
  <c r="Y129" i="4"/>
  <c r="Y130" i="4"/>
  <c r="Y131" i="4"/>
  <c r="Y132" i="4"/>
  <c r="Y126" i="4"/>
  <c r="AK125" i="8"/>
  <c r="AK127" i="8"/>
  <c r="AB127" i="8" s="1"/>
  <c r="L127" i="22" s="1"/>
  <c r="AK128" i="8"/>
  <c r="AB128" i="8" s="1"/>
  <c r="L128" i="22" s="1"/>
  <c r="AK129" i="8"/>
  <c r="AB129" i="8" s="1"/>
  <c r="L129" i="22" s="1"/>
  <c r="AK130" i="8"/>
  <c r="AB130" i="8" s="1"/>
  <c r="L130" i="22" s="1"/>
  <c r="AK131" i="8"/>
  <c r="AB131" i="8" s="1"/>
  <c r="L131" i="22" s="1"/>
  <c r="AK132" i="8"/>
  <c r="AB132" i="8" s="1"/>
  <c r="L132" i="22" s="1"/>
  <c r="L115" i="47"/>
  <c r="H115" i="47" s="1"/>
  <c r="K115" i="47"/>
  <c r="AJ114" i="8"/>
  <c r="AA114" i="8" s="1"/>
  <c r="L114" i="47" s="1"/>
  <c r="AF114" i="8"/>
  <c r="W114" i="8" s="1"/>
  <c r="K114" i="47" s="1"/>
  <c r="AJ113" i="8"/>
  <c r="AA113" i="8" s="1"/>
  <c r="L113" i="47" s="1"/>
  <c r="AF113" i="8"/>
  <c r="W113" i="8" s="1"/>
  <c r="K113" i="47" s="1"/>
  <c r="AJ111" i="8"/>
  <c r="AA111" i="8" s="1"/>
  <c r="L111" i="47" s="1"/>
  <c r="AF111" i="8"/>
  <c r="W111" i="8" s="1"/>
  <c r="K111" i="47" s="1"/>
  <c r="AJ110" i="8"/>
  <c r="AA110" i="8" s="1"/>
  <c r="L110" i="47" s="1"/>
  <c r="AF110" i="8"/>
  <c r="W110" i="8" s="1"/>
  <c r="K110" i="47" s="1"/>
  <c r="R110" i="4"/>
  <c r="AJ108" i="8"/>
  <c r="AA108" i="8" s="1"/>
  <c r="L108" i="47" s="1"/>
  <c r="AF108" i="8"/>
  <c r="W108" i="8" s="1"/>
  <c r="K108" i="47" s="1"/>
  <c r="AJ107" i="8"/>
  <c r="AA107" i="8" s="1"/>
  <c r="L107" i="47" s="1"/>
  <c r="AF107" i="8"/>
  <c r="W107" i="8" s="1"/>
  <c r="K107" i="47" s="1"/>
  <c r="AJ106" i="8"/>
  <c r="AA106" i="8" s="1"/>
  <c r="L106" i="47" s="1"/>
  <c r="AF106" i="8"/>
  <c r="W106" i="8" s="1"/>
  <c r="K106" i="47" s="1"/>
  <c r="AJ105" i="8"/>
  <c r="AA105" i="8" s="1"/>
  <c r="L105" i="47" s="1"/>
  <c r="AF105" i="8"/>
  <c r="W105" i="8" s="1"/>
  <c r="K105" i="47" s="1"/>
  <c r="AJ104" i="8"/>
  <c r="AA104" i="8" s="1"/>
  <c r="L104" i="47" s="1"/>
  <c r="AF104" i="8"/>
  <c r="W104" i="8" s="1"/>
  <c r="K104" i="47" s="1"/>
  <c r="AJ103" i="8"/>
  <c r="AA103" i="8" s="1"/>
  <c r="L103" i="47" s="1"/>
  <c r="AF103" i="8"/>
  <c r="W103" i="8" s="1"/>
  <c r="K103" i="47" s="1"/>
  <c r="AJ101" i="8"/>
  <c r="AA101" i="8" s="1"/>
  <c r="L101" i="47" s="1"/>
  <c r="AF101" i="8"/>
  <c r="W101" i="8" s="1"/>
  <c r="K101" i="47" s="1"/>
  <c r="AJ100" i="8"/>
  <c r="AA100" i="8" s="1"/>
  <c r="L100" i="47" s="1"/>
  <c r="AF100" i="8"/>
  <c r="W100" i="8" s="1"/>
  <c r="K100" i="47" s="1"/>
  <c r="AJ99" i="8"/>
  <c r="AA99" i="8" s="1"/>
  <c r="L99" i="47" s="1"/>
  <c r="AF99" i="8"/>
  <c r="W99" i="8" s="1"/>
  <c r="K99" i="47" s="1"/>
  <c r="AJ95" i="8"/>
  <c r="AA95" i="8" s="1"/>
  <c r="L95" i="47" s="1"/>
  <c r="AF95" i="8"/>
  <c r="W95" i="8" s="1"/>
  <c r="K95" i="47" s="1"/>
  <c r="AJ94" i="8"/>
  <c r="AA94" i="8" s="1"/>
  <c r="L94" i="47" s="1"/>
  <c r="AF94" i="8"/>
  <c r="W94" i="8" s="1"/>
  <c r="K94" i="47" s="1"/>
  <c r="AJ93" i="8"/>
  <c r="AA93" i="8" s="1"/>
  <c r="L93" i="47" s="1"/>
  <c r="AF93" i="8"/>
  <c r="W93" i="8" s="1"/>
  <c r="K93" i="47" s="1"/>
  <c r="AJ92" i="8"/>
  <c r="AA92" i="8" s="1"/>
  <c r="L92" i="47" s="1"/>
  <c r="AF92" i="8"/>
  <c r="W92" i="8" s="1"/>
  <c r="K92" i="47" s="1"/>
  <c r="AJ91" i="8"/>
  <c r="AA91" i="8" s="1"/>
  <c r="L91" i="47" s="1"/>
  <c r="AF91" i="8"/>
  <c r="W91" i="8" s="1"/>
  <c r="K91" i="47" s="1"/>
  <c r="AJ85" i="8"/>
  <c r="AA85" i="8" s="1"/>
  <c r="L85" i="47" s="1"/>
  <c r="AF85" i="8"/>
  <c r="W85" i="8" s="1"/>
  <c r="K85" i="47" s="1"/>
  <c r="AJ84" i="8"/>
  <c r="AA84" i="8" s="1"/>
  <c r="L84" i="47" s="1"/>
  <c r="AF84" i="8"/>
  <c r="W84" i="8" s="1"/>
  <c r="K84" i="47" s="1"/>
  <c r="AJ83" i="8"/>
  <c r="AA83" i="8" s="1"/>
  <c r="L83" i="47" s="1"/>
  <c r="AF83" i="8"/>
  <c r="W83" i="8" s="1"/>
  <c r="K83" i="47" s="1"/>
  <c r="AJ82" i="8"/>
  <c r="AA82" i="8" s="1"/>
  <c r="L82" i="47" s="1"/>
  <c r="AF82" i="8"/>
  <c r="W82" i="8" s="1"/>
  <c r="K82" i="47" s="1"/>
  <c r="AJ81" i="8"/>
  <c r="AA81" i="8" s="1"/>
  <c r="L81" i="47" s="1"/>
  <c r="AF81" i="8"/>
  <c r="W81" i="8" s="1"/>
  <c r="K81" i="47" s="1"/>
  <c r="AJ80" i="8"/>
  <c r="AA80" i="8" s="1"/>
  <c r="L80" i="47" s="1"/>
  <c r="AF80" i="8"/>
  <c r="W80" i="8" s="1"/>
  <c r="K80" i="47" s="1"/>
  <c r="AJ78" i="8"/>
  <c r="AA78" i="8" s="1"/>
  <c r="L78" i="47" s="1"/>
  <c r="AF78" i="8"/>
  <c r="W78" i="8" s="1"/>
  <c r="K78" i="47" s="1"/>
  <c r="AJ77" i="8"/>
  <c r="AA77" i="8" s="1"/>
  <c r="L77" i="47" s="1"/>
  <c r="AF77" i="8"/>
  <c r="W77" i="8" s="1"/>
  <c r="K77" i="47" s="1"/>
  <c r="AJ74" i="8"/>
  <c r="AA74" i="8" s="1"/>
  <c r="L74" i="47" s="1"/>
  <c r="AF74" i="8"/>
  <c r="W74" i="8" s="1"/>
  <c r="K74" i="47" s="1"/>
  <c r="AJ73" i="8"/>
  <c r="AA73" i="8" s="1"/>
  <c r="L73" i="47" s="1"/>
  <c r="AF73" i="8"/>
  <c r="W73" i="8" s="1"/>
  <c r="K73" i="47" s="1"/>
  <c r="AJ72" i="8"/>
  <c r="AA72" i="8" s="1"/>
  <c r="L72" i="47" s="1"/>
  <c r="AF72" i="8"/>
  <c r="W72" i="8" s="1"/>
  <c r="K72" i="47" s="1"/>
  <c r="AJ70" i="8"/>
  <c r="AA70" i="8" s="1"/>
  <c r="L70" i="47" s="1"/>
  <c r="AF70" i="8"/>
  <c r="W70" i="8" s="1"/>
  <c r="K70" i="47" s="1"/>
  <c r="AJ69" i="8"/>
  <c r="AA69" i="8" s="1"/>
  <c r="L69" i="47" s="1"/>
  <c r="AF69" i="8"/>
  <c r="W69" i="8" s="1"/>
  <c r="K69" i="47" s="1"/>
  <c r="AJ68" i="8"/>
  <c r="AA68" i="8" s="1"/>
  <c r="L68" i="47" s="1"/>
  <c r="AF68" i="8"/>
  <c r="W68" i="8" s="1"/>
  <c r="K68" i="47" s="1"/>
  <c r="AJ66" i="8"/>
  <c r="AA66" i="8" s="1"/>
  <c r="L66" i="47" s="1"/>
  <c r="AF66" i="8"/>
  <c r="W66" i="8" s="1"/>
  <c r="K66" i="47" s="1"/>
  <c r="AJ65" i="8"/>
  <c r="AA65" i="8" s="1"/>
  <c r="L65" i="47" s="1"/>
  <c r="AF65" i="8"/>
  <c r="W65" i="8" s="1"/>
  <c r="K65" i="47" s="1"/>
  <c r="AJ64" i="8"/>
  <c r="AA64" i="8" s="1"/>
  <c r="L64" i="47" s="1"/>
  <c r="AF64" i="8"/>
  <c r="W64" i="8" s="1"/>
  <c r="K64" i="47" s="1"/>
  <c r="AJ60" i="8"/>
  <c r="AA60" i="8" s="1"/>
  <c r="L60" i="47" s="1"/>
  <c r="AF60" i="8"/>
  <c r="W60" i="8" s="1"/>
  <c r="K60" i="47" s="1"/>
  <c r="AJ59" i="8"/>
  <c r="AA59" i="8" s="1"/>
  <c r="L59" i="47" s="1"/>
  <c r="AF59" i="8"/>
  <c r="W59" i="8" s="1"/>
  <c r="K59" i="47" s="1"/>
  <c r="AJ57" i="8"/>
  <c r="AA57" i="8" s="1"/>
  <c r="L57" i="47" s="1"/>
  <c r="AF57" i="8"/>
  <c r="W57" i="8" s="1"/>
  <c r="K57" i="47" s="1"/>
  <c r="AJ56" i="8"/>
  <c r="AA56" i="8" s="1"/>
  <c r="L56" i="47" s="1"/>
  <c r="AF56" i="8"/>
  <c r="W56" i="8" s="1"/>
  <c r="K56" i="47" s="1"/>
  <c r="AJ55" i="8"/>
  <c r="AA55" i="8" s="1"/>
  <c r="L55" i="47" s="1"/>
  <c r="AF55" i="8"/>
  <c r="W55" i="8" s="1"/>
  <c r="K55" i="47" s="1"/>
  <c r="AJ54" i="8"/>
  <c r="AA54" i="8" s="1"/>
  <c r="L54" i="47" s="1"/>
  <c r="AF54" i="8"/>
  <c r="W54" i="8" s="1"/>
  <c r="K54" i="47" s="1"/>
  <c r="AJ52" i="8"/>
  <c r="AA52" i="8" s="1"/>
  <c r="L52" i="47" s="1"/>
  <c r="AF52" i="8"/>
  <c r="W52" i="8" s="1"/>
  <c r="K52" i="47" s="1"/>
  <c r="AJ51" i="8"/>
  <c r="AA51" i="8" s="1"/>
  <c r="L51" i="47" s="1"/>
  <c r="AF51" i="8"/>
  <c r="W51" i="8" s="1"/>
  <c r="K51" i="47" s="1"/>
  <c r="AJ50" i="8"/>
  <c r="AA50" i="8" s="1"/>
  <c r="L50" i="47" s="1"/>
  <c r="AF50" i="8"/>
  <c r="W50" i="8" s="1"/>
  <c r="K50" i="47" s="1"/>
  <c r="AJ49" i="8"/>
  <c r="AA49" i="8" s="1"/>
  <c r="L49" i="47" s="1"/>
  <c r="AF49" i="8"/>
  <c r="W49" i="8" s="1"/>
  <c r="K49" i="47" s="1"/>
  <c r="AJ46" i="8"/>
  <c r="AA46" i="8" s="1"/>
  <c r="L46" i="47" s="1"/>
  <c r="AJ45" i="8"/>
  <c r="AA45" i="8" s="1"/>
  <c r="L45" i="47" s="1"/>
  <c r="AF45" i="8"/>
  <c r="W45" i="8" s="1"/>
  <c r="K45" i="47" s="1"/>
  <c r="AJ44" i="8"/>
  <c r="AA44" i="8" s="1"/>
  <c r="L44" i="47" s="1"/>
  <c r="AF44" i="8"/>
  <c r="W44" i="8" s="1"/>
  <c r="K44" i="47" s="1"/>
  <c r="AJ42" i="8"/>
  <c r="AA42" i="8" s="1"/>
  <c r="L42" i="47" s="1"/>
  <c r="AF42" i="8"/>
  <c r="W42" i="8" s="1"/>
  <c r="K42" i="47" s="1"/>
  <c r="AJ41" i="8"/>
  <c r="AA41" i="8" s="1"/>
  <c r="L41" i="47" s="1"/>
  <c r="AF41" i="8"/>
  <c r="W41" i="8" s="1"/>
  <c r="K41" i="47" s="1"/>
  <c r="AJ40" i="8"/>
  <c r="AA40" i="8" s="1"/>
  <c r="L40" i="47" s="1"/>
  <c r="AF40" i="8"/>
  <c r="W40" i="8" s="1"/>
  <c r="K40" i="47" s="1"/>
  <c r="AJ38" i="8"/>
  <c r="AA38" i="8" s="1"/>
  <c r="L38" i="47" s="1"/>
  <c r="AF38" i="8"/>
  <c r="W38" i="8" s="1"/>
  <c r="K38" i="47" s="1"/>
  <c r="AJ37" i="8"/>
  <c r="AA37" i="8" s="1"/>
  <c r="L37" i="47" s="1"/>
  <c r="AF37" i="8"/>
  <c r="W37" i="8" s="1"/>
  <c r="K37" i="47" s="1"/>
  <c r="AJ36" i="8"/>
  <c r="AA36" i="8" s="1"/>
  <c r="L36" i="47" s="1"/>
  <c r="AF36" i="8"/>
  <c r="W36" i="8" s="1"/>
  <c r="K36" i="47" s="1"/>
  <c r="AJ33" i="8"/>
  <c r="AA33" i="8" s="1"/>
  <c r="L33" i="47" s="1"/>
  <c r="AF33" i="8"/>
  <c r="W33" i="8" s="1"/>
  <c r="K33" i="47" s="1"/>
  <c r="AJ32" i="8"/>
  <c r="AA32" i="8" s="1"/>
  <c r="L32" i="47" s="1"/>
  <c r="AF32" i="8"/>
  <c r="W32" i="8" s="1"/>
  <c r="K32" i="47" s="1"/>
  <c r="AJ30" i="8"/>
  <c r="AA30" i="8" s="1"/>
  <c r="L30" i="47" s="1"/>
  <c r="AF30" i="8"/>
  <c r="W30" i="8" s="1"/>
  <c r="K30" i="47" s="1"/>
  <c r="AJ29" i="8"/>
  <c r="AA29" i="8" s="1"/>
  <c r="L29" i="47" s="1"/>
  <c r="AF29" i="8"/>
  <c r="W29" i="8" s="1"/>
  <c r="K29" i="47" s="1"/>
  <c r="AJ28" i="8"/>
  <c r="AA28" i="8" s="1"/>
  <c r="L28" i="47" s="1"/>
  <c r="AF28" i="8"/>
  <c r="W28" i="8" s="1"/>
  <c r="K28" i="47" s="1"/>
  <c r="AJ27" i="8"/>
  <c r="AA27" i="8" s="1"/>
  <c r="L27" i="47" s="1"/>
  <c r="AF27" i="8"/>
  <c r="W27" i="8" s="1"/>
  <c r="K27" i="47" s="1"/>
  <c r="AJ26" i="8"/>
  <c r="AA26" i="8" s="1"/>
  <c r="L26" i="47" s="1"/>
  <c r="AF26" i="8"/>
  <c r="W26" i="8" s="1"/>
  <c r="K26" i="47" s="1"/>
  <c r="AJ25" i="8"/>
  <c r="AA25" i="8" s="1"/>
  <c r="L25" i="47" s="1"/>
  <c r="AF25" i="8"/>
  <c r="W25" i="8" s="1"/>
  <c r="K25" i="47" s="1"/>
  <c r="AJ24" i="8"/>
  <c r="AA24" i="8" s="1"/>
  <c r="L24" i="47" s="1"/>
  <c r="AF24" i="8"/>
  <c r="W24" i="8" s="1"/>
  <c r="K24" i="47" s="1"/>
  <c r="AJ23" i="8"/>
  <c r="AA23" i="8" s="1"/>
  <c r="L23" i="47" s="1"/>
  <c r="AF23" i="8"/>
  <c r="W23" i="8" s="1"/>
  <c r="K23" i="47" s="1"/>
  <c r="AJ22" i="8"/>
  <c r="AA22" i="8" s="1"/>
  <c r="L22" i="47" s="1"/>
  <c r="AF22" i="8"/>
  <c r="W22" i="8" s="1"/>
  <c r="K22" i="47" s="1"/>
  <c r="AJ19" i="8"/>
  <c r="AA19" i="8" s="1"/>
  <c r="L19" i="47" s="1"/>
  <c r="AF19" i="8"/>
  <c r="W19" i="8" s="1"/>
  <c r="K19" i="47" s="1"/>
  <c r="AJ18" i="8"/>
  <c r="AA18" i="8" s="1"/>
  <c r="L18" i="47" s="1"/>
  <c r="AF18" i="8"/>
  <c r="W18" i="8" s="1"/>
  <c r="K18" i="47" s="1"/>
  <c r="AJ17" i="8"/>
  <c r="AA17" i="8" s="1"/>
  <c r="L17" i="47" s="1"/>
  <c r="AF17" i="8"/>
  <c r="W17" i="8" s="1"/>
  <c r="K17" i="47" s="1"/>
  <c r="AJ16" i="8"/>
  <c r="AA16" i="8" s="1"/>
  <c r="L16" i="47" s="1"/>
  <c r="AF16" i="8"/>
  <c r="W16" i="8" s="1"/>
  <c r="K16" i="47" s="1"/>
  <c r="AJ15" i="8"/>
  <c r="AA15" i="8" s="1"/>
  <c r="L15" i="47" s="1"/>
  <c r="AF15" i="8"/>
  <c r="W15" i="8" s="1"/>
  <c r="K15" i="47" s="1"/>
  <c r="AJ13" i="8"/>
  <c r="AA13" i="8" s="1"/>
  <c r="L13" i="47" s="1"/>
  <c r="AF13" i="8"/>
  <c r="W13" i="8" s="1"/>
  <c r="K13" i="47" s="1"/>
  <c r="AJ12" i="8"/>
  <c r="AA12" i="8" s="1"/>
  <c r="L12" i="47" s="1"/>
  <c r="W12" i="8"/>
  <c r="K12" i="47" s="1"/>
  <c r="AH115" i="4"/>
  <c r="AC115" i="8" s="1"/>
  <c r="P115" i="8" s="1"/>
  <c r="AH97" i="4"/>
  <c r="AC97" i="8" s="1"/>
  <c r="AH96" i="4"/>
  <c r="AC96" i="8" s="1"/>
  <c r="P96" i="8" s="1"/>
  <c r="AH75" i="4"/>
  <c r="AC75" i="8" s="1"/>
  <c r="AH62" i="4"/>
  <c r="AC62" i="8" s="1"/>
  <c r="AH47" i="4"/>
  <c r="AC47" i="8" s="1"/>
  <c r="AH34" i="4"/>
  <c r="AC34" i="8" s="1"/>
  <c r="AH20" i="4"/>
  <c r="AC20" i="8" s="1"/>
  <c r="AC19" i="47"/>
  <c r="AD19" i="47"/>
  <c r="AE19" i="47"/>
  <c r="AC18" i="47"/>
  <c r="AD18" i="47"/>
  <c r="AE18" i="47"/>
  <c r="AC17" i="47"/>
  <c r="AD17" i="47"/>
  <c r="AE17" i="47"/>
  <c r="AC16" i="47"/>
  <c r="AD16" i="47"/>
  <c r="AE16" i="47"/>
  <c r="AC15" i="47"/>
  <c r="AD15" i="47"/>
  <c r="AE15" i="47"/>
  <c r="AE14" i="47"/>
  <c r="AC14" i="47"/>
  <c r="AD14" i="47"/>
  <c r="AH10" i="4"/>
  <c r="AC10" i="8" s="1"/>
  <c r="AH8" i="4"/>
  <c r="AC8" i="8" s="1"/>
  <c r="AB177" i="47"/>
  <c r="AB176" i="47"/>
  <c r="AB175" i="47"/>
  <c r="AB131" i="47"/>
  <c r="V74" i="47"/>
  <c r="W74" i="47"/>
  <c r="X74" i="47"/>
  <c r="Y74" i="47"/>
  <c r="Z74" i="47"/>
  <c r="AA74" i="47"/>
  <c r="AB74" i="47"/>
  <c r="V73" i="47"/>
  <c r="W73" i="47"/>
  <c r="X73" i="47"/>
  <c r="Y73" i="47"/>
  <c r="Z73" i="47"/>
  <c r="AA73" i="47"/>
  <c r="AB73" i="47"/>
  <c r="V72" i="47"/>
  <c r="W72" i="47"/>
  <c r="X72" i="47"/>
  <c r="Y72" i="47"/>
  <c r="Z72" i="47"/>
  <c r="AA72" i="47"/>
  <c r="AB72" i="47"/>
  <c r="V71" i="47"/>
  <c r="W71" i="47"/>
  <c r="X71" i="47"/>
  <c r="Y71" i="47"/>
  <c r="Z71" i="47"/>
  <c r="AA71" i="47"/>
  <c r="AB71" i="47"/>
  <c r="AB70" i="47"/>
  <c r="V70" i="47"/>
  <c r="W70" i="47"/>
  <c r="X70" i="47"/>
  <c r="Y70" i="47"/>
  <c r="Z70" i="47"/>
  <c r="AA70" i="47"/>
  <c r="AB69" i="47"/>
  <c r="V69" i="47"/>
  <c r="W69" i="47"/>
  <c r="X69" i="47"/>
  <c r="Y69" i="47"/>
  <c r="Z69" i="47"/>
  <c r="AA69" i="47"/>
  <c r="AB68" i="47"/>
  <c r="V68" i="47"/>
  <c r="W68" i="47"/>
  <c r="X68" i="47"/>
  <c r="Y68" i="47"/>
  <c r="Z68" i="47"/>
  <c r="AA68" i="47"/>
  <c r="V67" i="47"/>
  <c r="W67" i="47"/>
  <c r="X67" i="47"/>
  <c r="Y67" i="47"/>
  <c r="Z67" i="47"/>
  <c r="AA67" i="47"/>
  <c r="AB67" i="47"/>
  <c r="V66" i="47"/>
  <c r="W66" i="47"/>
  <c r="X66" i="47"/>
  <c r="Y66" i="47"/>
  <c r="Z66" i="47"/>
  <c r="AA66" i="47"/>
  <c r="AB66" i="47"/>
  <c r="V65" i="47"/>
  <c r="W65" i="47"/>
  <c r="X65" i="47"/>
  <c r="Y65" i="47"/>
  <c r="Z65" i="47"/>
  <c r="AA65" i="47"/>
  <c r="AB65" i="47"/>
  <c r="V64" i="47"/>
  <c r="W64" i="47"/>
  <c r="X64" i="47"/>
  <c r="Y64" i="47"/>
  <c r="Z64" i="47"/>
  <c r="AA64" i="47"/>
  <c r="AB64" i="47"/>
  <c r="V63" i="47"/>
  <c r="W63" i="47"/>
  <c r="X63" i="47"/>
  <c r="Y63" i="47"/>
  <c r="Z63" i="47"/>
  <c r="AA63" i="47"/>
  <c r="AB63" i="47"/>
  <c r="AB50" i="47"/>
  <c r="AB42" i="47"/>
  <c r="AB41" i="47"/>
  <c r="AB40" i="47"/>
  <c r="AB33" i="47"/>
  <c r="AB32" i="47"/>
  <c r="AB31" i="47"/>
  <c r="S19" i="47"/>
  <c r="W19" i="47"/>
  <c r="X19" i="47"/>
  <c r="Y19" i="47"/>
  <c r="Z19" i="47"/>
  <c r="AA19" i="47"/>
  <c r="AB19" i="47"/>
  <c r="S18" i="47"/>
  <c r="W18" i="47"/>
  <c r="X18" i="47"/>
  <c r="Y18" i="47"/>
  <c r="Z18" i="47"/>
  <c r="AA18" i="47"/>
  <c r="AB18" i="47"/>
  <c r="S17" i="47"/>
  <c r="W17" i="47"/>
  <c r="X17" i="47"/>
  <c r="Y17" i="47"/>
  <c r="Z17" i="47"/>
  <c r="AA17" i="47"/>
  <c r="AB17" i="47"/>
  <c r="S16" i="47"/>
  <c r="W16" i="47"/>
  <c r="X16" i="47"/>
  <c r="Y16" i="47"/>
  <c r="Z16" i="47"/>
  <c r="AA16" i="47"/>
  <c r="AB16" i="47"/>
  <c r="S15" i="47"/>
  <c r="W15" i="47"/>
  <c r="X15" i="47"/>
  <c r="Y15" i="47"/>
  <c r="Z15" i="47"/>
  <c r="AA15" i="47"/>
  <c r="AB15" i="47"/>
  <c r="T14" i="47"/>
  <c r="S14" i="47"/>
  <c r="W14" i="47"/>
  <c r="Z14" i="47"/>
  <c r="AA14" i="47"/>
  <c r="X14" i="47"/>
  <c r="Y14" i="47"/>
  <c r="AB14" i="47"/>
  <c r="AA8" i="4"/>
  <c r="Y8" i="8" s="1"/>
  <c r="AE8" i="47"/>
  <c r="AD8" i="47"/>
  <c r="AC8" i="47"/>
  <c r="X8" i="47" s="1"/>
  <c r="W8" i="47"/>
  <c r="AC179" i="47"/>
  <c r="AD179" i="47"/>
  <c r="AE179" i="47"/>
  <c r="AC180" i="47"/>
  <c r="AD180" i="47"/>
  <c r="AE180" i="47"/>
  <c r="AC170" i="47"/>
  <c r="AD170" i="47"/>
  <c r="AE170" i="47"/>
  <c r="AC174" i="47"/>
  <c r="AD174" i="47"/>
  <c r="AE174" i="47"/>
  <c r="AC178" i="47"/>
  <c r="AD178" i="47"/>
  <c r="AE178" i="47"/>
  <c r="AC175" i="47"/>
  <c r="AD175" i="47"/>
  <c r="AE175" i="47"/>
  <c r="AC176" i="47"/>
  <c r="AD176" i="47"/>
  <c r="AE176" i="47"/>
  <c r="AC177" i="47"/>
  <c r="AD177" i="47"/>
  <c r="AE177" i="47"/>
  <c r="AC171" i="47"/>
  <c r="AD171" i="47"/>
  <c r="AE171" i="47"/>
  <c r="AC172" i="47"/>
  <c r="AD172" i="47"/>
  <c r="AE172" i="47"/>
  <c r="AC173" i="47"/>
  <c r="AD173" i="47"/>
  <c r="AE173" i="47"/>
  <c r="AC160" i="47"/>
  <c r="AD160" i="47"/>
  <c r="AE160" i="47"/>
  <c r="AC161" i="47"/>
  <c r="AD161" i="47"/>
  <c r="AE161" i="47"/>
  <c r="AC169" i="47"/>
  <c r="AD169" i="47"/>
  <c r="AE169" i="47"/>
  <c r="AC165" i="47"/>
  <c r="AD165" i="47"/>
  <c r="AE165" i="47"/>
  <c r="AC166" i="47"/>
  <c r="AD166" i="47"/>
  <c r="AE166" i="47"/>
  <c r="AC167" i="47"/>
  <c r="AD167" i="47"/>
  <c r="AE167" i="47"/>
  <c r="AC168" i="47"/>
  <c r="AD168" i="47"/>
  <c r="AE168" i="47"/>
  <c r="AC162" i="47"/>
  <c r="AD162" i="47"/>
  <c r="AE162" i="47"/>
  <c r="AC163" i="47"/>
  <c r="AD163" i="47"/>
  <c r="AE163" i="47"/>
  <c r="AC164" i="47"/>
  <c r="AD164" i="47"/>
  <c r="AE164" i="47"/>
  <c r="AC117" i="47"/>
  <c r="AD117" i="47"/>
  <c r="AE117" i="47"/>
  <c r="AC140" i="47"/>
  <c r="AD140" i="47"/>
  <c r="AE140" i="47"/>
  <c r="AC159" i="47"/>
  <c r="AD159" i="47"/>
  <c r="AE159" i="47"/>
  <c r="AC156" i="47"/>
  <c r="AD156" i="47"/>
  <c r="AE156" i="47"/>
  <c r="AC157" i="47"/>
  <c r="AD157" i="47"/>
  <c r="AE157" i="47"/>
  <c r="AC158" i="47"/>
  <c r="AD158" i="47"/>
  <c r="AE158" i="47"/>
  <c r="AC154" i="47"/>
  <c r="AD154" i="47"/>
  <c r="AE154" i="47"/>
  <c r="AC155" i="47"/>
  <c r="AD155" i="47"/>
  <c r="AE155" i="47"/>
  <c r="AC141" i="47"/>
  <c r="AD141" i="47"/>
  <c r="AE141" i="47"/>
  <c r="AC146" i="47"/>
  <c r="AD146" i="47"/>
  <c r="AE146" i="47"/>
  <c r="AC153" i="47"/>
  <c r="AD153" i="47"/>
  <c r="AE153" i="47"/>
  <c r="AC147" i="47"/>
  <c r="AD147" i="47"/>
  <c r="AE147" i="47"/>
  <c r="AC148" i="47"/>
  <c r="AD148" i="47"/>
  <c r="AE148" i="47"/>
  <c r="AC149" i="47"/>
  <c r="AD149" i="47"/>
  <c r="AE149" i="47"/>
  <c r="AC150" i="47"/>
  <c r="AD150" i="47"/>
  <c r="AE150" i="47"/>
  <c r="AC151" i="47"/>
  <c r="AD151" i="47"/>
  <c r="AE151" i="47"/>
  <c r="AC152" i="47"/>
  <c r="AD152" i="47"/>
  <c r="AE152" i="47"/>
  <c r="AC144" i="47"/>
  <c r="AD144" i="47"/>
  <c r="AE144" i="47"/>
  <c r="AC145" i="47"/>
  <c r="AD145" i="47"/>
  <c r="AE145" i="47"/>
  <c r="AC142" i="47"/>
  <c r="AD142" i="47"/>
  <c r="AE142" i="47"/>
  <c r="AC143" i="47"/>
  <c r="AD143" i="47"/>
  <c r="AE143" i="47"/>
  <c r="AC134" i="47"/>
  <c r="AD134" i="47"/>
  <c r="AE134" i="47"/>
  <c r="AC137" i="47"/>
  <c r="AD137" i="47"/>
  <c r="AE137" i="47"/>
  <c r="AC118" i="47"/>
  <c r="AD118" i="47"/>
  <c r="AE118" i="47"/>
  <c r="AC119" i="47"/>
  <c r="AD119" i="47"/>
  <c r="AE119" i="47"/>
  <c r="AC124" i="47"/>
  <c r="AD124" i="47"/>
  <c r="AE124" i="47"/>
  <c r="AC133" i="47"/>
  <c r="AD133" i="47"/>
  <c r="AE133" i="47"/>
  <c r="AC132" i="47"/>
  <c r="AD132" i="47"/>
  <c r="AE132" i="47"/>
  <c r="AC125" i="47"/>
  <c r="AD125" i="47"/>
  <c r="AE125" i="47"/>
  <c r="AC126" i="47"/>
  <c r="AD126" i="47"/>
  <c r="AE126" i="47"/>
  <c r="AC122" i="47"/>
  <c r="AD122" i="47"/>
  <c r="AE122" i="47"/>
  <c r="AC123" i="47"/>
  <c r="AD123" i="47"/>
  <c r="AE123" i="47"/>
  <c r="AC120" i="47"/>
  <c r="AD120" i="47"/>
  <c r="AE120" i="47"/>
  <c r="AC121" i="47"/>
  <c r="AD121" i="47"/>
  <c r="AE121" i="47"/>
  <c r="AJ116" i="4"/>
  <c r="AL116" i="8" s="1"/>
  <c r="AC116" i="4"/>
  <c r="AH116" i="8" s="1"/>
  <c r="AC116" i="47"/>
  <c r="AD116" i="47"/>
  <c r="AE116" i="47"/>
  <c r="AJ115" i="4"/>
  <c r="R115" i="8" s="1"/>
  <c r="AC115" i="4"/>
  <c r="AH115" i="8" s="1"/>
  <c r="AC113" i="47"/>
  <c r="AD113" i="47"/>
  <c r="AE113" i="47"/>
  <c r="AC114" i="47"/>
  <c r="AD114" i="47"/>
  <c r="AE114" i="47"/>
  <c r="AC110" i="47"/>
  <c r="AD110" i="47"/>
  <c r="AE110" i="47"/>
  <c r="AC111" i="47"/>
  <c r="AD111" i="47"/>
  <c r="AE111" i="47"/>
  <c r="AC112" i="47"/>
  <c r="AD112" i="47"/>
  <c r="AE112" i="47"/>
  <c r="AC9" i="47"/>
  <c r="AD9" i="47"/>
  <c r="AE9" i="47"/>
  <c r="AC61" i="47"/>
  <c r="AD61" i="47"/>
  <c r="AE61" i="47"/>
  <c r="AC109" i="47"/>
  <c r="AD109" i="47"/>
  <c r="AE109" i="47"/>
  <c r="AC103" i="47"/>
  <c r="AD103" i="47"/>
  <c r="AE103" i="47"/>
  <c r="AC104" i="47"/>
  <c r="AD104" i="47"/>
  <c r="AE104" i="47"/>
  <c r="AC105" i="47"/>
  <c r="AD105" i="47"/>
  <c r="AE105" i="47"/>
  <c r="AC106" i="47"/>
  <c r="AD106" i="47"/>
  <c r="AE106" i="47"/>
  <c r="AC107" i="47"/>
  <c r="AD107" i="47"/>
  <c r="AE107" i="47"/>
  <c r="AC108" i="47"/>
  <c r="AD108" i="47"/>
  <c r="AE108" i="47"/>
  <c r="AC98" i="47"/>
  <c r="AD98" i="47"/>
  <c r="AE98" i="47"/>
  <c r="AC101" i="47"/>
  <c r="AD101" i="47"/>
  <c r="AE101" i="47"/>
  <c r="AC102" i="47"/>
  <c r="AD102" i="47"/>
  <c r="AE102" i="47"/>
  <c r="AC99" i="47"/>
  <c r="AD99" i="47"/>
  <c r="AE99" i="47"/>
  <c r="AC100" i="47"/>
  <c r="AD100" i="47"/>
  <c r="AE100" i="47"/>
  <c r="AC62" i="47"/>
  <c r="AD62" i="47"/>
  <c r="AE62" i="47"/>
  <c r="AC75" i="47"/>
  <c r="AD75" i="47"/>
  <c r="AE75" i="47"/>
  <c r="AC97" i="47"/>
  <c r="AD97" i="47"/>
  <c r="AE97" i="47"/>
  <c r="AJ96" i="4"/>
  <c r="R96" i="8" s="1"/>
  <c r="AC96" i="4"/>
  <c r="AH96" i="8" s="1"/>
  <c r="AC91" i="47"/>
  <c r="AD91" i="47"/>
  <c r="AE91" i="47"/>
  <c r="AC92" i="47"/>
  <c r="AD92" i="47"/>
  <c r="AE92" i="47"/>
  <c r="AC93" i="47"/>
  <c r="AD93" i="47"/>
  <c r="AE93" i="47"/>
  <c r="AC94" i="47"/>
  <c r="AD94" i="47"/>
  <c r="AE94" i="47"/>
  <c r="AC95" i="47"/>
  <c r="AD95" i="47"/>
  <c r="AE95" i="47"/>
  <c r="AC76" i="47"/>
  <c r="AD76" i="47"/>
  <c r="AE76" i="47"/>
  <c r="AC79" i="47"/>
  <c r="AD79" i="47"/>
  <c r="AE79" i="47"/>
  <c r="AC86" i="47"/>
  <c r="AD86" i="47"/>
  <c r="AE86" i="47"/>
  <c r="AC90" i="47"/>
  <c r="AD90" i="47"/>
  <c r="AE90" i="47"/>
  <c r="AC80" i="47"/>
  <c r="AD80" i="47"/>
  <c r="AE80" i="47"/>
  <c r="AC81" i="47"/>
  <c r="AD81" i="47"/>
  <c r="AE81" i="47"/>
  <c r="AC82" i="47"/>
  <c r="AD82" i="47"/>
  <c r="AE82" i="47"/>
  <c r="AC83" i="47"/>
  <c r="AD83" i="47"/>
  <c r="AE83" i="47"/>
  <c r="AC84" i="47"/>
  <c r="AD84" i="47"/>
  <c r="AE84" i="47"/>
  <c r="AC85" i="47"/>
  <c r="AD85" i="47"/>
  <c r="AE85" i="47"/>
  <c r="AC89" i="47"/>
  <c r="AD89" i="47"/>
  <c r="AE89" i="47"/>
  <c r="AC88" i="47"/>
  <c r="AD88" i="47"/>
  <c r="AE88" i="47"/>
  <c r="AC87" i="47"/>
  <c r="AD87" i="47"/>
  <c r="AE87" i="47"/>
  <c r="AC77" i="47"/>
  <c r="AD77" i="47"/>
  <c r="AE77" i="47"/>
  <c r="AC78" i="47"/>
  <c r="AD78" i="47"/>
  <c r="AE78" i="47"/>
  <c r="AC72" i="47"/>
  <c r="AD72" i="47"/>
  <c r="AE72" i="47"/>
  <c r="AC73" i="47"/>
  <c r="AD73" i="47"/>
  <c r="AE73" i="47"/>
  <c r="AC74" i="47"/>
  <c r="AD74" i="47"/>
  <c r="AE74" i="47"/>
  <c r="AC63" i="47"/>
  <c r="AD63" i="47"/>
  <c r="AE63" i="47"/>
  <c r="AC67" i="47"/>
  <c r="AD67" i="47"/>
  <c r="AE67" i="47"/>
  <c r="AC71" i="47"/>
  <c r="AD71" i="47"/>
  <c r="AE71" i="47"/>
  <c r="AC68" i="47"/>
  <c r="AD68" i="47"/>
  <c r="AE68" i="47"/>
  <c r="AC69" i="47"/>
  <c r="AD69" i="47"/>
  <c r="AE69" i="47"/>
  <c r="AC70" i="47"/>
  <c r="AD70" i="47"/>
  <c r="AE70" i="47"/>
  <c r="AC64" i="47"/>
  <c r="AD64" i="47"/>
  <c r="AE64" i="47"/>
  <c r="AC65" i="47"/>
  <c r="AD65" i="47"/>
  <c r="AE65" i="47"/>
  <c r="AC66" i="47"/>
  <c r="AD66" i="47"/>
  <c r="AE66" i="47"/>
  <c r="AC59" i="47"/>
  <c r="AD59" i="47"/>
  <c r="AE59" i="47"/>
  <c r="AC60" i="47"/>
  <c r="AD60" i="47"/>
  <c r="AE60" i="47"/>
  <c r="AC48" i="47"/>
  <c r="AD48" i="47"/>
  <c r="AE48" i="47"/>
  <c r="AC53" i="47"/>
  <c r="AD53" i="47"/>
  <c r="AE53" i="47"/>
  <c r="AC58" i="47"/>
  <c r="AD58" i="47"/>
  <c r="AE58" i="47"/>
  <c r="AC54" i="47"/>
  <c r="AD54" i="47"/>
  <c r="AE54" i="47"/>
  <c r="AC55" i="47"/>
  <c r="AD55" i="47"/>
  <c r="AE55" i="47"/>
  <c r="AC56" i="47"/>
  <c r="AD56" i="47"/>
  <c r="AE56" i="47"/>
  <c r="AC57" i="47"/>
  <c r="AD57" i="47"/>
  <c r="AE57" i="47"/>
  <c r="AC49" i="47"/>
  <c r="AD49" i="47"/>
  <c r="AE49" i="47"/>
  <c r="AC50" i="47"/>
  <c r="AD50" i="47"/>
  <c r="AE50" i="47"/>
  <c r="AC51" i="47"/>
  <c r="AD51" i="47"/>
  <c r="AE51" i="47"/>
  <c r="AC52" i="47"/>
  <c r="AD52" i="47"/>
  <c r="AE52" i="47"/>
  <c r="AC20" i="47"/>
  <c r="AD20" i="47"/>
  <c r="AE20" i="47"/>
  <c r="AC34" i="47"/>
  <c r="AD34" i="47"/>
  <c r="AE34" i="47"/>
  <c r="AC47" i="47"/>
  <c r="AD47" i="47"/>
  <c r="AE47" i="47"/>
  <c r="AC35" i="47"/>
  <c r="AD35" i="47"/>
  <c r="AE35" i="47"/>
  <c r="AC39" i="47"/>
  <c r="AD39" i="47"/>
  <c r="AE39" i="47"/>
  <c r="AC43" i="47"/>
  <c r="AD43" i="47"/>
  <c r="AE43" i="47"/>
  <c r="AC46" i="47"/>
  <c r="AD46" i="47"/>
  <c r="AE46" i="47"/>
  <c r="AC44" i="47"/>
  <c r="AD44" i="47"/>
  <c r="AE44" i="47"/>
  <c r="AC45" i="47"/>
  <c r="AD45" i="47"/>
  <c r="AE45" i="47"/>
  <c r="AC40" i="47"/>
  <c r="AD40" i="47"/>
  <c r="AE40" i="47"/>
  <c r="AC41" i="47"/>
  <c r="AD41" i="47"/>
  <c r="AE41" i="47"/>
  <c r="AC42" i="47"/>
  <c r="AD42" i="47"/>
  <c r="AE42" i="47"/>
  <c r="AC36" i="47"/>
  <c r="AD36" i="47"/>
  <c r="AE36" i="47"/>
  <c r="AC37" i="47"/>
  <c r="AD37" i="47"/>
  <c r="AE37" i="47"/>
  <c r="AC38" i="47"/>
  <c r="AD38" i="47"/>
  <c r="AE38" i="47"/>
  <c r="AC32" i="47"/>
  <c r="AD32" i="47"/>
  <c r="AE32" i="47"/>
  <c r="AC33" i="47"/>
  <c r="AD33" i="47"/>
  <c r="AE33" i="47"/>
  <c r="AC21" i="47"/>
  <c r="AD21" i="47"/>
  <c r="AE21" i="47"/>
  <c r="AC30" i="47"/>
  <c r="AD30" i="47"/>
  <c r="AE30" i="47"/>
  <c r="AC31" i="47"/>
  <c r="AD31" i="47"/>
  <c r="AE31" i="47"/>
  <c r="AC22" i="47"/>
  <c r="AD22" i="47"/>
  <c r="AE22" i="47"/>
  <c r="AC23" i="47"/>
  <c r="AD23" i="47"/>
  <c r="AE23" i="47"/>
  <c r="AC24" i="47"/>
  <c r="AD24" i="47"/>
  <c r="AE24" i="47"/>
  <c r="AC25" i="47"/>
  <c r="AD25" i="47"/>
  <c r="AE25" i="47"/>
  <c r="AC26" i="47"/>
  <c r="AD26" i="47"/>
  <c r="AE26" i="47"/>
  <c r="AC27" i="47"/>
  <c r="AD27" i="47"/>
  <c r="AE27" i="47"/>
  <c r="AC28" i="47"/>
  <c r="AD28" i="47"/>
  <c r="AE28" i="47"/>
  <c r="AC29" i="47"/>
  <c r="AD29" i="47"/>
  <c r="AE29" i="47"/>
  <c r="P9" i="47"/>
  <c r="B9" i="47" s="1"/>
  <c r="R9" i="47"/>
  <c r="C9" i="47" s="1"/>
  <c r="Q9" i="47"/>
  <c r="T9" i="47"/>
  <c r="U9" i="47"/>
  <c r="V9" i="47"/>
  <c r="W9" i="47"/>
  <c r="X9" i="47"/>
  <c r="Y9" i="47"/>
  <c r="Z9" i="47"/>
  <c r="AA9" i="47"/>
  <c r="AB9" i="47"/>
  <c r="P14" i="47"/>
  <c r="B14" i="47" s="1"/>
  <c r="R14" i="47"/>
  <c r="C14" i="47" s="1"/>
  <c r="Q14" i="47"/>
  <c r="U14" i="47"/>
  <c r="V14" i="47"/>
  <c r="P15" i="47"/>
  <c r="B15" i="47" s="1"/>
  <c r="R15" i="47"/>
  <c r="C15" i="47" s="1"/>
  <c r="Q15" i="47"/>
  <c r="T15" i="47"/>
  <c r="U15" i="47"/>
  <c r="V15" i="47"/>
  <c r="P16" i="47"/>
  <c r="B16" i="47" s="1"/>
  <c r="R16" i="47"/>
  <c r="C16" i="47" s="1"/>
  <c r="Q16" i="47"/>
  <c r="T16" i="47"/>
  <c r="U16" i="47"/>
  <c r="V16" i="47"/>
  <c r="P17" i="47"/>
  <c r="B17" i="47" s="1"/>
  <c r="R17" i="47"/>
  <c r="C17" i="47" s="1"/>
  <c r="Q17" i="47"/>
  <c r="T17" i="47"/>
  <c r="U17" i="47"/>
  <c r="V17" i="47"/>
  <c r="P18" i="47"/>
  <c r="B18" i="47" s="1"/>
  <c r="R18" i="47"/>
  <c r="C18" i="47" s="1"/>
  <c r="Q18" i="47"/>
  <c r="T18" i="47"/>
  <c r="U18" i="47"/>
  <c r="V18" i="47"/>
  <c r="P19" i="47"/>
  <c r="B19" i="47" s="1"/>
  <c r="R19" i="47"/>
  <c r="C19" i="47" s="1"/>
  <c r="Q19" i="47"/>
  <c r="T19" i="47"/>
  <c r="U19" i="47"/>
  <c r="V19" i="47"/>
  <c r="P20" i="47"/>
  <c r="B20" i="47" s="1"/>
  <c r="R20" i="47"/>
  <c r="C20" i="47" s="1"/>
  <c r="Q20" i="47"/>
  <c r="S20" i="47"/>
  <c r="T20" i="47"/>
  <c r="U20" i="47"/>
  <c r="V20" i="47"/>
  <c r="W20" i="47"/>
  <c r="X20" i="47"/>
  <c r="Y20" i="47"/>
  <c r="Z20" i="47"/>
  <c r="AA20" i="47"/>
  <c r="AB20" i="47"/>
  <c r="P21" i="47"/>
  <c r="B21" i="47" s="1"/>
  <c r="R21" i="47"/>
  <c r="C21" i="47" s="1"/>
  <c r="Q21" i="47"/>
  <c r="S21" i="47"/>
  <c r="T21" i="47"/>
  <c r="U21" i="47"/>
  <c r="V21" i="47"/>
  <c r="W21" i="47"/>
  <c r="X21" i="47"/>
  <c r="Y21" i="47"/>
  <c r="Z21" i="47"/>
  <c r="AA21" i="47"/>
  <c r="AB21" i="47"/>
  <c r="P22" i="47"/>
  <c r="B22" i="47" s="1"/>
  <c r="R22" i="47"/>
  <c r="C22" i="47" s="1"/>
  <c r="Q22" i="47"/>
  <c r="S22" i="47"/>
  <c r="T22" i="47"/>
  <c r="U22" i="47"/>
  <c r="V22" i="47"/>
  <c r="W22" i="47"/>
  <c r="X22" i="47"/>
  <c r="Y22" i="47"/>
  <c r="Z22" i="47"/>
  <c r="AA22" i="47"/>
  <c r="AB22" i="47"/>
  <c r="P23" i="47"/>
  <c r="B23" i="47" s="1"/>
  <c r="R23" i="47"/>
  <c r="C23" i="47" s="1"/>
  <c r="Q23" i="47"/>
  <c r="S23" i="47"/>
  <c r="T23" i="47"/>
  <c r="U23" i="47"/>
  <c r="V23" i="47"/>
  <c r="W23" i="47"/>
  <c r="X23" i="47"/>
  <c r="Y23" i="47"/>
  <c r="Z23" i="47"/>
  <c r="AA23" i="47"/>
  <c r="AB23" i="47"/>
  <c r="P24" i="47"/>
  <c r="B24" i="47" s="1"/>
  <c r="R24" i="47"/>
  <c r="C24" i="47" s="1"/>
  <c r="Q24" i="47"/>
  <c r="S24" i="47"/>
  <c r="T24" i="47"/>
  <c r="U24" i="47"/>
  <c r="V24" i="47"/>
  <c r="W24" i="47"/>
  <c r="X24" i="47"/>
  <c r="Y24" i="47"/>
  <c r="Z24" i="47"/>
  <c r="AA24" i="47"/>
  <c r="AB24" i="47"/>
  <c r="P25" i="47"/>
  <c r="B25" i="47" s="1"/>
  <c r="R25" i="47"/>
  <c r="C25" i="47" s="1"/>
  <c r="Q25" i="47"/>
  <c r="S25" i="47"/>
  <c r="T25" i="47"/>
  <c r="U25" i="47"/>
  <c r="V25" i="47"/>
  <c r="W25" i="47"/>
  <c r="X25" i="47"/>
  <c r="Y25" i="47"/>
  <c r="Z25" i="47"/>
  <c r="AA25" i="47"/>
  <c r="AB25" i="47"/>
  <c r="P26" i="47"/>
  <c r="B26" i="47" s="1"/>
  <c r="R26" i="47"/>
  <c r="C26" i="47" s="1"/>
  <c r="Q26" i="47"/>
  <c r="S26" i="47"/>
  <c r="T26" i="47"/>
  <c r="U26" i="47"/>
  <c r="V26" i="47"/>
  <c r="W26" i="47"/>
  <c r="X26" i="47"/>
  <c r="Y26" i="47"/>
  <c r="Z26" i="47"/>
  <c r="AA26" i="47"/>
  <c r="AB26" i="47"/>
  <c r="P27" i="47"/>
  <c r="B27" i="47" s="1"/>
  <c r="R27" i="47"/>
  <c r="C27" i="47" s="1"/>
  <c r="Q27" i="47"/>
  <c r="S27" i="47"/>
  <c r="T27" i="47"/>
  <c r="U27" i="47"/>
  <c r="V27" i="47"/>
  <c r="W27" i="47"/>
  <c r="X27" i="47"/>
  <c r="Y27" i="47"/>
  <c r="Z27" i="47"/>
  <c r="AA27" i="47"/>
  <c r="AB27" i="47"/>
  <c r="P28" i="47"/>
  <c r="B28" i="47" s="1"/>
  <c r="R28" i="47"/>
  <c r="C28" i="47" s="1"/>
  <c r="Q28" i="47"/>
  <c r="S28" i="47"/>
  <c r="T28" i="47"/>
  <c r="U28" i="47"/>
  <c r="V28" i="47"/>
  <c r="W28" i="47"/>
  <c r="X28" i="47"/>
  <c r="Y28" i="47"/>
  <c r="Z28" i="47"/>
  <c r="AA28" i="47"/>
  <c r="AB28" i="47"/>
  <c r="P29" i="47"/>
  <c r="B29" i="47" s="1"/>
  <c r="R29" i="47"/>
  <c r="C29" i="47" s="1"/>
  <c r="Q29" i="47"/>
  <c r="S29" i="47"/>
  <c r="T29" i="47"/>
  <c r="U29" i="47"/>
  <c r="V29" i="47"/>
  <c r="W29" i="47"/>
  <c r="X29" i="47"/>
  <c r="Y29" i="47"/>
  <c r="Z29" i="47"/>
  <c r="AA29" i="47"/>
  <c r="AB29" i="47"/>
  <c r="P30" i="47"/>
  <c r="B30" i="47" s="1"/>
  <c r="R30" i="47"/>
  <c r="C30" i="47" s="1"/>
  <c r="Q30" i="47"/>
  <c r="S30" i="47"/>
  <c r="T30" i="47"/>
  <c r="U30" i="47"/>
  <c r="V30" i="47"/>
  <c r="W30" i="47"/>
  <c r="X30" i="47"/>
  <c r="Y30" i="47"/>
  <c r="Z30" i="47"/>
  <c r="AA30" i="47"/>
  <c r="AB30" i="47"/>
  <c r="P31" i="47"/>
  <c r="B31" i="47" s="1"/>
  <c r="R31" i="47"/>
  <c r="C31" i="47" s="1"/>
  <c r="Q31" i="47"/>
  <c r="S31" i="47"/>
  <c r="T31" i="47"/>
  <c r="U31" i="47"/>
  <c r="V31" i="47"/>
  <c r="W31" i="47"/>
  <c r="X31" i="47"/>
  <c r="Y31" i="47"/>
  <c r="Z31" i="47"/>
  <c r="AA31" i="47"/>
  <c r="P32" i="47"/>
  <c r="B32" i="47" s="1"/>
  <c r="R32" i="47"/>
  <c r="C32" i="47" s="1"/>
  <c r="Q32" i="47"/>
  <c r="S32" i="47"/>
  <c r="T32" i="47"/>
  <c r="U32" i="47"/>
  <c r="V32" i="47"/>
  <c r="W32" i="47"/>
  <c r="X32" i="47"/>
  <c r="Y32" i="47"/>
  <c r="Z32" i="47"/>
  <c r="AA32" i="47"/>
  <c r="P33" i="47"/>
  <c r="B33" i="47" s="1"/>
  <c r="R33" i="47"/>
  <c r="C33" i="47" s="1"/>
  <c r="Q33" i="47"/>
  <c r="S33" i="47"/>
  <c r="T33" i="47"/>
  <c r="U33" i="47"/>
  <c r="V33" i="47"/>
  <c r="W33" i="47"/>
  <c r="X33" i="47"/>
  <c r="Y33" i="47"/>
  <c r="Z33" i="47"/>
  <c r="AA33" i="47"/>
  <c r="P34" i="47"/>
  <c r="B34" i="47" s="1"/>
  <c r="R34" i="47"/>
  <c r="C34" i="47" s="1"/>
  <c r="Q34" i="47"/>
  <c r="S34" i="47"/>
  <c r="T34" i="47"/>
  <c r="U34" i="47"/>
  <c r="V34" i="47"/>
  <c r="W34" i="47"/>
  <c r="X34" i="47"/>
  <c r="Y34" i="47"/>
  <c r="Z34" i="47"/>
  <c r="AA34" i="47"/>
  <c r="AB34" i="47"/>
  <c r="P35" i="47"/>
  <c r="B35" i="47" s="1"/>
  <c r="R35" i="47"/>
  <c r="C35" i="47" s="1"/>
  <c r="Q35" i="47"/>
  <c r="S35" i="47"/>
  <c r="T35" i="47"/>
  <c r="U35" i="47"/>
  <c r="V35" i="47"/>
  <c r="W35" i="47"/>
  <c r="X35" i="47"/>
  <c r="Y35" i="47"/>
  <c r="Z35" i="47"/>
  <c r="AA35" i="47"/>
  <c r="AB35" i="47"/>
  <c r="P36" i="47"/>
  <c r="B36" i="47" s="1"/>
  <c r="R36" i="47"/>
  <c r="C36" i="47" s="1"/>
  <c r="Q36" i="47"/>
  <c r="S36" i="47"/>
  <c r="T36" i="47"/>
  <c r="U36" i="47"/>
  <c r="V36" i="47"/>
  <c r="W36" i="47"/>
  <c r="X36" i="47"/>
  <c r="Y36" i="47"/>
  <c r="Z36" i="47"/>
  <c r="AA36" i="47"/>
  <c r="AB36" i="47"/>
  <c r="P37" i="47"/>
  <c r="B37" i="47" s="1"/>
  <c r="R37" i="47"/>
  <c r="C37" i="47" s="1"/>
  <c r="Q37" i="47"/>
  <c r="S37" i="47"/>
  <c r="T37" i="47"/>
  <c r="U37" i="47"/>
  <c r="V37" i="47"/>
  <c r="W37" i="47"/>
  <c r="X37" i="47"/>
  <c r="Y37" i="47"/>
  <c r="Z37" i="47"/>
  <c r="AA37" i="47"/>
  <c r="AB37" i="47"/>
  <c r="P38" i="47"/>
  <c r="B38" i="47" s="1"/>
  <c r="R38" i="47"/>
  <c r="C38" i="47" s="1"/>
  <c r="Q38" i="47"/>
  <c r="S38" i="47"/>
  <c r="T38" i="47"/>
  <c r="U38" i="47"/>
  <c r="V38" i="47"/>
  <c r="W38" i="47"/>
  <c r="X38" i="47"/>
  <c r="Y38" i="47"/>
  <c r="Z38" i="47"/>
  <c r="AA38" i="47"/>
  <c r="AB38" i="47"/>
  <c r="P39" i="47"/>
  <c r="B39" i="47" s="1"/>
  <c r="R39" i="47"/>
  <c r="C39" i="47" s="1"/>
  <c r="Q39" i="47"/>
  <c r="S39" i="47"/>
  <c r="T39" i="47"/>
  <c r="U39" i="47"/>
  <c r="V39" i="47"/>
  <c r="W39" i="47"/>
  <c r="X39" i="47"/>
  <c r="Y39" i="47"/>
  <c r="Z39" i="47"/>
  <c r="AA39" i="47"/>
  <c r="AB39" i="47"/>
  <c r="P40" i="47"/>
  <c r="B40" i="47" s="1"/>
  <c r="R40" i="47"/>
  <c r="C40" i="47" s="1"/>
  <c r="Q40" i="47"/>
  <c r="S40" i="47"/>
  <c r="T40" i="47"/>
  <c r="U40" i="47"/>
  <c r="V40" i="47"/>
  <c r="W40" i="47"/>
  <c r="X40" i="47"/>
  <c r="Y40" i="47"/>
  <c r="Z40" i="47"/>
  <c r="AA40" i="47"/>
  <c r="P41" i="47"/>
  <c r="B41" i="47" s="1"/>
  <c r="R41" i="47"/>
  <c r="C41" i="47" s="1"/>
  <c r="Q41" i="47"/>
  <c r="S41" i="47"/>
  <c r="T41" i="47"/>
  <c r="U41" i="47"/>
  <c r="V41" i="47"/>
  <c r="W41" i="47"/>
  <c r="X41" i="47"/>
  <c r="Y41" i="47"/>
  <c r="Z41" i="47"/>
  <c r="AA41" i="47"/>
  <c r="R42" i="47"/>
  <c r="C42" i="47" s="1"/>
  <c r="P42" i="47"/>
  <c r="Q42" i="47"/>
  <c r="S42" i="47"/>
  <c r="T42" i="47"/>
  <c r="U42" i="47"/>
  <c r="V42" i="47"/>
  <c r="W42" i="47"/>
  <c r="X42" i="47"/>
  <c r="Y42" i="47"/>
  <c r="Z42" i="47"/>
  <c r="AA42" i="47"/>
  <c r="P43" i="47"/>
  <c r="B43" i="47" s="1"/>
  <c r="R43" i="47"/>
  <c r="C43" i="47" s="1"/>
  <c r="Q43" i="47"/>
  <c r="S43" i="47"/>
  <c r="T43" i="47"/>
  <c r="U43" i="47"/>
  <c r="V43" i="47"/>
  <c r="W43" i="47"/>
  <c r="X43" i="47"/>
  <c r="Y43" i="47"/>
  <c r="Z43" i="47"/>
  <c r="AA43" i="47"/>
  <c r="AB43" i="47"/>
  <c r="P44" i="47"/>
  <c r="B44" i="47" s="1"/>
  <c r="R44" i="47"/>
  <c r="C44" i="47" s="1"/>
  <c r="Q44" i="47"/>
  <c r="S44" i="47"/>
  <c r="T44" i="47"/>
  <c r="U44" i="47"/>
  <c r="V44" i="47"/>
  <c r="W44" i="47"/>
  <c r="X44" i="47"/>
  <c r="Y44" i="47"/>
  <c r="Z44" i="47"/>
  <c r="AA44" i="47"/>
  <c r="AB44" i="47"/>
  <c r="P45" i="47"/>
  <c r="B45" i="47" s="1"/>
  <c r="R45" i="47"/>
  <c r="C45" i="47" s="1"/>
  <c r="Q45" i="47"/>
  <c r="S45" i="47"/>
  <c r="T45" i="47"/>
  <c r="U45" i="47"/>
  <c r="V45" i="47"/>
  <c r="W45" i="47"/>
  <c r="X45" i="47"/>
  <c r="Y45" i="47"/>
  <c r="Z45" i="47"/>
  <c r="AA45" i="47"/>
  <c r="AB45" i="47"/>
  <c r="P46" i="47"/>
  <c r="B46" i="47" s="1"/>
  <c r="R46" i="47"/>
  <c r="C46" i="47" s="1"/>
  <c r="Q46" i="47"/>
  <c r="S46" i="47"/>
  <c r="T46" i="47"/>
  <c r="U46" i="47"/>
  <c r="V46" i="47"/>
  <c r="W46" i="47"/>
  <c r="X46" i="47"/>
  <c r="Y46" i="47"/>
  <c r="Z46" i="47"/>
  <c r="AA46" i="47"/>
  <c r="AB46" i="47"/>
  <c r="P47" i="47"/>
  <c r="B47" i="47" s="1"/>
  <c r="R47" i="47"/>
  <c r="C47" i="47" s="1"/>
  <c r="Q47" i="47"/>
  <c r="S47" i="47"/>
  <c r="T47" i="47"/>
  <c r="U47" i="47"/>
  <c r="V47" i="47"/>
  <c r="W47" i="47"/>
  <c r="X47" i="47"/>
  <c r="Y47" i="47"/>
  <c r="Z47" i="47"/>
  <c r="AA47" i="47"/>
  <c r="AB47" i="47"/>
  <c r="P48" i="47"/>
  <c r="B48" i="47" s="1"/>
  <c r="R48" i="47"/>
  <c r="C48" i="47" s="1"/>
  <c r="Q48" i="47"/>
  <c r="S48" i="47"/>
  <c r="T48" i="47"/>
  <c r="U48" i="47"/>
  <c r="V48" i="47"/>
  <c r="W48" i="47"/>
  <c r="X48" i="47"/>
  <c r="Y48" i="47"/>
  <c r="Z48" i="47"/>
  <c r="AA48" i="47"/>
  <c r="AB48" i="47"/>
  <c r="P49" i="47"/>
  <c r="B49" i="47" s="1"/>
  <c r="R49" i="47"/>
  <c r="C49" i="47" s="1"/>
  <c r="Q49" i="47"/>
  <c r="S49" i="47"/>
  <c r="T49" i="47"/>
  <c r="U49" i="47"/>
  <c r="V49" i="47"/>
  <c r="W49" i="47"/>
  <c r="X49" i="47"/>
  <c r="Y49" i="47"/>
  <c r="Z49" i="47"/>
  <c r="AA49" i="47"/>
  <c r="AB49" i="47"/>
  <c r="P50" i="47"/>
  <c r="B50" i="47" s="1"/>
  <c r="R50" i="47"/>
  <c r="C50" i="47" s="1"/>
  <c r="Q50" i="47"/>
  <c r="S50" i="47"/>
  <c r="T50" i="47"/>
  <c r="U50" i="47"/>
  <c r="V50" i="47"/>
  <c r="W50" i="47"/>
  <c r="X50" i="47"/>
  <c r="Y50" i="47"/>
  <c r="Z50" i="47"/>
  <c r="AA50" i="47"/>
  <c r="P51" i="47"/>
  <c r="B51" i="47" s="1"/>
  <c r="R51" i="47"/>
  <c r="C51" i="47" s="1"/>
  <c r="Q51" i="47"/>
  <c r="S51" i="47"/>
  <c r="T51" i="47"/>
  <c r="U51" i="47"/>
  <c r="V51" i="47"/>
  <c r="W51" i="47"/>
  <c r="X51" i="47"/>
  <c r="Y51" i="47"/>
  <c r="Z51" i="47"/>
  <c r="AA51" i="47"/>
  <c r="AB51" i="47"/>
  <c r="P52" i="47"/>
  <c r="B52" i="47" s="1"/>
  <c r="R52" i="47"/>
  <c r="C52" i="47" s="1"/>
  <c r="Q52" i="47"/>
  <c r="S52" i="47"/>
  <c r="T52" i="47"/>
  <c r="U52" i="47"/>
  <c r="V52" i="47"/>
  <c r="W52" i="47"/>
  <c r="X52" i="47"/>
  <c r="Y52" i="47"/>
  <c r="Z52" i="47"/>
  <c r="AA52" i="47"/>
  <c r="AB52" i="47"/>
  <c r="P53" i="47"/>
  <c r="B53" i="47" s="1"/>
  <c r="R53" i="47"/>
  <c r="C53" i="47" s="1"/>
  <c r="Q53" i="47"/>
  <c r="S53" i="47"/>
  <c r="T53" i="47"/>
  <c r="U53" i="47"/>
  <c r="V53" i="47"/>
  <c r="W53" i="47"/>
  <c r="X53" i="47"/>
  <c r="Y53" i="47"/>
  <c r="Z53" i="47"/>
  <c r="AA53" i="47"/>
  <c r="AB53" i="47"/>
  <c r="P54" i="47"/>
  <c r="B54" i="47" s="1"/>
  <c r="R54" i="47"/>
  <c r="C54" i="47" s="1"/>
  <c r="Q54" i="47"/>
  <c r="S54" i="47"/>
  <c r="T54" i="47"/>
  <c r="U54" i="47"/>
  <c r="V54" i="47"/>
  <c r="W54" i="47"/>
  <c r="X54" i="47"/>
  <c r="Y54" i="47"/>
  <c r="Z54" i="47"/>
  <c r="AA54" i="47"/>
  <c r="AB54" i="47"/>
  <c r="P55" i="47"/>
  <c r="B55" i="47" s="1"/>
  <c r="R55" i="47"/>
  <c r="C55" i="47" s="1"/>
  <c r="Q55" i="47"/>
  <c r="S55" i="47"/>
  <c r="T55" i="47"/>
  <c r="U55" i="47"/>
  <c r="V55" i="47"/>
  <c r="W55" i="47"/>
  <c r="X55" i="47"/>
  <c r="Y55" i="47"/>
  <c r="Z55" i="47"/>
  <c r="AA55" i="47"/>
  <c r="AB55" i="47"/>
  <c r="P56" i="47"/>
  <c r="B56" i="47" s="1"/>
  <c r="R56" i="47"/>
  <c r="C56" i="47" s="1"/>
  <c r="Q56" i="47"/>
  <c r="S56" i="47"/>
  <c r="T56" i="47"/>
  <c r="U56" i="47"/>
  <c r="V56" i="47"/>
  <c r="W56" i="47"/>
  <c r="X56" i="47"/>
  <c r="Y56" i="47"/>
  <c r="Z56" i="47"/>
  <c r="AA56" i="47"/>
  <c r="AB56" i="47"/>
  <c r="P57" i="47"/>
  <c r="B57" i="47" s="1"/>
  <c r="R57" i="47"/>
  <c r="C57" i="47" s="1"/>
  <c r="Q57" i="47"/>
  <c r="S57" i="47"/>
  <c r="T57" i="47"/>
  <c r="U57" i="47"/>
  <c r="V57" i="47"/>
  <c r="W57" i="47"/>
  <c r="X57" i="47"/>
  <c r="Y57" i="47"/>
  <c r="Z57" i="47"/>
  <c r="AA57" i="47"/>
  <c r="AB57" i="47"/>
  <c r="P58" i="47"/>
  <c r="B58" i="47" s="1"/>
  <c r="R58" i="47"/>
  <c r="C58" i="47" s="1"/>
  <c r="Q58" i="47"/>
  <c r="S58" i="47"/>
  <c r="T58" i="47"/>
  <c r="U58" i="47"/>
  <c r="V58" i="47"/>
  <c r="W58" i="47"/>
  <c r="X58" i="47"/>
  <c r="Y58" i="47"/>
  <c r="Z58" i="47"/>
  <c r="AA58" i="47"/>
  <c r="AB58" i="47"/>
  <c r="P59" i="47"/>
  <c r="B59" i="47" s="1"/>
  <c r="R59" i="47"/>
  <c r="C59" i="47" s="1"/>
  <c r="Q59" i="47"/>
  <c r="S59" i="47"/>
  <c r="T59" i="47"/>
  <c r="U59" i="47"/>
  <c r="V59" i="47"/>
  <c r="W59" i="47"/>
  <c r="X59" i="47"/>
  <c r="Y59" i="47"/>
  <c r="Z59" i="47"/>
  <c r="AA59" i="47"/>
  <c r="AB59" i="47"/>
  <c r="P60" i="47"/>
  <c r="B60" i="47" s="1"/>
  <c r="R60" i="47"/>
  <c r="C60" i="47" s="1"/>
  <c r="Q60" i="47"/>
  <c r="S60" i="47"/>
  <c r="T60" i="47"/>
  <c r="U60" i="47"/>
  <c r="V60" i="47"/>
  <c r="W60" i="47"/>
  <c r="X60" i="47"/>
  <c r="Y60" i="47"/>
  <c r="Z60" i="47"/>
  <c r="AA60" i="47"/>
  <c r="AB60" i="47"/>
  <c r="P61" i="47"/>
  <c r="B61" i="47" s="1"/>
  <c r="R61" i="47"/>
  <c r="C61" i="47" s="1"/>
  <c r="Q61" i="47"/>
  <c r="S61" i="47"/>
  <c r="T61" i="47"/>
  <c r="U61" i="47"/>
  <c r="V61" i="47"/>
  <c r="W61" i="47"/>
  <c r="X61" i="47"/>
  <c r="Y61" i="47"/>
  <c r="Z61" i="47"/>
  <c r="AA61" i="47"/>
  <c r="AB61" i="47"/>
  <c r="P62" i="47"/>
  <c r="B62" i="47" s="1"/>
  <c r="R62" i="47"/>
  <c r="C62" i="47" s="1"/>
  <c r="Q62" i="47"/>
  <c r="S62" i="47"/>
  <c r="T62" i="47"/>
  <c r="U62" i="47"/>
  <c r="V62" i="47"/>
  <c r="W62" i="47"/>
  <c r="X62" i="47"/>
  <c r="Y62" i="47"/>
  <c r="Z62" i="47"/>
  <c r="AA62" i="47"/>
  <c r="AB62" i="47"/>
  <c r="P63" i="47"/>
  <c r="B63" i="47" s="1"/>
  <c r="R63" i="47"/>
  <c r="C63" i="47" s="1"/>
  <c r="Q63" i="47"/>
  <c r="S63" i="47"/>
  <c r="T63" i="47"/>
  <c r="U63" i="47"/>
  <c r="P64" i="47"/>
  <c r="B64" i="47" s="1"/>
  <c r="R64" i="47"/>
  <c r="C64" i="47" s="1"/>
  <c r="Q64" i="47"/>
  <c r="S64" i="47"/>
  <c r="T64" i="47"/>
  <c r="U64" i="47"/>
  <c r="P65" i="47"/>
  <c r="B65" i="47" s="1"/>
  <c r="R65" i="47"/>
  <c r="C65" i="47" s="1"/>
  <c r="Q65" i="47"/>
  <c r="S65" i="47"/>
  <c r="T65" i="47"/>
  <c r="U65" i="47"/>
  <c r="P66" i="47"/>
  <c r="B66" i="47" s="1"/>
  <c r="R66" i="47"/>
  <c r="C66" i="47" s="1"/>
  <c r="Q66" i="47"/>
  <c r="S66" i="47"/>
  <c r="T66" i="47"/>
  <c r="U66" i="47"/>
  <c r="P67" i="47"/>
  <c r="B67" i="47" s="1"/>
  <c r="R67" i="47"/>
  <c r="C67" i="47"/>
  <c r="Q67" i="47"/>
  <c r="S67" i="47"/>
  <c r="T67" i="47"/>
  <c r="U67" i="47"/>
  <c r="P68" i="47"/>
  <c r="B68" i="47" s="1"/>
  <c r="R68" i="47"/>
  <c r="C68" i="47" s="1"/>
  <c r="Q68" i="47"/>
  <c r="S68" i="47"/>
  <c r="T68" i="47"/>
  <c r="U68" i="47"/>
  <c r="P69" i="47"/>
  <c r="B69" i="47" s="1"/>
  <c r="R69" i="47"/>
  <c r="C69" i="47" s="1"/>
  <c r="Q69" i="47"/>
  <c r="S69" i="47"/>
  <c r="T69" i="47"/>
  <c r="U69" i="47"/>
  <c r="P70" i="47"/>
  <c r="B70" i="47" s="1"/>
  <c r="R70" i="47"/>
  <c r="C70" i="47" s="1"/>
  <c r="Q70" i="47"/>
  <c r="S70" i="47"/>
  <c r="T70" i="47"/>
  <c r="U70" i="47"/>
  <c r="P71" i="47"/>
  <c r="B71" i="47" s="1"/>
  <c r="R71" i="47"/>
  <c r="C71" i="47" s="1"/>
  <c r="Q71" i="47"/>
  <c r="S71" i="47"/>
  <c r="T71" i="47"/>
  <c r="U71" i="47"/>
  <c r="P72" i="47"/>
  <c r="B72" i="47" s="1"/>
  <c r="R72" i="47"/>
  <c r="C72" i="47" s="1"/>
  <c r="Q72" i="47"/>
  <c r="S72" i="47"/>
  <c r="T72" i="47"/>
  <c r="U72" i="47"/>
  <c r="P73" i="47"/>
  <c r="B73" i="47" s="1"/>
  <c r="R73" i="47"/>
  <c r="C73" i="47" s="1"/>
  <c r="Q73" i="47"/>
  <c r="S73" i="47"/>
  <c r="T73" i="47"/>
  <c r="U73" i="47"/>
  <c r="P74" i="47"/>
  <c r="B74" i="47" s="1"/>
  <c r="R74" i="47"/>
  <c r="C74" i="47" s="1"/>
  <c r="Q74" i="47"/>
  <c r="S74" i="47"/>
  <c r="T74" i="47"/>
  <c r="U74" i="47"/>
  <c r="P75" i="47"/>
  <c r="B75" i="47" s="1"/>
  <c r="R75" i="47"/>
  <c r="C75" i="47"/>
  <c r="Q75" i="47"/>
  <c r="S75" i="47"/>
  <c r="T75" i="47"/>
  <c r="U75" i="47"/>
  <c r="V75" i="47"/>
  <c r="W75" i="47"/>
  <c r="X75" i="47"/>
  <c r="Y75" i="47"/>
  <c r="Z75" i="47"/>
  <c r="AA75" i="47"/>
  <c r="AB75" i="47"/>
  <c r="P76" i="47"/>
  <c r="B76" i="47" s="1"/>
  <c r="R76" i="47"/>
  <c r="C76" i="47" s="1"/>
  <c r="Q76" i="47"/>
  <c r="S76" i="47"/>
  <c r="T76" i="47"/>
  <c r="U76" i="47"/>
  <c r="V76" i="47"/>
  <c r="W76" i="47"/>
  <c r="X76" i="47"/>
  <c r="Y76" i="47"/>
  <c r="Z76" i="47"/>
  <c r="AA76" i="47"/>
  <c r="AB76" i="47"/>
  <c r="P77" i="47"/>
  <c r="B77" i="47" s="1"/>
  <c r="R77" i="47"/>
  <c r="C77" i="47" s="1"/>
  <c r="Q77" i="47"/>
  <c r="S77" i="47"/>
  <c r="T77" i="47"/>
  <c r="U77" i="47"/>
  <c r="V77" i="47"/>
  <c r="W77" i="47"/>
  <c r="X77" i="47"/>
  <c r="Y77" i="47"/>
  <c r="Z77" i="47"/>
  <c r="AA77" i="47"/>
  <c r="AB77" i="47"/>
  <c r="P78" i="47"/>
  <c r="B78" i="47" s="1"/>
  <c r="R78" i="47"/>
  <c r="C78" i="47" s="1"/>
  <c r="Q78" i="47"/>
  <c r="S78" i="47"/>
  <c r="T78" i="47"/>
  <c r="U78" i="47"/>
  <c r="V78" i="47"/>
  <c r="W78" i="47"/>
  <c r="X78" i="47"/>
  <c r="Y78" i="47"/>
  <c r="Z78" i="47"/>
  <c r="AA78" i="47"/>
  <c r="AB78" i="47"/>
  <c r="P79" i="47"/>
  <c r="B79" i="47" s="1"/>
  <c r="R79" i="47"/>
  <c r="C79" i="47" s="1"/>
  <c r="Q79" i="47"/>
  <c r="S79" i="47"/>
  <c r="T79" i="47"/>
  <c r="U79" i="47"/>
  <c r="V79" i="47"/>
  <c r="W79" i="47"/>
  <c r="X79" i="47"/>
  <c r="Y79" i="47"/>
  <c r="Z79" i="47"/>
  <c r="AA79" i="47"/>
  <c r="AB79" i="47"/>
  <c r="P80" i="47"/>
  <c r="B80" i="47" s="1"/>
  <c r="R80" i="47"/>
  <c r="C80" i="47" s="1"/>
  <c r="Q80" i="47"/>
  <c r="S80" i="47"/>
  <c r="T80" i="47"/>
  <c r="U80" i="47"/>
  <c r="V80" i="47"/>
  <c r="W80" i="47"/>
  <c r="X80" i="47"/>
  <c r="Y80" i="47"/>
  <c r="Z80" i="47"/>
  <c r="AA80" i="47"/>
  <c r="AB80" i="47"/>
  <c r="P81" i="47"/>
  <c r="B81" i="47" s="1"/>
  <c r="R81" i="47"/>
  <c r="C81" i="47" s="1"/>
  <c r="Q81" i="47"/>
  <c r="S81" i="47"/>
  <c r="T81" i="47"/>
  <c r="U81" i="47"/>
  <c r="V81" i="47"/>
  <c r="W81" i="47"/>
  <c r="X81" i="47"/>
  <c r="Y81" i="47"/>
  <c r="Z81" i="47"/>
  <c r="AA81" i="47"/>
  <c r="AB81" i="47"/>
  <c r="P82" i="47"/>
  <c r="B82" i="47" s="1"/>
  <c r="R82" i="47"/>
  <c r="C82" i="47" s="1"/>
  <c r="Q82" i="47"/>
  <c r="S82" i="47"/>
  <c r="T82" i="47"/>
  <c r="U82" i="47"/>
  <c r="V82" i="47"/>
  <c r="W82" i="47"/>
  <c r="X82" i="47"/>
  <c r="Y82" i="47"/>
  <c r="Z82" i="47"/>
  <c r="AA82" i="47"/>
  <c r="AB82" i="47"/>
  <c r="P83" i="47"/>
  <c r="B83" i="47" s="1"/>
  <c r="R83" i="47"/>
  <c r="C83" i="47" s="1"/>
  <c r="Q83" i="47"/>
  <c r="S83" i="47"/>
  <c r="T83" i="47"/>
  <c r="U83" i="47"/>
  <c r="V83" i="47"/>
  <c r="W83" i="47"/>
  <c r="X83" i="47"/>
  <c r="Y83" i="47"/>
  <c r="Z83" i="47"/>
  <c r="AA83" i="47"/>
  <c r="AB83" i="47"/>
  <c r="P84" i="47"/>
  <c r="B84" i="47" s="1"/>
  <c r="R84" i="47"/>
  <c r="C84" i="47" s="1"/>
  <c r="S84" i="47"/>
  <c r="T84" i="47"/>
  <c r="U84" i="47"/>
  <c r="V84" i="47"/>
  <c r="W84" i="47"/>
  <c r="X84" i="47"/>
  <c r="Y84" i="47"/>
  <c r="Z84" i="47"/>
  <c r="AA84" i="47"/>
  <c r="AB84" i="47"/>
  <c r="P85" i="47"/>
  <c r="B85" i="47" s="1"/>
  <c r="R85" i="47"/>
  <c r="C85" i="47" s="1"/>
  <c r="Q85" i="47"/>
  <c r="S85" i="47"/>
  <c r="T85" i="47"/>
  <c r="U85" i="47"/>
  <c r="V85" i="47"/>
  <c r="W85" i="47"/>
  <c r="X85" i="47"/>
  <c r="Y85" i="47"/>
  <c r="Z85" i="47"/>
  <c r="AA85" i="47"/>
  <c r="AB85" i="47"/>
  <c r="P86" i="47"/>
  <c r="B86" i="47" s="1"/>
  <c r="R86" i="47"/>
  <c r="C86" i="47" s="1"/>
  <c r="Q86" i="47"/>
  <c r="S86" i="47"/>
  <c r="T86" i="47"/>
  <c r="U86" i="47"/>
  <c r="V86" i="47"/>
  <c r="W86" i="47"/>
  <c r="X86" i="47"/>
  <c r="Y86" i="47"/>
  <c r="Z86" i="47"/>
  <c r="AA86" i="47"/>
  <c r="AB86" i="47"/>
  <c r="P87" i="47"/>
  <c r="B87" i="47" s="1"/>
  <c r="R87" i="47"/>
  <c r="C87" i="47" s="1"/>
  <c r="Q87" i="47"/>
  <c r="S87" i="47"/>
  <c r="T87" i="47"/>
  <c r="U87" i="47"/>
  <c r="V87" i="47"/>
  <c r="W87" i="47"/>
  <c r="X87" i="47"/>
  <c r="Y87" i="47"/>
  <c r="Z87" i="47"/>
  <c r="AA87" i="47"/>
  <c r="AB87" i="47"/>
  <c r="P88" i="47"/>
  <c r="B88" i="47" s="1"/>
  <c r="R88" i="47"/>
  <c r="C88" i="47" s="1"/>
  <c r="Q88" i="47"/>
  <c r="S88" i="47"/>
  <c r="T88" i="47"/>
  <c r="U88" i="47"/>
  <c r="V88" i="47"/>
  <c r="W88" i="47"/>
  <c r="X88" i="47"/>
  <c r="Y88" i="47"/>
  <c r="Z88" i="47"/>
  <c r="AA88" i="47"/>
  <c r="AB88" i="47"/>
  <c r="P89" i="47"/>
  <c r="B89" i="47" s="1"/>
  <c r="R89" i="47"/>
  <c r="C89" i="47" s="1"/>
  <c r="Q89" i="47"/>
  <c r="S89" i="47"/>
  <c r="T89" i="47"/>
  <c r="U89" i="47"/>
  <c r="V89" i="47"/>
  <c r="W89" i="47"/>
  <c r="X89" i="47"/>
  <c r="Y89" i="47"/>
  <c r="Z89" i="47"/>
  <c r="AA89" i="47"/>
  <c r="AB89" i="47"/>
  <c r="P90" i="47"/>
  <c r="B90" i="47" s="1"/>
  <c r="R90" i="47"/>
  <c r="C90" i="47" s="1"/>
  <c r="Q90" i="47"/>
  <c r="S90" i="47"/>
  <c r="T90" i="47"/>
  <c r="U90" i="47"/>
  <c r="V90" i="47"/>
  <c r="W90" i="47"/>
  <c r="X90" i="47"/>
  <c r="Y90" i="47"/>
  <c r="Z90" i="47"/>
  <c r="AA90" i="47"/>
  <c r="AB90" i="47"/>
  <c r="P91" i="47"/>
  <c r="B91" i="47" s="1"/>
  <c r="R91" i="47"/>
  <c r="C91" i="47" s="1"/>
  <c r="Q91" i="47"/>
  <c r="S91" i="47"/>
  <c r="T91" i="47"/>
  <c r="U91" i="47"/>
  <c r="V91" i="47"/>
  <c r="W91" i="47"/>
  <c r="X91" i="47"/>
  <c r="Y91" i="47"/>
  <c r="Z91" i="47"/>
  <c r="AA91" i="47"/>
  <c r="AB91" i="47"/>
  <c r="P92" i="47"/>
  <c r="B92" i="47" s="1"/>
  <c r="R92" i="47"/>
  <c r="C92" i="47" s="1"/>
  <c r="Q92" i="47"/>
  <c r="S92" i="47"/>
  <c r="T92" i="47"/>
  <c r="U92" i="47"/>
  <c r="V92" i="47"/>
  <c r="W92" i="47"/>
  <c r="X92" i="47"/>
  <c r="Y92" i="47"/>
  <c r="Z92" i="47"/>
  <c r="AA92" i="47"/>
  <c r="AB92" i="47"/>
  <c r="P93" i="47"/>
  <c r="B93" i="47" s="1"/>
  <c r="R93" i="47"/>
  <c r="C93" i="47" s="1"/>
  <c r="Q93" i="47"/>
  <c r="S93" i="47"/>
  <c r="T93" i="47"/>
  <c r="U93" i="47"/>
  <c r="V93" i="47"/>
  <c r="W93" i="47"/>
  <c r="X93" i="47"/>
  <c r="Y93" i="47"/>
  <c r="Z93" i="47"/>
  <c r="AA93" i="47"/>
  <c r="AB93" i="47"/>
  <c r="P94" i="47"/>
  <c r="B94" i="47" s="1"/>
  <c r="R94" i="47"/>
  <c r="C94" i="47" s="1"/>
  <c r="Q94" i="47"/>
  <c r="S94" i="47"/>
  <c r="T94" i="47"/>
  <c r="U94" i="47"/>
  <c r="V94" i="47"/>
  <c r="W94" i="47"/>
  <c r="X94" i="47"/>
  <c r="Y94" i="47"/>
  <c r="Z94" i="47"/>
  <c r="AA94" i="47"/>
  <c r="AB94" i="47"/>
  <c r="P95" i="47"/>
  <c r="B95" i="47" s="1"/>
  <c r="R95" i="47"/>
  <c r="C95" i="47" s="1"/>
  <c r="Q95" i="47"/>
  <c r="S95" i="47"/>
  <c r="T95" i="47"/>
  <c r="U95" i="47"/>
  <c r="V95" i="47"/>
  <c r="W95" i="47"/>
  <c r="X95" i="47"/>
  <c r="Y95" i="47"/>
  <c r="Z95" i="47"/>
  <c r="AA95" i="47"/>
  <c r="AB95" i="47"/>
  <c r="P96" i="47"/>
  <c r="B96" i="47" s="1"/>
  <c r="R96" i="47"/>
  <c r="C96" i="47" s="1"/>
  <c r="Q96" i="47"/>
  <c r="S96" i="47"/>
  <c r="T96" i="47"/>
  <c r="U96" i="47"/>
  <c r="V96" i="47"/>
  <c r="W96" i="47"/>
  <c r="X96" i="47"/>
  <c r="Y96" i="47"/>
  <c r="Z96" i="47"/>
  <c r="AA96" i="47"/>
  <c r="AB96" i="47"/>
  <c r="AC96" i="47"/>
  <c r="AD96" i="47"/>
  <c r="AE96" i="47"/>
  <c r="P97" i="47"/>
  <c r="B97" i="47" s="1"/>
  <c r="R97" i="47"/>
  <c r="C97" i="47"/>
  <c r="Q97" i="47"/>
  <c r="S97" i="47"/>
  <c r="T97" i="47"/>
  <c r="U97" i="47"/>
  <c r="V97" i="47"/>
  <c r="W97" i="47"/>
  <c r="X97" i="47"/>
  <c r="Y97" i="47"/>
  <c r="Z97" i="47"/>
  <c r="AA97" i="47"/>
  <c r="AB97" i="47"/>
  <c r="P98" i="47"/>
  <c r="B98" i="47" s="1"/>
  <c r="R98" i="47"/>
  <c r="C98" i="47" s="1"/>
  <c r="Q98" i="47"/>
  <c r="S98" i="47"/>
  <c r="T98" i="47"/>
  <c r="U98" i="47"/>
  <c r="V98" i="47"/>
  <c r="W98" i="47"/>
  <c r="X98" i="47"/>
  <c r="Y98" i="47"/>
  <c r="Z98" i="47"/>
  <c r="AA98" i="47"/>
  <c r="AB98" i="47"/>
  <c r="P99" i="47"/>
  <c r="B99" i="47" s="1"/>
  <c r="R99" i="47"/>
  <c r="C99" i="47"/>
  <c r="Q99" i="47"/>
  <c r="S99" i="47"/>
  <c r="T99" i="47"/>
  <c r="U99" i="47"/>
  <c r="V99" i="47"/>
  <c r="W99" i="47"/>
  <c r="X99" i="47"/>
  <c r="Y99" i="47"/>
  <c r="Z99" i="47"/>
  <c r="AA99" i="47"/>
  <c r="AB99" i="47"/>
  <c r="P100" i="47"/>
  <c r="B100" i="47" s="1"/>
  <c r="R100" i="47"/>
  <c r="C100" i="47" s="1"/>
  <c r="Q100" i="47"/>
  <c r="S100" i="47"/>
  <c r="T100" i="47"/>
  <c r="U100" i="47"/>
  <c r="V100" i="47"/>
  <c r="W100" i="47"/>
  <c r="X100" i="47"/>
  <c r="Y100" i="47"/>
  <c r="Z100" i="47"/>
  <c r="AA100" i="47"/>
  <c r="AB100" i="47"/>
  <c r="P101" i="47"/>
  <c r="B101" i="47" s="1"/>
  <c r="R101" i="47"/>
  <c r="C101" i="47" s="1"/>
  <c r="Q101" i="47"/>
  <c r="S101" i="47"/>
  <c r="T101" i="47"/>
  <c r="U101" i="47"/>
  <c r="V101" i="47"/>
  <c r="W101" i="47"/>
  <c r="X101" i="47"/>
  <c r="Y101" i="47"/>
  <c r="Z101" i="47"/>
  <c r="AA101" i="47"/>
  <c r="AB101" i="47"/>
  <c r="P102" i="47"/>
  <c r="B102" i="47" s="1"/>
  <c r="R102" i="47"/>
  <c r="C102" i="47" s="1"/>
  <c r="Q102" i="47"/>
  <c r="S102" i="47"/>
  <c r="T102" i="47"/>
  <c r="U102" i="47"/>
  <c r="V102" i="47"/>
  <c r="W102" i="47"/>
  <c r="X102" i="47"/>
  <c r="Y102" i="47"/>
  <c r="Z102" i="47"/>
  <c r="AA102" i="47"/>
  <c r="AB102" i="47"/>
  <c r="P103" i="47"/>
  <c r="B103" i="47" s="1"/>
  <c r="R103" i="47"/>
  <c r="C103" i="47" s="1"/>
  <c r="Q103" i="47"/>
  <c r="S103" i="47"/>
  <c r="T103" i="47"/>
  <c r="U103" i="47"/>
  <c r="V103" i="47"/>
  <c r="W103" i="47"/>
  <c r="X103" i="47"/>
  <c r="Y103" i="47"/>
  <c r="Z103" i="47"/>
  <c r="AA103" i="47"/>
  <c r="AB103" i="47"/>
  <c r="P104" i="47"/>
  <c r="B104" i="47" s="1"/>
  <c r="R104" i="47"/>
  <c r="C104" i="47" s="1"/>
  <c r="Q104" i="47"/>
  <c r="S104" i="47"/>
  <c r="T104" i="47"/>
  <c r="U104" i="47"/>
  <c r="V104" i="47"/>
  <c r="W104" i="47"/>
  <c r="X104" i="47"/>
  <c r="Y104" i="47"/>
  <c r="Z104" i="47"/>
  <c r="AA104" i="47"/>
  <c r="AB104" i="47"/>
  <c r="P105" i="47"/>
  <c r="B105" i="47" s="1"/>
  <c r="R105" i="47"/>
  <c r="C105" i="47" s="1"/>
  <c r="Q105" i="47"/>
  <c r="S105" i="47"/>
  <c r="T105" i="47"/>
  <c r="U105" i="47"/>
  <c r="V105" i="47"/>
  <c r="W105" i="47"/>
  <c r="X105" i="47"/>
  <c r="Y105" i="47"/>
  <c r="Z105" i="47"/>
  <c r="AA105" i="47"/>
  <c r="AB105" i="47"/>
  <c r="P106" i="47"/>
  <c r="B106" i="47" s="1"/>
  <c r="R106" i="47"/>
  <c r="C106" i="47" s="1"/>
  <c r="Q106" i="47"/>
  <c r="S106" i="47"/>
  <c r="T106" i="47"/>
  <c r="U106" i="47"/>
  <c r="V106" i="47"/>
  <c r="W106" i="47"/>
  <c r="X106" i="47"/>
  <c r="Y106" i="47"/>
  <c r="Z106" i="47"/>
  <c r="AA106" i="47"/>
  <c r="AB106" i="47"/>
  <c r="P107" i="47"/>
  <c r="B107" i="47" s="1"/>
  <c r="R107" i="47"/>
  <c r="C107" i="47"/>
  <c r="Q107" i="47"/>
  <c r="S107" i="47"/>
  <c r="T107" i="47"/>
  <c r="U107" i="47"/>
  <c r="V107" i="47"/>
  <c r="W107" i="47"/>
  <c r="X107" i="47"/>
  <c r="Y107" i="47"/>
  <c r="Z107" i="47"/>
  <c r="AA107" i="47"/>
  <c r="AB107" i="47"/>
  <c r="P108" i="47"/>
  <c r="B108" i="47" s="1"/>
  <c r="R108" i="47"/>
  <c r="C108" i="47" s="1"/>
  <c r="Q108" i="47"/>
  <c r="S108" i="47"/>
  <c r="T108" i="47"/>
  <c r="U108" i="47"/>
  <c r="V108" i="47"/>
  <c r="W108" i="47"/>
  <c r="X108" i="47"/>
  <c r="Y108" i="47"/>
  <c r="Z108" i="47"/>
  <c r="AA108" i="47"/>
  <c r="AB108" i="47"/>
  <c r="P109" i="47"/>
  <c r="B109" i="47" s="1"/>
  <c r="R109" i="47"/>
  <c r="C109" i="47" s="1"/>
  <c r="Q109" i="47"/>
  <c r="S109" i="47"/>
  <c r="T109" i="47"/>
  <c r="U109" i="47"/>
  <c r="V109" i="47"/>
  <c r="W109" i="47"/>
  <c r="X109" i="47"/>
  <c r="Y109" i="47"/>
  <c r="Z109" i="47"/>
  <c r="AA109" i="47"/>
  <c r="AB109" i="47"/>
  <c r="P110" i="47"/>
  <c r="B110" i="47" s="1"/>
  <c r="R110" i="47"/>
  <c r="C110" i="47" s="1"/>
  <c r="Q110" i="47"/>
  <c r="S110" i="47"/>
  <c r="T110" i="47"/>
  <c r="U110" i="47"/>
  <c r="V110" i="47"/>
  <c r="W110" i="47"/>
  <c r="X110" i="47"/>
  <c r="Y110" i="47"/>
  <c r="Z110" i="47"/>
  <c r="AA110" i="47"/>
  <c r="AB110" i="47"/>
  <c r="P111" i="47"/>
  <c r="B111" i="47" s="1"/>
  <c r="R111" i="47"/>
  <c r="C111" i="47" s="1"/>
  <c r="Q111" i="47"/>
  <c r="S111" i="47"/>
  <c r="T111" i="47"/>
  <c r="U111" i="47"/>
  <c r="V111" i="47"/>
  <c r="W111" i="47"/>
  <c r="X111" i="47"/>
  <c r="Y111" i="47"/>
  <c r="Z111" i="47"/>
  <c r="AA111" i="47"/>
  <c r="AB111" i="47"/>
  <c r="P112" i="47"/>
  <c r="B112" i="47" s="1"/>
  <c r="R112" i="47"/>
  <c r="C112" i="47" s="1"/>
  <c r="Q112" i="47"/>
  <c r="S112" i="47"/>
  <c r="T112" i="47"/>
  <c r="U112" i="47"/>
  <c r="V112" i="47"/>
  <c r="W112" i="47"/>
  <c r="X112" i="47"/>
  <c r="Y112" i="47"/>
  <c r="Z112" i="47"/>
  <c r="AA112" i="47"/>
  <c r="AB112" i="47"/>
  <c r="P113" i="47"/>
  <c r="B113" i="47" s="1"/>
  <c r="R113" i="47"/>
  <c r="C113" i="47"/>
  <c r="Q113" i="47"/>
  <c r="S113" i="47"/>
  <c r="T113" i="47"/>
  <c r="U113" i="47"/>
  <c r="V113" i="47"/>
  <c r="W113" i="47"/>
  <c r="X113" i="47"/>
  <c r="Y113" i="47"/>
  <c r="Z113" i="47"/>
  <c r="AA113" i="47"/>
  <c r="AB113" i="47"/>
  <c r="P114" i="47"/>
  <c r="B114" i="47" s="1"/>
  <c r="R114" i="47"/>
  <c r="C114" i="47" s="1"/>
  <c r="Q114" i="47"/>
  <c r="S114" i="47"/>
  <c r="T114" i="47"/>
  <c r="U114" i="47"/>
  <c r="V114" i="47"/>
  <c r="W114" i="47"/>
  <c r="X114" i="47"/>
  <c r="Y114" i="47"/>
  <c r="Z114" i="47"/>
  <c r="AA114" i="47"/>
  <c r="AB114" i="47"/>
  <c r="P115" i="47"/>
  <c r="B115" i="47" s="1"/>
  <c r="R115" i="47"/>
  <c r="C115" i="47"/>
  <c r="Q115" i="47"/>
  <c r="S115" i="47"/>
  <c r="T115" i="47"/>
  <c r="U115" i="47"/>
  <c r="V115" i="47"/>
  <c r="W115" i="47"/>
  <c r="X115" i="47"/>
  <c r="Y115" i="47"/>
  <c r="Z115" i="47"/>
  <c r="AA115" i="47"/>
  <c r="AB115" i="47"/>
  <c r="AC115" i="47"/>
  <c r="AD115" i="47"/>
  <c r="AE115" i="47"/>
  <c r="P116" i="47"/>
  <c r="B116" i="47" s="1"/>
  <c r="R116" i="47"/>
  <c r="C116" i="47" s="1"/>
  <c r="Q116" i="47"/>
  <c r="S116" i="47"/>
  <c r="T116" i="47"/>
  <c r="U116" i="47"/>
  <c r="V116" i="47"/>
  <c r="W116" i="47"/>
  <c r="X116" i="47"/>
  <c r="Y116" i="47"/>
  <c r="Z116" i="47"/>
  <c r="AA116" i="47"/>
  <c r="AB116" i="47"/>
  <c r="P117" i="47"/>
  <c r="B117" i="47" s="1"/>
  <c r="R117" i="47"/>
  <c r="C117" i="47" s="1"/>
  <c r="Q117" i="47"/>
  <c r="S117" i="47"/>
  <c r="T117" i="47"/>
  <c r="U117" i="47"/>
  <c r="V117" i="47"/>
  <c r="W117" i="47"/>
  <c r="X117" i="47"/>
  <c r="Y117" i="47"/>
  <c r="Z117" i="47"/>
  <c r="AA117" i="47"/>
  <c r="AB117" i="47"/>
  <c r="P118" i="47"/>
  <c r="B118" i="47" s="1"/>
  <c r="R118" i="47"/>
  <c r="C118" i="47" s="1"/>
  <c r="Q118" i="47"/>
  <c r="S118" i="47"/>
  <c r="T118" i="47"/>
  <c r="U118" i="47"/>
  <c r="V118" i="47"/>
  <c r="W118" i="47"/>
  <c r="X118" i="47"/>
  <c r="Y118" i="47"/>
  <c r="Z118" i="47"/>
  <c r="AA118" i="47"/>
  <c r="AB118" i="47"/>
  <c r="P119" i="47"/>
  <c r="B119" i="47" s="1"/>
  <c r="R119" i="47"/>
  <c r="C119" i="47" s="1"/>
  <c r="Q119" i="47"/>
  <c r="S119" i="47"/>
  <c r="T119" i="47"/>
  <c r="U119" i="47"/>
  <c r="V119" i="47"/>
  <c r="W119" i="47"/>
  <c r="X119" i="47"/>
  <c r="Y119" i="47"/>
  <c r="Z119" i="47"/>
  <c r="AA119" i="47"/>
  <c r="AB119" i="47"/>
  <c r="P120" i="47"/>
  <c r="B120" i="47" s="1"/>
  <c r="R120" i="47"/>
  <c r="C120" i="47" s="1"/>
  <c r="Q120" i="47"/>
  <c r="S120" i="47"/>
  <c r="T120" i="47"/>
  <c r="U120" i="47"/>
  <c r="V120" i="47"/>
  <c r="W120" i="47"/>
  <c r="X120" i="47"/>
  <c r="Y120" i="47"/>
  <c r="Z120" i="47"/>
  <c r="AA120" i="47"/>
  <c r="P121" i="47"/>
  <c r="B121" i="47" s="1"/>
  <c r="R121" i="47"/>
  <c r="C121" i="47" s="1"/>
  <c r="Q121" i="47"/>
  <c r="S121" i="47"/>
  <c r="T121" i="47"/>
  <c r="U121" i="47"/>
  <c r="V121" i="47"/>
  <c r="W121" i="47"/>
  <c r="X121" i="47"/>
  <c r="Y121" i="47"/>
  <c r="Z121" i="47"/>
  <c r="AA121" i="47"/>
  <c r="P122" i="47"/>
  <c r="B122" i="47" s="1"/>
  <c r="R122" i="47"/>
  <c r="C122" i="47" s="1"/>
  <c r="Q122" i="47"/>
  <c r="S122" i="47"/>
  <c r="T122" i="47"/>
  <c r="U122" i="47"/>
  <c r="V122" i="47"/>
  <c r="W122" i="47"/>
  <c r="X122" i="47"/>
  <c r="Y122" i="47"/>
  <c r="Z122" i="47"/>
  <c r="AA122" i="47"/>
  <c r="AB122" i="47"/>
  <c r="P123" i="47"/>
  <c r="B123" i="47" s="1"/>
  <c r="R123" i="47"/>
  <c r="C123" i="47" s="1"/>
  <c r="Q123" i="47"/>
  <c r="S123" i="47"/>
  <c r="T123" i="47"/>
  <c r="U123" i="47"/>
  <c r="V123" i="47"/>
  <c r="W123" i="47"/>
  <c r="X123" i="47"/>
  <c r="Y123" i="47"/>
  <c r="Z123" i="47"/>
  <c r="AA123" i="47"/>
  <c r="P124" i="47"/>
  <c r="B124" i="47" s="1"/>
  <c r="R124" i="47"/>
  <c r="C124" i="47" s="1"/>
  <c r="Q124" i="47"/>
  <c r="S124" i="47"/>
  <c r="T124" i="47"/>
  <c r="U124" i="47"/>
  <c r="V124" i="47"/>
  <c r="W124" i="47"/>
  <c r="X124" i="47"/>
  <c r="Y124" i="47"/>
  <c r="Z124" i="47"/>
  <c r="AA124" i="47"/>
  <c r="AB124" i="47"/>
  <c r="P125" i="47"/>
  <c r="B125" i="47" s="1"/>
  <c r="R125" i="47"/>
  <c r="C125" i="47" s="1"/>
  <c r="Q125" i="47"/>
  <c r="S125" i="47"/>
  <c r="T125" i="47"/>
  <c r="U125" i="47"/>
  <c r="V125" i="47"/>
  <c r="W125" i="47"/>
  <c r="X125" i="47"/>
  <c r="Y125" i="47"/>
  <c r="Z125" i="47"/>
  <c r="AA125" i="47"/>
  <c r="AB125" i="47"/>
  <c r="P126" i="47"/>
  <c r="B126" i="47" s="1"/>
  <c r="R126" i="47"/>
  <c r="C126" i="47" s="1"/>
  <c r="Q126" i="47"/>
  <c r="S126" i="47"/>
  <c r="T126" i="47"/>
  <c r="U126" i="47"/>
  <c r="V126" i="47"/>
  <c r="W126" i="47"/>
  <c r="X126" i="47"/>
  <c r="Y126" i="47"/>
  <c r="Z126" i="47"/>
  <c r="AA126" i="47"/>
  <c r="AB126" i="47"/>
  <c r="P127" i="47"/>
  <c r="B127" i="47" s="1"/>
  <c r="R127" i="47"/>
  <c r="C127" i="47" s="1"/>
  <c r="Q127" i="47"/>
  <c r="CE127" i="47"/>
  <c r="P128" i="47"/>
  <c r="B128" i="47" s="1"/>
  <c r="R128" i="47"/>
  <c r="C128" i="47" s="1"/>
  <c r="Q128" i="47"/>
  <c r="CE128" i="47"/>
  <c r="P129" i="47"/>
  <c r="B129" i="47" s="1"/>
  <c r="R129" i="47"/>
  <c r="C129" i="47" s="1"/>
  <c r="Q129" i="47"/>
  <c r="CE129" i="47"/>
  <c r="P130" i="47"/>
  <c r="B130" i="47" s="1"/>
  <c r="R130" i="47"/>
  <c r="C130" i="47" s="1"/>
  <c r="Q130" i="47"/>
  <c r="CE130" i="47"/>
  <c r="P131" i="47"/>
  <c r="B131" i="47" s="1"/>
  <c r="R131" i="47"/>
  <c r="C131" i="47" s="1"/>
  <c r="Q131" i="47"/>
  <c r="CE131" i="47"/>
  <c r="P132" i="47"/>
  <c r="B132" i="47" s="1"/>
  <c r="R132" i="47"/>
  <c r="C132" i="47" s="1"/>
  <c r="Q132" i="47"/>
  <c r="S132" i="47"/>
  <c r="T132" i="47"/>
  <c r="U132" i="47"/>
  <c r="V132" i="47"/>
  <c r="W132" i="47"/>
  <c r="X132" i="47"/>
  <c r="Y132" i="47"/>
  <c r="Z132" i="47"/>
  <c r="AA132" i="47"/>
  <c r="AB132" i="47"/>
  <c r="CE132" i="47"/>
  <c r="P133" i="47"/>
  <c r="B133" i="47" s="1"/>
  <c r="R133" i="47"/>
  <c r="C133" i="47" s="1"/>
  <c r="Q133" i="47"/>
  <c r="S133" i="47"/>
  <c r="T133" i="47"/>
  <c r="U133" i="47"/>
  <c r="V133" i="47"/>
  <c r="W133" i="47"/>
  <c r="X133" i="47"/>
  <c r="Y133" i="47"/>
  <c r="Z133" i="47"/>
  <c r="AA133" i="47"/>
  <c r="AB133" i="47"/>
  <c r="CE133" i="47"/>
  <c r="P134" i="47"/>
  <c r="B134" i="47" s="1"/>
  <c r="R134" i="47"/>
  <c r="C134" i="47" s="1"/>
  <c r="Q134" i="47"/>
  <c r="S134" i="47"/>
  <c r="T134" i="47"/>
  <c r="U134" i="47"/>
  <c r="V134" i="47"/>
  <c r="W134" i="47"/>
  <c r="X134" i="47"/>
  <c r="Y134" i="47"/>
  <c r="Z134" i="47"/>
  <c r="AA134" i="47"/>
  <c r="AB134" i="47"/>
  <c r="CE134" i="47"/>
  <c r="P140" i="47"/>
  <c r="B140" i="47"/>
  <c r="R140" i="47"/>
  <c r="C140" i="47" s="1"/>
  <c r="Q140" i="47"/>
  <c r="S140" i="47"/>
  <c r="T140" i="47"/>
  <c r="U140" i="47"/>
  <c r="V140" i="47"/>
  <c r="W140" i="47"/>
  <c r="X140" i="47"/>
  <c r="Y140" i="47"/>
  <c r="Z140" i="47"/>
  <c r="AA140" i="47"/>
  <c r="AB140" i="47"/>
  <c r="P141" i="47"/>
  <c r="B141" i="47" s="1"/>
  <c r="R141" i="47"/>
  <c r="C141" i="47" s="1"/>
  <c r="Q141" i="47"/>
  <c r="S141" i="47"/>
  <c r="T141" i="47"/>
  <c r="U141" i="47"/>
  <c r="V141" i="47"/>
  <c r="W141" i="47"/>
  <c r="X141" i="47"/>
  <c r="Y141" i="47"/>
  <c r="Z141" i="47"/>
  <c r="AA141" i="47"/>
  <c r="AB141" i="47"/>
  <c r="P142" i="47"/>
  <c r="B142" i="47"/>
  <c r="R142" i="47"/>
  <c r="C142" i="47" s="1"/>
  <c r="Q142" i="47"/>
  <c r="S142" i="47"/>
  <c r="T142" i="47"/>
  <c r="U142" i="47"/>
  <c r="V142" i="47"/>
  <c r="W142" i="47"/>
  <c r="X142" i="47"/>
  <c r="Y142" i="47"/>
  <c r="Z142" i="47"/>
  <c r="AA142" i="47"/>
  <c r="AB142" i="47"/>
  <c r="P143" i="47"/>
  <c r="B143" i="47" s="1"/>
  <c r="R143" i="47"/>
  <c r="C143" i="47" s="1"/>
  <c r="Q143" i="47"/>
  <c r="S143" i="47"/>
  <c r="T143" i="47"/>
  <c r="U143" i="47"/>
  <c r="V143" i="47"/>
  <c r="W143" i="47"/>
  <c r="X143" i="47"/>
  <c r="Y143" i="47"/>
  <c r="Z143" i="47"/>
  <c r="AA143" i="47"/>
  <c r="AB143" i="47"/>
  <c r="P144" i="47"/>
  <c r="B144" i="47"/>
  <c r="R144" i="47"/>
  <c r="C144" i="47" s="1"/>
  <c r="Q144" i="47"/>
  <c r="S144" i="47"/>
  <c r="T144" i="47"/>
  <c r="U144" i="47"/>
  <c r="V144" i="47"/>
  <c r="W144" i="47"/>
  <c r="X144" i="47"/>
  <c r="Y144" i="47"/>
  <c r="Z144" i="47"/>
  <c r="AA144" i="47"/>
  <c r="AB144" i="47"/>
  <c r="P145" i="47"/>
  <c r="B145" i="47" s="1"/>
  <c r="R145" i="47"/>
  <c r="C145" i="47" s="1"/>
  <c r="Q145" i="47"/>
  <c r="S145" i="47"/>
  <c r="T145" i="47"/>
  <c r="U145" i="47"/>
  <c r="V145" i="47"/>
  <c r="W145" i="47"/>
  <c r="X145" i="47"/>
  <c r="Y145" i="47"/>
  <c r="Z145" i="47"/>
  <c r="AA145" i="47"/>
  <c r="AB145" i="47"/>
  <c r="P146" i="47"/>
  <c r="B146" i="47" s="1"/>
  <c r="R146" i="47"/>
  <c r="C146" i="47" s="1"/>
  <c r="Q146" i="47"/>
  <c r="S146" i="47"/>
  <c r="T146" i="47"/>
  <c r="U146" i="47"/>
  <c r="V146" i="47"/>
  <c r="W146" i="47"/>
  <c r="X146" i="47"/>
  <c r="Y146" i="47"/>
  <c r="Z146" i="47"/>
  <c r="AA146" i="47"/>
  <c r="AB146" i="47"/>
  <c r="P147" i="47"/>
  <c r="B147" i="47" s="1"/>
  <c r="R147" i="47"/>
  <c r="C147" i="47" s="1"/>
  <c r="Q147" i="47"/>
  <c r="S147" i="47"/>
  <c r="T147" i="47"/>
  <c r="U147" i="47"/>
  <c r="V147" i="47"/>
  <c r="W147" i="47"/>
  <c r="X147" i="47"/>
  <c r="Y147" i="47"/>
  <c r="Z147" i="47"/>
  <c r="AA147" i="47"/>
  <c r="AB147" i="47"/>
  <c r="P148" i="47"/>
  <c r="B148" i="47"/>
  <c r="R148" i="47"/>
  <c r="C148" i="47" s="1"/>
  <c r="Q148" i="47"/>
  <c r="S148" i="47"/>
  <c r="T148" i="47"/>
  <c r="U148" i="47"/>
  <c r="V148" i="47"/>
  <c r="W148" i="47"/>
  <c r="X148" i="47"/>
  <c r="Y148" i="47"/>
  <c r="Z148" i="47"/>
  <c r="AA148" i="47"/>
  <c r="AB148" i="47"/>
  <c r="P149" i="47"/>
  <c r="B149" i="47" s="1"/>
  <c r="R149" i="47"/>
  <c r="C149" i="47" s="1"/>
  <c r="Q149" i="47"/>
  <c r="S149" i="47"/>
  <c r="T149" i="47"/>
  <c r="U149" i="47"/>
  <c r="V149" i="47"/>
  <c r="W149" i="47"/>
  <c r="X149" i="47"/>
  <c r="Y149" i="47"/>
  <c r="Z149" i="47"/>
  <c r="AA149" i="47"/>
  <c r="AB149" i="47"/>
  <c r="P150" i="47"/>
  <c r="B150" i="47"/>
  <c r="R150" i="47"/>
  <c r="C150" i="47" s="1"/>
  <c r="Q150" i="47"/>
  <c r="S150" i="47"/>
  <c r="T150" i="47"/>
  <c r="U150" i="47"/>
  <c r="V150" i="47"/>
  <c r="W150" i="47"/>
  <c r="X150" i="47"/>
  <c r="Y150" i="47"/>
  <c r="Z150" i="47"/>
  <c r="AA150" i="47"/>
  <c r="AB150" i="47"/>
  <c r="P151" i="47"/>
  <c r="B151" i="47" s="1"/>
  <c r="R151" i="47"/>
  <c r="C151" i="47" s="1"/>
  <c r="Q151" i="47"/>
  <c r="S151" i="47"/>
  <c r="T151" i="47"/>
  <c r="U151" i="47"/>
  <c r="V151" i="47"/>
  <c r="W151" i="47"/>
  <c r="X151" i="47"/>
  <c r="Y151" i="47"/>
  <c r="Z151" i="47"/>
  <c r="AA151" i="47"/>
  <c r="AB151" i="47"/>
  <c r="P152" i="47"/>
  <c r="B152" i="47" s="1"/>
  <c r="R152" i="47"/>
  <c r="C152" i="47" s="1"/>
  <c r="Q152" i="47"/>
  <c r="S152" i="47"/>
  <c r="T152" i="47"/>
  <c r="U152" i="47"/>
  <c r="V152" i="47"/>
  <c r="W152" i="47"/>
  <c r="X152" i="47"/>
  <c r="Y152" i="47"/>
  <c r="Z152" i="47"/>
  <c r="AA152" i="47"/>
  <c r="AB152" i="47"/>
  <c r="P153" i="47"/>
  <c r="B153" i="47" s="1"/>
  <c r="R153" i="47"/>
  <c r="C153" i="47" s="1"/>
  <c r="Q153" i="47"/>
  <c r="S153" i="47"/>
  <c r="T153" i="47"/>
  <c r="U153" i="47"/>
  <c r="V153" i="47"/>
  <c r="W153" i="47"/>
  <c r="X153" i="47"/>
  <c r="Y153" i="47"/>
  <c r="Z153" i="47"/>
  <c r="AA153" i="47"/>
  <c r="AB153" i="47"/>
  <c r="P154" i="47"/>
  <c r="B154" i="47" s="1"/>
  <c r="R154" i="47"/>
  <c r="C154" i="47" s="1"/>
  <c r="Q154" i="47"/>
  <c r="S154" i="47"/>
  <c r="T154" i="47"/>
  <c r="U154" i="47"/>
  <c r="V154" i="47"/>
  <c r="W154" i="47"/>
  <c r="X154" i="47"/>
  <c r="Y154" i="47"/>
  <c r="Z154" i="47"/>
  <c r="AA154" i="47"/>
  <c r="AB154" i="47"/>
  <c r="P155" i="47"/>
  <c r="B155" i="47" s="1"/>
  <c r="R155" i="47"/>
  <c r="C155" i="47" s="1"/>
  <c r="Q155" i="47"/>
  <c r="S155" i="47"/>
  <c r="T155" i="47"/>
  <c r="U155" i="47"/>
  <c r="V155" i="47"/>
  <c r="W155" i="47"/>
  <c r="X155" i="47"/>
  <c r="Y155" i="47"/>
  <c r="Z155" i="47"/>
  <c r="AA155" i="47"/>
  <c r="AB155" i="47"/>
  <c r="P156" i="47"/>
  <c r="B156" i="47"/>
  <c r="R156" i="47"/>
  <c r="C156" i="47" s="1"/>
  <c r="Q156" i="47"/>
  <c r="S156" i="47"/>
  <c r="T156" i="47"/>
  <c r="U156" i="47"/>
  <c r="V156" i="47"/>
  <c r="W156" i="47"/>
  <c r="X156" i="47"/>
  <c r="Y156" i="47"/>
  <c r="Z156" i="47"/>
  <c r="AA156" i="47"/>
  <c r="AB156" i="47"/>
  <c r="P157" i="47"/>
  <c r="B157" i="47" s="1"/>
  <c r="R157" i="47"/>
  <c r="C157" i="47" s="1"/>
  <c r="Q157" i="47"/>
  <c r="S157" i="47"/>
  <c r="T157" i="47"/>
  <c r="U157" i="47"/>
  <c r="V157" i="47"/>
  <c r="W157" i="47"/>
  <c r="X157" i="47"/>
  <c r="Y157" i="47"/>
  <c r="Z157" i="47"/>
  <c r="AA157" i="47"/>
  <c r="AB157" i="47"/>
  <c r="P158" i="47"/>
  <c r="B158" i="47" s="1"/>
  <c r="R158" i="47"/>
  <c r="C158" i="47" s="1"/>
  <c r="Q158" i="47"/>
  <c r="S158" i="47"/>
  <c r="T158" i="47"/>
  <c r="U158" i="47"/>
  <c r="V158" i="47"/>
  <c r="W158" i="47"/>
  <c r="X158" i="47"/>
  <c r="Y158" i="47"/>
  <c r="Z158" i="47"/>
  <c r="AA158" i="47"/>
  <c r="AB158" i="47"/>
  <c r="P159" i="47"/>
  <c r="B159" i="47" s="1"/>
  <c r="R159" i="47"/>
  <c r="C159" i="47" s="1"/>
  <c r="Q159" i="47"/>
  <c r="S159" i="47"/>
  <c r="T159" i="47"/>
  <c r="U159" i="47"/>
  <c r="V159" i="47"/>
  <c r="W159" i="47"/>
  <c r="X159" i="47"/>
  <c r="Y159" i="47"/>
  <c r="Z159" i="47"/>
  <c r="AA159" i="47"/>
  <c r="AB159" i="47"/>
  <c r="P160" i="47"/>
  <c r="B160" i="47"/>
  <c r="R160" i="47"/>
  <c r="C160" i="47" s="1"/>
  <c r="Q160" i="47"/>
  <c r="S160" i="47"/>
  <c r="T160" i="47"/>
  <c r="U160" i="47"/>
  <c r="V160" i="47"/>
  <c r="W160" i="47"/>
  <c r="X160" i="47"/>
  <c r="Y160" i="47"/>
  <c r="Z160" i="47"/>
  <c r="AA160" i="47"/>
  <c r="AB160" i="47"/>
  <c r="P161" i="47"/>
  <c r="B161" i="47" s="1"/>
  <c r="R161" i="47"/>
  <c r="C161" i="47" s="1"/>
  <c r="Q161" i="47"/>
  <c r="S161" i="47"/>
  <c r="T161" i="47"/>
  <c r="U161" i="47"/>
  <c r="V161" i="47"/>
  <c r="W161" i="47"/>
  <c r="X161" i="47"/>
  <c r="Y161" i="47"/>
  <c r="Z161" i="47"/>
  <c r="AA161" i="47"/>
  <c r="AB161" i="47"/>
  <c r="P162" i="47"/>
  <c r="B162" i="47" s="1"/>
  <c r="R162" i="47"/>
  <c r="C162" i="47" s="1"/>
  <c r="Q162" i="47"/>
  <c r="S162" i="47"/>
  <c r="T162" i="47"/>
  <c r="U162" i="47"/>
  <c r="V162" i="47"/>
  <c r="W162" i="47"/>
  <c r="X162" i="47"/>
  <c r="Y162" i="47"/>
  <c r="Z162" i="47"/>
  <c r="AA162" i="47"/>
  <c r="AB162" i="47"/>
  <c r="P163" i="47"/>
  <c r="B163" i="47" s="1"/>
  <c r="R163" i="47"/>
  <c r="C163" i="47" s="1"/>
  <c r="Q163" i="47"/>
  <c r="S163" i="47"/>
  <c r="T163" i="47"/>
  <c r="U163" i="47"/>
  <c r="V163" i="47"/>
  <c r="W163" i="47"/>
  <c r="X163" i="47"/>
  <c r="Y163" i="47"/>
  <c r="Z163" i="47"/>
  <c r="AA163" i="47"/>
  <c r="AB163" i="47"/>
  <c r="P164" i="47"/>
  <c r="B164" i="47" s="1"/>
  <c r="R164" i="47"/>
  <c r="C164" i="47" s="1"/>
  <c r="Q164" i="47"/>
  <c r="S164" i="47"/>
  <c r="T164" i="47"/>
  <c r="U164" i="47"/>
  <c r="V164" i="47"/>
  <c r="W164" i="47"/>
  <c r="X164" i="47"/>
  <c r="Y164" i="47"/>
  <c r="Z164" i="47"/>
  <c r="AA164" i="47"/>
  <c r="AB164" i="47"/>
  <c r="P165" i="47"/>
  <c r="B165" i="47" s="1"/>
  <c r="R165" i="47"/>
  <c r="C165" i="47" s="1"/>
  <c r="Q165" i="47"/>
  <c r="S165" i="47"/>
  <c r="T165" i="47"/>
  <c r="U165" i="47"/>
  <c r="V165" i="47"/>
  <c r="W165" i="47"/>
  <c r="X165" i="47"/>
  <c r="Y165" i="47"/>
  <c r="Z165" i="47"/>
  <c r="AA165" i="47"/>
  <c r="AB165" i="47"/>
  <c r="P166" i="47"/>
  <c r="B166" i="47" s="1"/>
  <c r="R166" i="47"/>
  <c r="C166" i="47" s="1"/>
  <c r="Q166" i="47"/>
  <c r="S166" i="47"/>
  <c r="T166" i="47"/>
  <c r="U166" i="47"/>
  <c r="V166" i="47"/>
  <c r="W166" i="47"/>
  <c r="X166" i="47"/>
  <c r="Y166" i="47"/>
  <c r="Z166" i="47"/>
  <c r="AA166" i="47"/>
  <c r="AB166" i="47"/>
  <c r="P167" i="47"/>
  <c r="B167" i="47" s="1"/>
  <c r="R167" i="47"/>
  <c r="C167" i="47" s="1"/>
  <c r="Q167" i="47"/>
  <c r="S167" i="47"/>
  <c r="T167" i="47"/>
  <c r="U167" i="47"/>
  <c r="V167" i="47"/>
  <c r="W167" i="47"/>
  <c r="X167" i="47"/>
  <c r="Y167" i="47"/>
  <c r="Z167" i="47"/>
  <c r="AA167" i="47"/>
  <c r="AB167" i="47"/>
  <c r="P168" i="47"/>
  <c r="B168" i="47"/>
  <c r="R168" i="47"/>
  <c r="C168" i="47" s="1"/>
  <c r="Q168" i="47"/>
  <c r="S168" i="47"/>
  <c r="T168" i="47"/>
  <c r="U168" i="47"/>
  <c r="V168" i="47"/>
  <c r="W168" i="47"/>
  <c r="X168" i="47"/>
  <c r="Y168" i="47"/>
  <c r="Z168" i="47"/>
  <c r="AA168" i="47"/>
  <c r="AB168" i="47"/>
  <c r="P169" i="47"/>
  <c r="B169" i="47" s="1"/>
  <c r="R169" i="47"/>
  <c r="C169" i="47" s="1"/>
  <c r="Q169" i="47"/>
  <c r="S169" i="47"/>
  <c r="T169" i="47"/>
  <c r="U169" i="47"/>
  <c r="V169" i="47"/>
  <c r="W169" i="47"/>
  <c r="X169" i="47"/>
  <c r="Y169" i="47"/>
  <c r="Z169" i="47"/>
  <c r="AA169" i="47"/>
  <c r="AB169" i="47"/>
  <c r="P170" i="47"/>
  <c r="B170" i="47" s="1"/>
  <c r="R170" i="47"/>
  <c r="C170" i="47"/>
  <c r="Q170" i="47"/>
  <c r="S170" i="47"/>
  <c r="T170" i="47"/>
  <c r="U170" i="47"/>
  <c r="V170" i="47"/>
  <c r="W170" i="47"/>
  <c r="X170" i="47"/>
  <c r="Y170" i="47"/>
  <c r="Z170" i="47"/>
  <c r="AA170" i="47"/>
  <c r="AB170" i="47"/>
  <c r="P171" i="47"/>
  <c r="B171" i="47" s="1"/>
  <c r="R171" i="47"/>
  <c r="C171" i="47" s="1"/>
  <c r="Q171" i="47"/>
  <c r="S171" i="47"/>
  <c r="T171" i="47"/>
  <c r="U171" i="47"/>
  <c r="V171" i="47"/>
  <c r="W171" i="47"/>
  <c r="X171" i="47"/>
  <c r="Y171" i="47"/>
  <c r="Z171" i="47"/>
  <c r="AA171" i="47"/>
  <c r="AB171" i="47"/>
  <c r="P172" i="47"/>
  <c r="B172" i="47" s="1"/>
  <c r="R172" i="47"/>
  <c r="C172" i="47"/>
  <c r="Q172" i="47"/>
  <c r="S172" i="47"/>
  <c r="T172" i="47"/>
  <c r="U172" i="47"/>
  <c r="V172" i="47"/>
  <c r="W172" i="47"/>
  <c r="X172" i="47"/>
  <c r="Y172" i="47"/>
  <c r="Z172" i="47"/>
  <c r="AA172" i="47"/>
  <c r="AB172" i="47"/>
  <c r="P173" i="47"/>
  <c r="B173" i="47" s="1"/>
  <c r="R173" i="47"/>
  <c r="C173" i="47" s="1"/>
  <c r="Q173" i="47"/>
  <c r="S173" i="47"/>
  <c r="T173" i="47"/>
  <c r="U173" i="47"/>
  <c r="V173" i="47"/>
  <c r="W173" i="47"/>
  <c r="X173" i="47"/>
  <c r="Y173" i="47"/>
  <c r="Z173" i="47"/>
  <c r="AA173" i="47"/>
  <c r="AB173" i="47"/>
  <c r="P174" i="47"/>
  <c r="B174" i="47" s="1"/>
  <c r="C174" i="47"/>
  <c r="Q174" i="47"/>
  <c r="S174" i="47"/>
  <c r="T174" i="47"/>
  <c r="U174" i="47"/>
  <c r="V174" i="47"/>
  <c r="W174" i="47"/>
  <c r="X174" i="47"/>
  <c r="Y174" i="47"/>
  <c r="Z174" i="47"/>
  <c r="AA174" i="47"/>
  <c r="AB174" i="47"/>
  <c r="P175" i="47"/>
  <c r="B175" i="47" s="1"/>
  <c r="R175" i="47"/>
  <c r="C175" i="47" s="1"/>
  <c r="Q175" i="47"/>
  <c r="S175" i="47"/>
  <c r="T175" i="47"/>
  <c r="U175" i="47"/>
  <c r="V175" i="47"/>
  <c r="W175" i="47"/>
  <c r="X175" i="47"/>
  <c r="Y175" i="47"/>
  <c r="Z175" i="47"/>
  <c r="AA175" i="47"/>
  <c r="P176" i="47"/>
  <c r="B176" i="47"/>
  <c r="R176" i="47"/>
  <c r="C176" i="47"/>
  <c r="Q176" i="47"/>
  <c r="S176" i="47"/>
  <c r="T176" i="47"/>
  <c r="U176" i="47"/>
  <c r="V176" i="47"/>
  <c r="W176" i="47"/>
  <c r="X176" i="47"/>
  <c r="Y176" i="47"/>
  <c r="Z176" i="47"/>
  <c r="AA176" i="47"/>
  <c r="P177" i="47"/>
  <c r="B177" i="47"/>
  <c r="R177" i="47"/>
  <c r="C177" i="47" s="1"/>
  <c r="Q177" i="47"/>
  <c r="S177" i="47"/>
  <c r="T177" i="47"/>
  <c r="U177" i="47"/>
  <c r="V177" i="47"/>
  <c r="W177" i="47"/>
  <c r="X177" i="47"/>
  <c r="Y177" i="47"/>
  <c r="Z177" i="47"/>
  <c r="AA177" i="47"/>
  <c r="P178" i="47"/>
  <c r="B178" i="47" s="1"/>
  <c r="R178" i="47"/>
  <c r="C178" i="47"/>
  <c r="Q178" i="47"/>
  <c r="S178" i="47"/>
  <c r="T178" i="47"/>
  <c r="U178" i="47"/>
  <c r="V178" i="47"/>
  <c r="W178" i="47"/>
  <c r="X178" i="47"/>
  <c r="Y178" i="47"/>
  <c r="Z178" i="47"/>
  <c r="AA178" i="47"/>
  <c r="AB178" i="47"/>
  <c r="P179" i="47"/>
  <c r="B179" i="47" s="1"/>
  <c r="R179" i="47"/>
  <c r="C179" i="47" s="1"/>
  <c r="Q179" i="47"/>
  <c r="S179" i="47"/>
  <c r="T179" i="47"/>
  <c r="U179" i="47"/>
  <c r="V179" i="47"/>
  <c r="W179" i="47"/>
  <c r="X179" i="47"/>
  <c r="Y179" i="47"/>
  <c r="Z179" i="47"/>
  <c r="AA179" i="47"/>
  <c r="AB179" i="47"/>
  <c r="P180" i="47"/>
  <c r="B180" i="47" s="1"/>
  <c r="R180" i="47"/>
  <c r="C180" i="47"/>
  <c r="Q180" i="47"/>
  <c r="S180" i="47"/>
  <c r="T180" i="47"/>
  <c r="U180" i="47"/>
  <c r="V180" i="47"/>
  <c r="W180" i="47"/>
  <c r="X180" i="47"/>
  <c r="Y180" i="47"/>
  <c r="Z180" i="47"/>
  <c r="AA180" i="47"/>
  <c r="AB180" i="47"/>
  <c r="D64" i="12"/>
  <c r="D36" i="12"/>
  <c r="E36" i="12" s="1"/>
  <c r="D43" i="12"/>
  <c r="E43" i="12" s="1"/>
  <c r="D42" i="12"/>
  <c r="E42" i="12" s="1"/>
  <c r="D41" i="12"/>
  <c r="E41" i="12" s="1"/>
  <c r="D39" i="12"/>
  <c r="E39" i="12" s="1"/>
  <c r="D38" i="12"/>
  <c r="E38" i="12" s="1"/>
  <c r="D37" i="12"/>
  <c r="V54" i="2"/>
  <c r="V56" i="2"/>
  <c r="V57" i="2"/>
  <c r="V61" i="2"/>
  <c r="X61" i="2" s="1"/>
  <c r="AG122" i="8"/>
  <c r="X122" i="8" s="1"/>
  <c r="K122" i="22" s="1"/>
  <c r="AG123" i="8"/>
  <c r="X123" i="8" s="1"/>
  <c r="K123" i="22" s="1"/>
  <c r="M128" i="4"/>
  <c r="M129" i="4"/>
  <c r="M130" i="4"/>
  <c r="M131" i="4"/>
  <c r="O54" i="2"/>
  <c r="R54" i="2" s="1"/>
  <c r="O56" i="2"/>
  <c r="O57" i="2"/>
  <c r="R57" i="2" s="1"/>
  <c r="Q61" i="2"/>
  <c r="X8" i="21"/>
  <c r="S8" i="21" s="1"/>
  <c r="W8" i="21"/>
  <c r="R8" i="21" s="1"/>
  <c r="Q8" i="21"/>
  <c r="Y41" i="4"/>
  <c r="Y42" i="4"/>
  <c r="Y175" i="4"/>
  <c r="Y176" i="4"/>
  <c r="Y177" i="4"/>
  <c r="AK175" i="8"/>
  <c r="AB175" i="8" s="1"/>
  <c r="L175" i="22" s="1"/>
  <c r="AK176" i="8"/>
  <c r="AB176" i="8" s="1"/>
  <c r="L176" i="22" s="1"/>
  <c r="AK177" i="8"/>
  <c r="AB177" i="8" s="1"/>
  <c r="L177" i="22" s="1"/>
  <c r="AG177" i="8"/>
  <c r="X177" i="8" s="1"/>
  <c r="K177" i="22" s="1"/>
  <c r="AG175" i="8"/>
  <c r="X175" i="8" s="1"/>
  <c r="K175" i="22" s="1"/>
  <c r="AG176" i="8"/>
  <c r="X176" i="8" s="1"/>
  <c r="K176" i="22" s="1"/>
  <c r="AG72" i="8"/>
  <c r="X72" i="8" s="1"/>
  <c r="K72" i="22" s="1"/>
  <c r="AG73" i="8"/>
  <c r="X73" i="8" s="1"/>
  <c r="K73" i="22" s="1"/>
  <c r="AG74" i="8"/>
  <c r="X74" i="8" s="1"/>
  <c r="K74" i="22" s="1"/>
  <c r="AG40" i="8"/>
  <c r="X40" i="8" s="1"/>
  <c r="K40" i="22" s="1"/>
  <c r="AG41" i="8"/>
  <c r="X41" i="8" s="1"/>
  <c r="K41" i="22" s="1"/>
  <c r="AG42" i="8"/>
  <c r="X42" i="8" s="1"/>
  <c r="K42" i="22" s="1"/>
  <c r="X175" i="4"/>
  <c r="X176" i="4"/>
  <c r="X177" i="4"/>
  <c r="Q175" i="4"/>
  <c r="Q176" i="4"/>
  <c r="Q177" i="4"/>
  <c r="Q41" i="4"/>
  <c r="Q42" i="4"/>
  <c r="X40" i="4"/>
  <c r="X41" i="4"/>
  <c r="X42" i="4"/>
  <c r="L35" i="4"/>
  <c r="Q36" i="4"/>
  <c r="Q37" i="4"/>
  <c r="Q38" i="4"/>
  <c r="L39" i="4"/>
  <c r="Q39" i="4" s="1"/>
  <c r="Q44" i="4"/>
  <c r="Q45" i="4"/>
  <c r="Q46" i="4"/>
  <c r="Y8" i="21"/>
  <c r="Q171" i="4"/>
  <c r="Q172" i="4"/>
  <c r="Q173" i="4"/>
  <c r="V42" i="4"/>
  <c r="T42" i="4"/>
  <c r="V41" i="4"/>
  <c r="T41" i="4"/>
  <c r="R42" i="4"/>
  <c r="O42" i="4"/>
  <c r="M42" i="4"/>
  <c r="R41" i="4"/>
  <c r="O41" i="4"/>
  <c r="M41" i="4"/>
  <c r="R177" i="4"/>
  <c r="R176" i="4"/>
  <c r="R175" i="4"/>
  <c r="Y174" i="4"/>
  <c r="S174" i="22" s="1"/>
  <c r="O177" i="4"/>
  <c r="M177" i="4"/>
  <c r="AK179" i="8"/>
  <c r="AB179" i="8" s="1"/>
  <c r="L179" i="22" s="1"/>
  <c r="Y179" i="4"/>
  <c r="Y180" i="4"/>
  <c r="AK180" i="8"/>
  <c r="AB180" i="8" s="1"/>
  <c r="L180" i="22" s="1"/>
  <c r="AK171" i="8"/>
  <c r="AB171" i="8" s="1"/>
  <c r="L171" i="22" s="1"/>
  <c r="Y171" i="4"/>
  <c r="Y172" i="4"/>
  <c r="Y173" i="4"/>
  <c r="AK172" i="8"/>
  <c r="AB172" i="8" s="1"/>
  <c r="L172" i="22" s="1"/>
  <c r="AK173" i="8"/>
  <c r="AB173" i="8" s="1"/>
  <c r="L173" i="22" s="1"/>
  <c r="AK165" i="8"/>
  <c r="AB165" i="8" s="1"/>
  <c r="L165" i="22" s="1"/>
  <c r="Y165" i="4"/>
  <c r="Y166" i="4"/>
  <c r="Y167" i="4"/>
  <c r="Y168" i="4"/>
  <c r="AK166" i="8"/>
  <c r="AB166" i="8" s="1"/>
  <c r="L166" i="22" s="1"/>
  <c r="AK167" i="8"/>
  <c r="AB167" i="8" s="1"/>
  <c r="L167" i="22" s="1"/>
  <c r="AK168" i="8"/>
  <c r="AB168" i="8" s="1"/>
  <c r="L168" i="22" s="1"/>
  <c r="Y162" i="4"/>
  <c r="Y163" i="4"/>
  <c r="Y164" i="4"/>
  <c r="S164" i="22" s="1"/>
  <c r="AK162" i="8"/>
  <c r="AB162" i="8" s="1"/>
  <c r="L162" i="22" s="1"/>
  <c r="AK163" i="8"/>
  <c r="AB163" i="8" s="1"/>
  <c r="L163" i="22" s="1"/>
  <c r="AB117" i="8"/>
  <c r="L117" i="22" s="1"/>
  <c r="AB140" i="8"/>
  <c r="L140" i="22"/>
  <c r="AB159" i="8"/>
  <c r="L159" i="22" s="1"/>
  <c r="AK156" i="8"/>
  <c r="AB156" i="8" s="1"/>
  <c r="L156" i="22" s="1"/>
  <c r="Y156" i="4"/>
  <c r="Y157" i="4"/>
  <c r="Y158" i="4"/>
  <c r="AK157" i="8"/>
  <c r="AB157" i="8" s="1"/>
  <c r="L157" i="22" s="1"/>
  <c r="AK158" i="8"/>
  <c r="AB158" i="8" s="1"/>
  <c r="L158" i="22" s="1"/>
  <c r="Y154" i="4"/>
  <c r="X155" i="4"/>
  <c r="AK154" i="8"/>
  <c r="AB154" i="8" s="1"/>
  <c r="L154" i="22" s="1"/>
  <c r="Y144" i="4"/>
  <c r="Y145" i="4"/>
  <c r="AK147" i="8"/>
  <c r="AB147" i="8" s="1"/>
  <c r="L147" i="22" s="1"/>
  <c r="Y147" i="4"/>
  <c r="Y148" i="4"/>
  <c r="Y149" i="4"/>
  <c r="Y150" i="4"/>
  <c r="Y151" i="4"/>
  <c r="Y152" i="4"/>
  <c r="AK148" i="8"/>
  <c r="AB148" i="8" s="1"/>
  <c r="L148" i="22" s="1"/>
  <c r="AK149" i="8"/>
  <c r="AB149" i="8" s="1"/>
  <c r="L149" i="22" s="1"/>
  <c r="AK150" i="8"/>
  <c r="AB150" i="8" s="1"/>
  <c r="L150" i="22" s="1"/>
  <c r="AK151" i="8"/>
  <c r="AB151" i="8" s="1"/>
  <c r="L151" i="22" s="1"/>
  <c r="AK152" i="8"/>
  <c r="AB152" i="8" s="1"/>
  <c r="L152" i="22" s="1"/>
  <c r="AK122" i="8"/>
  <c r="AB122" i="8" s="1"/>
  <c r="L122" i="22" s="1"/>
  <c r="Y122" i="4"/>
  <c r="Y123" i="4"/>
  <c r="AK123" i="8"/>
  <c r="AB123" i="8" s="1"/>
  <c r="L123" i="22" s="1"/>
  <c r="Y120" i="4"/>
  <c r="Y121" i="4"/>
  <c r="AB120" i="8"/>
  <c r="L120" i="22" s="1"/>
  <c r="Y118" i="4"/>
  <c r="Y124" i="4"/>
  <c r="Y133" i="4"/>
  <c r="AL116" i="4"/>
  <c r="AM116" i="8" s="1"/>
  <c r="AL115" i="4"/>
  <c r="AM115" i="8" s="1"/>
  <c r="AK113" i="8"/>
  <c r="Y113" i="4"/>
  <c r="Y114" i="4"/>
  <c r="AK114" i="8"/>
  <c r="AB114" i="8" s="1"/>
  <c r="L114" i="22" s="1"/>
  <c r="Y110" i="4"/>
  <c r="Y111" i="4"/>
  <c r="Y112" i="4"/>
  <c r="AK110" i="8"/>
  <c r="AB110" i="8" s="1"/>
  <c r="L110" i="22" s="1"/>
  <c r="AK111" i="8"/>
  <c r="AB111" i="8" s="1"/>
  <c r="L111" i="22" s="1"/>
  <c r="AK103" i="8"/>
  <c r="AB103" i="8" s="1"/>
  <c r="L103" i="22" s="1"/>
  <c r="Y103" i="4"/>
  <c r="Y104" i="4"/>
  <c r="Y105" i="4"/>
  <c r="Y106" i="4"/>
  <c r="Y107" i="4"/>
  <c r="Y108" i="4"/>
  <c r="AK104" i="8"/>
  <c r="AB104" i="8" s="1"/>
  <c r="L104" i="22" s="1"/>
  <c r="AK105" i="8"/>
  <c r="AB105" i="8" s="1"/>
  <c r="L105" i="22" s="1"/>
  <c r="AK106" i="8"/>
  <c r="AB106" i="8" s="1"/>
  <c r="L106" i="22" s="1"/>
  <c r="AK107" i="8"/>
  <c r="AB107" i="8" s="1"/>
  <c r="L107" i="22" s="1"/>
  <c r="AK108" i="8"/>
  <c r="AB108" i="8" s="1"/>
  <c r="L108" i="22" s="1"/>
  <c r="AK99" i="8"/>
  <c r="AB99" i="8" s="1"/>
  <c r="L99" i="22" s="1"/>
  <c r="Y99" i="4"/>
  <c r="Y100" i="4"/>
  <c r="AK100" i="8"/>
  <c r="AB100" i="8" s="1"/>
  <c r="L100" i="22" s="1"/>
  <c r="S98" i="4"/>
  <c r="Y101" i="4"/>
  <c r="Y102" i="4"/>
  <c r="S102" i="22" s="1"/>
  <c r="AL96" i="4"/>
  <c r="AM96" i="8" s="1"/>
  <c r="AK91" i="8"/>
  <c r="AB91" i="8" s="1"/>
  <c r="L91" i="22" s="1"/>
  <c r="Y91" i="4"/>
  <c r="Y92" i="4"/>
  <c r="Y93" i="4"/>
  <c r="Y94" i="4"/>
  <c r="Y95" i="4"/>
  <c r="AK92" i="8"/>
  <c r="AB92" i="8" s="1"/>
  <c r="L92" i="22" s="1"/>
  <c r="AK93" i="8"/>
  <c r="AB93" i="8" s="1"/>
  <c r="L93" i="22" s="1"/>
  <c r="AK94" i="8"/>
  <c r="AB94" i="8" s="1"/>
  <c r="L94" i="22" s="1"/>
  <c r="AK95" i="8"/>
  <c r="AB95" i="8" s="1"/>
  <c r="L95" i="22" s="1"/>
  <c r="AK77" i="8"/>
  <c r="AB77" i="8" s="1"/>
  <c r="L77" i="22" s="1"/>
  <c r="Y77" i="4"/>
  <c r="Y78" i="4"/>
  <c r="AK78" i="8"/>
  <c r="AB78" i="8" s="1"/>
  <c r="L78" i="22" s="1"/>
  <c r="AK80" i="8"/>
  <c r="AB80" i="8" s="1"/>
  <c r="L80" i="22" s="1"/>
  <c r="Y80" i="4"/>
  <c r="Y81" i="4"/>
  <c r="S81" i="22" s="1"/>
  <c r="Y82" i="4"/>
  <c r="Y83" i="4"/>
  <c r="Y84" i="4"/>
  <c r="S84" i="22" s="1"/>
  <c r="Y85" i="4"/>
  <c r="AK81" i="8"/>
  <c r="AB81" i="8" s="1"/>
  <c r="L81" i="22" s="1"/>
  <c r="AK82" i="8"/>
  <c r="AB82" i="8" s="1"/>
  <c r="L82" i="22" s="1"/>
  <c r="AK83" i="8"/>
  <c r="AB83" i="8" s="1"/>
  <c r="L83" i="22" s="1"/>
  <c r="AK84" i="8"/>
  <c r="AB84" i="8" s="1"/>
  <c r="L84" i="22" s="1"/>
  <c r="AK85" i="8"/>
  <c r="AB85" i="8" s="1"/>
  <c r="L85" i="22" s="1"/>
  <c r="AK87" i="8"/>
  <c r="AB87" i="8" s="1"/>
  <c r="L87" i="22" s="1"/>
  <c r="Y87" i="4"/>
  <c r="Y88" i="4"/>
  <c r="Y89" i="4"/>
  <c r="AK88" i="8"/>
  <c r="AB88" i="8" s="1"/>
  <c r="L88" i="22" s="1"/>
  <c r="AK89" i="8"/>
  <c r="AB89" i="8" s="1"/>
  <c r="L89" i="22" s="1"/>
  <c r="AK72" i="8"/>
  <c r="AB72" i="8" s="1"/>
  <c r="L72" i="22" s="1"/>
  <c r="Y72" i="4"/>
  <c r="Y73" i="4"/>
  <c r="Y74" i="4"/>
  <c r="AK73" i="8"/>
  <c r="AB73" i="8" s="1"/>
  <c r="L73" i="22" s="1"/>
  <c r="AK74" i="8"/>
  <c r="AB74" i="8" s="1"/>
  <c r="L74" i="22" s="1"/>
  <c r="AK64" i="8"/>
  <c r="AB64" i="8" s="1"/>
  <c r="L64" i="22" s="1"/>
  <c r="Y64" i="4"/>
  <c r="Y65" i="4"/>
  <c r="Y66" i="4"/>
  <c r="AK65" i="8"/>
  <c r="AB65" i="8" s="1"/>
  <c r="L65" i="22" s="1"/>
  <c r="AK66" i="8"/>
  <c r="AB66" i="8" s="1"/>
  <c r="L66" i="22" s="1"/>
  <c r="AK68" i="8"/>
  <c r="AB68" i="8" s="1"/>
  <c r="L68" i="22" s="1"/>
  <c r="Y68" i="4"/>
  <c r="Y69" i="4"/>
  <c r="Y70" i="4"/>
  <c r="AK69" i="8"/>
  <c r="AB69" i="8" s="1"/>
  <c r="L69" i="22" s="1"/>
  <c r="AK70" i="8"/>
  <c r="AB70" i="8" s="1"/>
  <c r="L70" i="22" s="1"/>
  <c r="AK59" i="8"/>
  <c r="AB59" i="8" s="1"/>
  <c r="L59" i="22" s="1"/>
  <c r="Y59" i="4"/>
  <c r="Y60" i="4"/>
  <c r="AK60" i="8"/>
  <c r="AB60" i="8" s="1"/>
  <c r="L60" i="22" s="1"/>
  <c r="AK49" i="8"/>
  <c r="AB49" i="8" s="1"/>
  <c r="L49" i="22" s="1"/>
  <c r="Y49" i="4"/>
  <c r="Y50" i="4"/>
  <c r="Y51" i="4"/>
  <c r="Y52" i="4"/>
  <c r="AK50" i="8"/>
  <c r="AB50" i="8" s="1"/>
  <c r="L50" i="22" s="1"/>
  <c r="AK51" i="8"/>
  <c r="AB51" i="8" s="1"/>
  <c r="L51" i="22" s="1"/>
  <c r="AK52" i="8"/>
  <c r="AB52" i="8" s="1"/>
  <c r="L52" i="22" s="1"/>
  <c r="AK54" i="8"/>
  <c r="AB54" i="8" s="1"/>
  <c r="L54" i="22" s="1"/>
  <c r="Y54" i="4"/>
  <c r="Y55" i="4"/>
  <c r="Y56" i="4"/>
  <c r="Y57" i="4"/>
  <c r="AK55" i="8"/>
  <c r="AB55" i="8" s="1"/>
  <c r="L55" i="22" s="1"/>
  <c r="AK56" i="8"/>
  <c r="AB56" i="8" s="1"/>
  <c r="L56" i="22" s="1"/>
  <c r="AK57" i="8"/>
  <c r="AB57" i="8" s="1"/>
  <c r="L57" i="22" s="1"/>
  <c r="Y36" i="4"/>
  <c r="Y37" i="4"/>
  <c r="Y38" i="4"/>
  <c r="AK46" i="8"/>
  <c r="AB46" i="8" s="1"/>
  <c r="L46" i="22" s="1"/>
  <c r="AK32" i="8"/>
  <c r="AB32" i="8" s="1"/>
  <c r="L32" i="22" s="1"/>
  <c r="S32" i="4"/>
  <c r="V32" i="4" s="1"/>
  <c r="S33" i="4"/>
  <c r="Y33" i="4" s="1"/>
  <c r="AK33" i="8"/>
  <c r="AB33" i="8" s="1"/>
  <c r="L33" i="22" s="1"/>
  <c r="AK22" i="8"/>
  <c r="AB22" i="8" s="1"/>
  <c r="L22" i="22" s="1"/>
  <c r="Y22" i="4"/>
  <c r="Y23" i="4"/>
  <c r="Y24" i="4"/>
  <c r="Y25" i="4"/>
  <c r="Y26" i="4"/>
  <c r="Y27" i="4"/>
  <c r="Y28" i="4"/>
  <c r="Y29" i="4"/>
  <c r="AK23" i="8"/>
  <c r="AB23" i="8" s="1"/>
  <c r="L23" i="22" s="1"/>
  <c r="AK24" i="8"/>
  <c r="AB24" i="8" s="1"/>
  <c r="L24" i="22" s="1"/>
  <c r="AK25" i="8"/>
  <c r="AB25" i="8" s="1"/>
  <c r="L25" i="22" s="1"/>
  <c r="AK26" i="8"/>
  <c r="AB26" i="8" s="1"/>
  <c r="L26" i="22" s="1"/>
  <c r="AK27" i="8"/>
  <c r="AB27" i="8" s="1"/>
  <c r="L27" i="22" s="1"/>
  <c r="AK28" i="8"/>
  <c r="AB28" i="8" s="1"/>
  <c r="L28" i="22" s="1"/>
  <c r="AK29" i="8"/>
  <c r="AB29" i="8" s="1"/>
  <c r="L29" i="22" s="1"/>
  <c r="AK30" i="8"/>
  <c r="AB30" i="8" s="1"/>
  <c r="L30" i="22" s="1"/>
  <c r="S21" i="4"/>
  <c r="Y30" i="4"/>
  <c r="Y31" i="4"/>
  <c r="S31" i="22" s="1"/>
  <c r="AK12" i="8"/>
  <c r="AB12" i="8" s="1"/>
  <c r="L12" i="22" s="1"/>
  <c r="Y12" i="4"/>
  <c r="Y13" i="4"/>
  <c r="AK13" i="8"/>
  <c r="AB13" i="8" s="1"/>
  <c r="L13" i="22" s="1"/>
  <c r="Y15" i="4"/>
  <c r="Y16" i="4"/>
  <c r="Y17" i="4"/>
  <c r="Y18" i="4"/>
  <c r="S14" i="4"/>
  <c r="Y19" i="4"/>
  <c r="X179" i="4"/>
  <c r="X180" i="4"/>
  <c r="X171" i="4"/>
  <c r="X172" i="4"/>
  <c r="X173" i="4"/>
  <c r="X165" i="4"/>
  <c r="X166" i="4"/>
  <c r="X167" i="4"/>
  <c r="X168" i="4"/>
  <c r="X162" i="4"/>
  <c r="X163" i="4"/>
  <c r="X164" i="4"/>
  <c r="AA117" i="8"/>
  <c r="L117" i="47" s="1"/>
  <c r="AA140" i="8"/>
  <c r="L140" i="47" s="1"/>
  <c r="AA159" i="8"/>
  <c r="L159" i="47" s="1"/>
  <c r="X156" i="4"/>
  <c r="X157" i="4"/>
  <c r="X158" i="4"/>
  <c r="X154" i="4"/>
  <c r="X147" i="4"/>
  <c r="X148" i="4"/>
  <c r="X149" i="4"/>
  <c r="X150" i="4"/>
  <c r="X151" i="4"/>
  <c r="X152" i="4"/>
  <c r="X144" i="4"/>
  <c r="X145" i="4"/>
  <c r="X122" i="4"/>
  <c r="X123" i="4"/>
  <c r="X120" i="4"/>
  <c r="X118" i="4"/>
  <c r="X124" i="4"/>
  <c r="X127" i="4"/>
  <c r="X128" i="4"/>
  <c r="X129" i="4"/>
  <c r="X130" i="4"/>
  <c r="X131" i="4"/>
  <c r="X113" i="4"/>
  <c r="X114" i="4"/>
  <c r="X110" i="4"/>
  <c r="X111" i="4"/>
  <c r="X103" i="4"/>
  <c r="X104" i="4"/>
  <c r="X105" i="4"/>
  <c r="X106" i="4"/>
  <c r="X107" i="4"/>
  <c r="X108" i="4"/>
  <c r="X99" i="4"/>
  <c r="X100" i="4"/>
  <c r="X91" i="4"/>
  <c r="X92" i="4"/>
  <c r="X93" i="4"/>
  <c r="X94" i="4"/>
  <c r="X95" i="4"/>
  <c r="X87" i="4"/>
  <c r="X88" i="4"/>
  <c r="X89" i="4"/>
  <c r="X80" i="4"/>
  <c r="X81" i="4"/>
  <c r="X82" i="4"/>
  <c r="X83" i="4"/>
  <c r="X84" i="4"/>
  <c r="X85" i="4"/>
  <c r="X72" i="4"/>
  <c r="X73" i="4"/>
  <c r="X74" i="4"/>
  <c r="X68" i="4"/>
  <c r="X69" i="4"/>
  <c r="X70" i="4"/>
  <c r="X64" i="4"/>
  <c r="X65" i="4"/>
  <c r="X66" i="4"/>
  <c r="X59" i="4"/>
  <c r="X60" i="4"/>
  <c r="X54" i="4"/>
  <c r="X55" i="4"/>
  <c r="X56" i="4"/>
  <c r="X57" i="4"/>
  <c r="X49" i="4"/>
  <c r="X50" i="4"/>
  <c r="X51" i="4"/>
  <c r="X52" i="4"/>
  <c r="X44" i="4"/>
  <c r="X45" i="4"/>
  <c r="X36" i="4"/>
  <c r="X37" i="4"/>
  <c r="X38" i="4"/>
  <c r="X22" i="4"/>
  <c r="X23" i="4"/>
  <c r="X24" i="4"/>
  <c r="X25" i="4"/>
  <c r="X26" i="4"/>
  <c r="X27" i="4"/>
  <c r="X28" i="4"/>
  <c r="X29" i="4"/>
  <c r="X15" i="4"/>
  <c r="X16" i="4"/>
  <c r="X17" i="4"/>
  <c r="X18" i="4"/>
  <c r="X12" i="4"/>
  <c r="X13" i="4"/>
  <c r="Q120" i="4"/>
  <c r="Q122" i="4"/>
  <c r="Q123" i="4"/>
  <c r="R120" i="4"/>
  <c r="R123" i="4"/>
  <c r="AP8" i="22"/>
  <c r="AJ8" i="22" s="1"/>
  <c r="I43" i="2"/>
  <c r="C2" i="3"/>
  <c r="E2" i="3"/>
  <c r="E3" i="3"/>
  <c r="C4" i="3"/>
  <c r="E5" i="4"/>
  <c r="AH6" i="4"/>
  <c r="AI6" i="4"/>
  <c r="AB8" i="4"/>
  <c r="Z8" i="8" s="1"/>
  <c r="AI8" i="4"/>
  <c r="AD8" i="8" s="1"/>
  <c r="Q14" i="4"/>
  <c r="L33" i="4"/>
  <c r="Q33" i="4" s="1"/>
  <c r="L32" i="4"/>
  <c r="L21" i="4"/>
  <c r="Q21" i="4" s="1"/>
  <c r="L58" i="4"/>
  <c r="Q58" i="4" s="1"/>
  <c r="L53" i="4"/>
  <c r="R53" i="4" s="1"/>
  <c r="R53" i="22" s="1"/>
  <c r="L48" i="4"/>
  <c r="R48" i="4" s="1"/>
  <c r="R48" i="22" s="1"/>
  <c r="S35" i="4"/>
  <c r="X35" i="4" s="1"/>
  <c r="S58" i="4"/>
  <c r="X58" i="4" s="1"/>
  <c r="S53" i="4"/>
  <c r="Y53" i="4" s="1"/>
  <c r="S53" i="22" s="1"/>
  <c r="S48" i="4"/>
  <c r="Q12" i="4"/>
  <c r="Q13" i="4"/>
  <c r="Q15" i="4"/>
  <c r="Q17" i="4"/>
  <c r="Q18" i="4"/>
  <c r="Q19" i="4"/>
  <c r="R12" i="4"/>
  <c r="R13" i="4"/>
  <c r="R15" i="4"/>
  <c r="R17" i="4"/>
  <c r="R18" i="4"/>
  <c r="R19" i="4"/>
  <c r="AG12" i="8"/>
  <c r="X12" i="8" s="1"/>
  <c r="K12" i="22" s="1"/>
  <c r="AG13" i="8"/>
  <c r="X13" i="8" s="1"/>
  <c r="K13" i="22" s="1"/>
  <c r="AG15" i="8"/>
  <c r="X15" i="8" s="1"/>
  <c r="K15" i="22" s="1"/>
  <c r="AG16" i="8"/>
  <c r="X16" i="8" s="1"/>
  <c r="K16" i="22" s="1"/>
  <c r="AG17" i="8"/>
  <c r="X17" i="8" s="1"/>
  <c r="K17" i="22" s="1"/>
  <c r="AG18" i="8"/>
  <c r="X18" i="8" s="1"/>
  <c r="K18" i="22" s="1"/>
  <c r="AG19" i="8"/>
  <c r="X19" i="8" s="1"/>
  <c r="K19" i="22" s="1"/>
  <c r="X19" i="4"/>
  <c r="M12" i="4"/>
  <c r="O12" i="4"/>
  <c r="T12" i="4"/>
  <c r="V12" i="4"/>
  <c r="M13" i="4"/>
  <c r="O13" i="4"/>
  <c r="T13" i="4"/>
  <c r="V13" i="4"/>
  <c r="M15" i="4"/>
  <c r="O15" i="4"/>
  <c r="T15" i="4"/>
  <c r="V15" i="4"/>
  <c r="M16" i="4"/>
  <c r="M17" i="4"/>
  <c r="O17" i="4"/>
  <c r="T17" i="4"/>
  <c r="V17" i="4"/>
  <c r="M18" i="4"/>
  <c r="O18" i="4"/>
  <c r="T18" i="4"/>
  <c r="V18" i="4"/>
  <c r="M19" i="4"/>
  <c r="O19" i="4"/>
  <c r="T19" i="4"/>
  <c r="V19" i="4"/>
  <c r="Q22" i="4"/>
  <c r="Q24" i="4"/>
  <c r="Q25" i="4"/>
  <c r="Q30" i="4"/>
  <c r="Q31" i="4"/>
  <c r="R22" i="4"/>
  <c r="R24" i="4"/>
  <c r="R25" i="4"/>
  <c r="R30" i="4"/>
  <c r="R31" i="4"/>
  <c r="R31" i="22" s="1"/>
  <c r="X30" i="4"/>
  <c r="X31" i="4"/>
  <c r="M22" i="4"/>
  <c r="O22" i="4"/>
  <c r="T22" i="4"/>
  <c r="V22" i="4"/>
  <c r="AG22" i="8"/>
  <c r="X22" i="8" s="1"/>
  <c r="K22" i="22" s="1"/>
  <c r="AG23" i="8"/>
  <c r="X23" i="8" s="1"/>
  <c r="K23" i="22" s="1"/>
  <c r="AG24" i="8"/>
  <c r="X24" i="8" s="1"/>
  <c r="K24" i="22" s="1"/>
  <c r="AG25" i="8"/>
  <c r="X25" i="8" s="1"/>
  <c r="K25" i="22" s="1"/>
  <c r="AG26" i="8"/>
  <c r="X26" i="8" s="1"/>
  <c r="K26" i="22" s="1"/>
  <c r="AG27" i="8"/>
  <c r="X27" i="8" s="1"/>
  <c r="K27" i="22" s="1"/>
  <c r="AG28" i="8"/>
  <c r="X28" i="8" s="1"/>
  <c r="K28" i="22" s="1"/>
  <c r="AG29" i="8"/>
  <c r="X29" i="8" s="1"/>
  <c r="K29" i="22" s="1"/>
  <c r="M24" i="4"/>
  <c r="O24" i="4"/>
  <c r="T24" i="4"/>
  <c r="V24" i="4"/>
  <c r="M25" i="4"/>
  <c r="O25" i="4"/>
  <c r="T25" i="4"/>
  <c r="V25" i="4"/>
  <c r="M30" i="4"/>
  <c r="O30" i="4"/>
  <c r="T30" i="4"/>
  <c r="V30" i="4"/>
  <c r="M31" i="4"/>
  <c r="O31" i="4"/>
  <c r="T31" i="4"/>
  <c r="V31" i="4"/>
  <c r="AG32" i="8"/>
  <c r="X32" i="8" s="1"/>
  <c r="K32" i="22" s="1"/>
  <c r="AG33" i="8"/>
  <c r="X33" i="8" s="1"/>
  <c r="K33" i="22" s="1"/>
  <c r="R36" i="4"/>
  <c r="R37" i="4"/>
  <c r="R38" i="4"/>
  <c r="R46" i="4"/>
  <c r="X43" i="4"/>
  <c r="X46" i="4"/>
  <c r="Y43" i="4"/>
  <c r="Y46" i="4"/>
  <c r="M36" i="4"/>
  <c r="O36" i="4"/>
  <c r="T36" i="4"/>
  <c r="V36" i="4"/>
  <c r="AG36" i="8"/>
  <c r="X36" i="8" s="1"/>
  <c r="K36" i="22" s="1"/>
  <c r="AG37" i="8"/>
  <c r="X37" i="8" s="1"/>
  <c r="K37" i="22" s="1"/>
  <c r="AG38" i="8"/>
  <c r="X38" i="8" s="1"/>
  <c r="K38" i="22" s="1"/>
  <c r="M37" i="4"/>
  <c r="O37" i="4"/>
  <c r="T37" i="4"/>
  <c r="V37" i="4"/>
  <c r="M38" i="4"/>
  <c r="O38" i="4"/>
  <c r="T38" i="4"/>
  <c r="V38" i="4"/>
  <c r="M44" i="4"/>
  <c r="O44" i="4"/>
  <c r="T44" i="4"/>
  <c r="V44" i="4"/>
  <c r="AG44" i="8"/>
  <c r="X44" i="8" s="1"/>
  <c r="K44" i="22" s="1"/>
  <c r="AG45" i="8"/>
  <c r="X45" i="8" s="1"/>
  <c r="K45" i="22" s="1"/>
  <c r="M45" i="4"/>
  <c r="O45" i="4"/>
  <c r="T45" i="4"/>
  <c r="V45" i="4"/>
  <c r="M46" i="4"/>
  <c r="O46" i="4"/>
  <c r="T46" i="4"/>
  <c r="V46" i="4"/>
  <c r="Q49" i="4"/>
  <c r="Q50" i="4"/>
  <c r="Q51" i="4"/>
  <c r="Q52" i="4"/>
  <c r="Q54" i="4"/>
  <c r="Q55" i="4"/>
  <c r="Q56" i="4"/>
  <c r="Q57" i="4"/>
  <c r="Q59" i="4"/>
  <c r="Q60" i="4"/>
  <c r="R49" i="4"/>
  <c r="R50" i="4"/>
  <c r="R51" i="4"/>
  <c r="R52" i="4"/>
  <c r="R54" i="4"/>
  <c r="R55" i="4"/>
  <c r="R56" i="4"/>
  <c r="R57" i="4"/>
  <c r="R59" i="4"/>
  <c r="R60" i="4"/>
  <c r="M49" i="4"/>
  <c r="O49" i="4"/>
  <c r="T49" i="4"/>
  <c r="V49" i="4"/>
  <c r="AG49" i="8"/>
  <c r="X49" i="8" s="1"/>
  <c r="K49" i="22" s="1"/>
  <c r="AG50" i="8"/>
  <c r="X50" i="8" s="1"/>
  <c r="K50" i="22" s="1"/>
  <c r="AG51" i="8"/>
  <c r="X51" i="8" s="1"/>
  <c r="K51" i="22" s="1"/>
  <c r="AG52" i="8"/>
  <c r="X52" i="8" s="1"/>
  <c r="K52" i="22" s="1"/>
  <c r="M50" i="4"/>
  <c r="O50" i="4"/>
  <c r="T50" i="4"/>
  <c r="V50" i="4"/>
  <c r="M51" i="4"/>
  <c r="O51" i="4"/>
  <c r="T51" i="4"/>
  <c r="V51" i="4"/>
  <c r="M52" i="4"/>
  <c r="O52" i="4"/>
  <c r="T52" i="4"/>
  <c r="V52" i="4"/>
  <c r="M54" i="4"/>
  <c r="O54" i="4"/>
  <c r="T54" i="4"/>
  <c r="V54" i="4"/>
  <c r="AG54" i="8"/>
  <c r="X54" i="8" s="1"/>
  <c r="K54" i="22" s="1"/>
  <c r="AG55" i="8"/>
  <c r="X55" i="8" s="1"/>
  <c r="K55" i="22" s="1"/>
  <c r="AG56" i="8"/>
  <c r="X56" i="8" s="1"/>
  <c r="K56" i="22" s="1"/>
  <c r="AG57" i="8"/>
  <c r="X57" i="8" s="1"/>
  <c r="K57" i="22" s="1"/>
  <c r="M55" i="4"/>
  <c r="O55" i="4"/>
  <c r="T55" i="4"/>
  <c r="V55" i="4"/>
  <c r="M56" i="4"/>
  <c r="O56" i="4"/>
  <c r="T56" i="4"/>
  <c r="V56" i="4"/>
  <c r="M57" i="4"/>
  <c r="O57" i="4"/>
  <c r="T57" i="4"/>
  <c r="V57" i="4"/>
  <c r="M59" i="4"/>
  <c r="O59" i="4"/>
  <c r="T59" i="4"/>
  <c r="V59" i="4"/>
  <c r="AG59" i="8"/>
  <c r="X59" i="8" s="1"/>
  <c r="K59" i="22" s="1"/>
  <c r="AG60" i="8"/>
  <c r="X60" i="8" s="1"/>
  <c r="K60" i="22" s="1"/>
  <c r="M60" i="4"/>
  <c r="O60" i="4"/>
  <c r="T60" i="4"/>
  <c r="V60" i="4"/>
  <c r="L71" i="4"/>
  <c r="Q71" i="4" s="1"/>
  <c r="L67" i="4"/>
  <c r="L63" i="4"/>
  <c r="S71" i="4"/>
  <c r="S67" i="4"/>
  <c r="Y67" i="4" s="1"/>
  <c r="S67" i="22" s="1"/>
  <c r="S63" i="4"/>
  <c r="Y63" i="4" s="1"/>
  <c r="S63" i="22" s="1"/>
  <c r="L90" i="4"/>
  <c r="Q90" i="4" s="1"/>
  <c r="L86" i="4"/>
  <c r="L79" i="4"/>
  <c r="L76" i="4"/>
  <c r="L102" i="4"/>
  <c r="L98" i="4"/>
  <c r="R98" i="4" s="1"/>
  <c r="R98" i="22" s="1"/>
  <c r="S90" i="4"/>
  <c r="X90" i="4" s="1"/>
  <c r="S86" i="4"/>
  <c r="S79" i="4"/>
  <c r="S76" i="4"/>
  <c r="X76" i="4" s="1"/>
  <c r="Q64" i="4"/>
  <c r="Q65" i="4"/>
  <c r="Q66" i="4"/>
  <c r="Q68" i="4"/>
  <c r="Q69" i="4"/>
  <c r="Q70" i="4"/>
  <c r="Q72" i="4"/>
  <c r="Q73" i="4"/>
  <c r="Q74" i="4"/>
  <c r="R64" i="4"/>
  <c r="R65" i="4"/>
  <c r="R66" i="4"/>
  <c r="R68" i="4"/>
  <c r="R69" i="4"/>
  <c r="R70" i="4"/>
  <c r="R72" i="4"/>
  <c r="R73" i="4"/>
  <c r="R74" i="4"/>
  <c r="M64" i="4"/>
  <c r="O64" i="4"/>
  <c r="T64" i="4"/>
  <c r="V64" i="4"/>
  <c r="AG64" i="8"/>
  <c r="X64" i="8" s="1"/>
  <c r="K64" i="22" s="1"/>
  <c r="AG65" i="8"/>
  <c r="X65" i="8" s="1"/>
  <c r="K65" i="22" s="1"/>
  <c r="AG66" i="8"/>
  <c r="X66" i="8" s="1"/>
  <c r="K66" i="22" s="1"/>
  <c r="M65" i="4"/>
  <c r="O65" i="4"/>
  <c r="T65" i="4"/>
  <c r="V65" i="4"/>
  <c r="M66" i="4"/>
  <c r="O66" i="4"/>
  <c r="T66" i="4"/>
  <c r="V66" i="4"/>
  <c r="M68" i="4"/>
  <c r="O68" i="4"/>
  <c r="T68" i="4"/>
  <c r="V68" i="4"/>
  <c r="AG68" i="8"/>
  <c r="X68" i="8" s="1"/>
  <c r="K68" i="22" s="1"/>
  <c r="AG69" i="8"/>
  <c r="X69" i="8" s="1"/>
  <c r="K69" i="22" s="1"/>
  <c r="AG70" i="8"/>
  <c r="X70" i="8" s="1"/>
  <c r="K70" i="22" s="1"/>
  <c r="M69" i="4"/>
  <c r="O69" i="4"/>
  <c r="T69" i="4"/>
  <c r="V69" i="4"/>
  <c r="M70" i="4"/>
  <c r="O70" i="4"/>
  <c r="T70" i="4"/>
  <c r="V70" i="4"/>
  <c r="M72" i="4"/>
  <c r="O72" i="4"/>
  <c r="T72" i="4"/>
  <c r="V72" i="4"/>
  <c r="M73" i="4"/>
  <c r="O73" i="4"/>
  <c r="T73" i="4"/>
  <c r="V73" i="4"/>
  <c r="M74" i="4"/>
  <c r="O74" i="4"/>
  <c r="T74" i="4"/>
  <c r="V74" i="4"/>
  <c r="Q77" i="4"/>
  <c r="Q78" i="4"/>
  <c r="Q80" i="4"/>
  <c r="Q81" i="4"/>
  <c r="Q82" i="4"/>
  <c r="Q83" i="4"/>
  <c r="Q84" i="4"/>
  <c r="Q85" i="4"/>
  <c r="Q87" i="4"/>
  <c r="Q88" i="4"/>
  <c r="Q89" i="4"/>
  <c r="Q91" i="4"/>
  <c r="Q92" i="4"/>
  <c r="Q93" i="4"/>
  <c r="Q94" i="4"/>
  <c r="Q95" i="4"/>
  <c r="R77" i="4"/>
  <c r="R78" i="4"/>
  <c r="R80" i="4"/>
  <c r="R81" i="4"/>
  <c r="R82" i="4"/>
  <c r="R83" i="4"/>
  <c r="R84" i="4"/>
  <c r="R85" i="4"/>
  <c r="R87" i="4"/>
  <c r="R88" i="4"/>
  <c r="R89" i="4"/>
  <c r="R91" i="4"/>
  <c r="R92" i="4"/>
  <c r="R93" i="4"/>
  <c r="R94" i="4"/>
  <c r="R95" i="4"/>
  <c r="X77" i="4"/>
  <c r="X78" i="4"/>
  <c r="M77" i="4"/>
  <c r="O77" i="4"/>
  <c r="T77" i="4"/>
  <c r="V77" i="4"/>
  <c r="AG77" i="8"/>
  <c r="X77" i="8" s="1"/>
  <c r="K77" i="22" s="1"/>
  <c r="AG78" i="8"/>
  <c r="X78" i="8" s="1"/>
  <c r="K78" i="22" s="1"/>
  <c r="M78" i="4"/>
  <c r="O78" i="4"/>
  <c r="T78" i="4"/>
  <c r="V78" i="4"/>
  <c r="M80" i="4"/>
  <c r="O80" i="4"/>
  <c r="T80" i="4"/>
  <c r="V80" i="4"/>
  <c r="AG80" i="8"/>
  <c r="X80" i="8" s="1"/>
  <c r="K80" i="22" s="1"/>
  <c r="AG81" i="8"/>
  <c r="X81" i="8" s="1"/>
  <c r="K81" i="22" s="1"/>
  <c r="AG82" i="8"/>
  <c r="X82" i="8" s="1"/>
  <c r="K82" i="22" s="1"/>
  <c r="AG83" i="8"/>
  <c r="X83" i="8" s="1"/>
  <c r="K83" i="22" s="1"/>
  <c r="AG84" i="8"/>
  <c r="X84" i="8" s="1"/>
  <c r="K84" i="22" s="1"/>
  <c r="AG85" i="8"/>
  <c r="X85" i="8" s="1"/>
  <c r="K85" i="22" s="1"/>
  <c r="M81" i="4"/>
  <c r="O81" i="4"/>
  <c r="T81" i="4"/>
  <c r="V81" i="4"/>
  <c r="M82" i="4"/>
  <c r="O82" i="4"/>
  <c r="T82" i="4"/>
  <c r="V82" i="4"/>
  <c r="M83" i="4"/>
  <c r="O83" i="4"/>
  <c r="T83" i="4"/>
  <c r="V83" i="4"/>
  <c r="M84" i="4"/>
  <c r="O84" i="4"/>
  <c r="T84" i="4"/>
  <c r="V84" i="4"/>
  <c r="M85" i="4"/>
  <c r="O85" i="4"/>
  <c r="T85" i="4"/>
  <c r="V85" i="4"/>
  <c r="M87" i="4"/>
  <c r="T87" i="4"/>
  <c r="V87" i="4"/>
  <c r="AG88" i="8"/>
  <c r="X88" i="8" s="1"/>
  <c r="K88" i="22" s="1"/>
  <c r="AG89" i="8"/>
  <c r="X89" i="8" s="1"/>
  <c r="K89" i="22" s="1"/>
  <c r="M88" i="4"/>
  <c r="O88" i="4"/>
  <c r="T88" i="4"/>
  <c r="V88" i="4"/>
  <c r="M89" i="4"/>
  <c r="O89" i="4"/>
  <c r="T89" i="4"/>
  <c r="V89" i="4"/>
  <c r="M91" i="4"/>
  <c r="O91" i="4"/>
  <c r="T91" i="4"/>
  <c r="V91" i="4"/>
  <c r="AG91" i="8"/>
  <c r="X91" i="8" s="1"/>
  <c r="K91" i="22" s="1"/>
  <c r="AG92" i="8"/>
  <c r="X92" i="8" s="1"/>
  <c r="K92" i="22" s="1"/>
  <c r="AG93" i="8"/>
  <c r="X93" i="8" s="1"/>
  <c r="K93" i="22" s="1"/>
  <c r="AG94" i="8"/>
  <c r="X94" i="8" s="1"/>
  <c r="K94" i="22" s="1"/>
  <c r="AG95" i="8"/>
  <c r="X95" i="8" s="1"/>
  <c r="K95" i="22" s="1"/>
  <c r="M92" i="4"/>
  <c r="O92" i="4"/>
  <c r="T92" i="4"/>
  <c r="V92" i="4"/>
  <c r="M93" i="4"/>
  <c r="O93" i="4"/>
  <c r="T93" i="4"/>
  <c r="V93" i="4"/>
  <c r="M94" i="4"/>
  <c r="O94" i="4"/>
  <c r="T94" i="4"/>
  <c r="V94" i="4"/>
  <c r="M95" i="4"/>
  <c r="O95" i="4"/>
  <c r="T95" i="4"/>
  <c r="V95" i="4"/>
  <c r="M96" i="4"/>
  <c r="O96" i="4"/>
  <c r="Q96" i="4"/>
  <c r="R96" i="4"/>
  <c r="R96" i="22" s="1"/>
  <c r="T96" i="4"/>
  <c r="V96" i="4"/>
  <c r="X96" i="4"/>
  <c r="Y96" i="4"/>
  <c r="S96" i="22" s="1"/>
  <c r="AB96" i="4"/>
  <c r="Z96" i="8" s="1"/>
  <c r="M96" i="8" s="1"/>
  <c r="AE96" i="4"/>
  <c r="AI96" i="8" s="1"/>
  <c r="AI96" i="4"/>
  <c r="AD96" i="8" s="1"/>
  <c r="Q96" i="8" s="1"/>
  <c r="Q99" i="4"/>
  <c r="Q100" i="4"/>
  <c r="Q101" i="4"/>
  <c r="Q103" i="4"/>
  <c r="Q104" i="4"/>
  <c r="Q105" i="4"/>
  <c r="Q106" i="4"/>
  <c r="Q107" i="4"/>
  <c r="Q108" i="4"/>
  <c r="R99" i="4"/>
  <c r="R100" i="4"/>
  <c r="R101" i="4"/>
  <c r="R103" i="4"/>
  <c r="R104" i="4"/>
  <c r="R105" i="4"/>
  <c r="R106" i="4"/>
  <c r="R107" i="4"/>
  <c r="R108" i="4"/>
  <c r="X101" i="4"/>
  <c r="M99" i="4"/>
  <c r="O99" i="4"/>
  <c r="T99" i="4"/>
  <c r="V99" i="4"/>
  <c r="AG99" i="8"/>
  <c r="X99" i="8" s="1"/>
  <c r="K99" i="22" s="1"/>
  <c r="AG100" i="8"/>
  <c r="X100" i="8" s="1"/>
  <c r="K100" i="22" s="1"/>
  <c r="M100" i="4"/>
  <c r="O100" i="4"/>
  <c r="T100" i="4"/>
  <c r="V100" i="4"/>
  <c r="M101" i="4"/>
  <c r="O101" i="4"/>
  <c r="T101" i="4"/>
  <c r="V101" i="4"/>
  <c r="M103" i="4"/>
  <c r="O103" i="4"/>
  <c r="AG103" i="8"/>
  <c r="X103" i="8" s="1"/>
  <c r="K103" i="22" s="1"/>
  <c r="AG104" i="8"/>
  <c r="X104" i="8" s="1"/>
  <c r="K104" i="22" s="1"/>
  <c r="AG105" i="8"/>
  <c r="X105" i="8" s="1"/>
  <c r="K105" i="22" s="1"/>
  <c r="AG106" i="8"/>
  <c r="X106" i="8" s="1"/>
  <c r="K106" i="22" s="1"/>
  <c r="AG107" i="8"/>
  <c r="X107" i="8" s="1"/>
  <c r="K107" i="22" s="1"/>
  <c r="AG108" i="8"/>
  <c r="X108" i="8" s="1"/>
  <c r="K108" i="22" s="1"/>
  <c r="M104" i="4"/>
  <c r="O104" i="4"/>
  <c r="M105" i="4"/>
  <c r="O105" i="4"/>
  <c r="M106" i="4"/>
  <c r="O106" i="4"/>
  <c r="M107" i="4"/>
  <c r="O107" i="4"/>
  <c r="M108" i="4"/>
  <c r="O108" i="4"/>
  <c r="M110" i="4"/>
  <c r="O110" i="4"/>
  <c r="Q110" i="4"/>
  <c r="Q111" i="4"/>
  <c r="L112" i="4"/>
  <c r="R112" i="4" s="1"/>
  <c r="R111" i="4"/>
  <c r="Q113" i="4"/>
  <c r="Q114" i="4"/>
  <c r="AG110" i="8"/>
  <c r="X110" i="8" s="1"/>
  <c r="K110" i="22" s="1"/>
  <c r="AG111" i="8"/>
  <c r="X111" i="8" s="1"/>
  <c r="K111" i="22" s="1"/>
  <c r="AG113" i="8"/>
  <c r="X113" i="8" s="1"/>
  <c r="K113" i="22" s="1"/>
  <c r="R113" i="4"/>
  <c r="R114" i="4"/>
  <c r="AG114" i="8"/>
  <c r="X114" i="8" s="1"/>
  <c r="K114" i="22" s="1"/>
  <c r="M111" i="4"/>
  <c r="O111" i="4"/>
  <c r="M113" i="4"/>
  <c r="O113" i="4"/>
  <c r="M114" i="4"/>
  <c r="O114" i="4"/>
  <c r="M115" i="4"/>
  <c r="O115" i="4"/>
  <c r="Q115" i="4"/>
  <c r="R115" i="4"/>
  <c r="R115" i="22" s="1"/>
  <c r="X115" i="4"/>
  <c r="Y115" i="4"/>
  <c r="S115" i="22" s="1"/>
  <c r="AB115" i="4"/>
  <c r="Z115" i="8" s="1"/>
  <c r="M115" i="8" s="1"/>
  <c r="AE115" i="4"/>
  <c r="AI115" i="4"/>
  <c r="AD115" i="8" s="1"/>
  <c r="Q115" i="8" s="1"/>
  <c r="AB116" i="4"/>
  <c r="Z116" i="8" s="1"/>
  <c r="AE116" i="4"/>
  <c r="AI116" i="8" s="1"/>
  <c r="AI116" i="4"/>
  <c r="AD116" i="8" s="1"/>
  <c r="R127" i="4"/>
  <c r="R128" i="4"/>
  <c r="R129" i="4"/>
  <c r="R130" i="4"/>
  <c r="R131" i="4"/>
  <c r="R132" i="4"/>
  <c r="M118" i="4"/>
  <c r="O118" i="4"/>
  <c r="Q118" i="4"/>
  <c r="Q124" i="4"/>
  <c r="Q125" i="4"/>
  <c r="Q126" i="4"/>
  <c r="Q127" i="4"/>
  <c r="Q128" i="4"/>
  <c r="Q129" i="4"/>
  <c r="Q130" i="4"/>
  <c r="Q131" i="4"/>
  <c r="Q132" i="4"/>
  <c r="M120" i="4"/>
  <c r="O120" i="4"/>
  <c r="M122" i="4"/>
  <c r="O122" i="4"/>
  <c r="M123" i="4"/>
  <c r="O123" i="4"/>
  <c r="M125" i="4"/>
  <c r="O125" i="4"/>
  <c r="X125" i="4"/>
  <c r="X126" i="4"/>
  <c r="X132" i="4"/>
  <c r="O126" i="4"/>
  <c r="M127" i="4"/>
  <c r="O127" i="4"/>
  <c r="AG127" i="8"/>
  <c r="X127" i="8" s="1"/>
  <c r="K127" i="22" s="1"/>
  <c r="AG128" i="8"/>
  <c r="X128" i="8" s="1"/>
  <c r="K128" i="22" s="1"/>
  <c r="AG129" i="8"/>
  <c r="X129" i="8" s="1"/>
  <c r="K129" i="22" s="1"/>
  <c r="AG130" i="8"/>
  <c r="X130" i="8" s="1"/>
  <c r="K130" i="22" s="1"/>
  <c r="AG131" i="8"/>
  <c r="X131" i="8" s="1"/>
  <c r="K131" i="22" s="1"/>
  <c r="O128" i="4"/>
  <c r="O129" i="4"/>
  <c r="O130" i="4"/>
  <c r="O131" i="4"/>
  <c r="X143" i="4"/>
  <c r="Q146" i="4"/>
  <c r="L155" i="4"/>
  <c r="Q155" i="4" s="1"/>
  <c r="R146" i="4"/>
  <c r="Q142" i="4"/>
  <c r="Q143" i="4"/>
  <c r="Q144" i="4"/>
  <c r="Q145" i="4"/>
  <c r="AG142" i="8"/>
  <c r="X142" i="8" s="1"/>
  <c r="K142" i="22" s="1"/>
  <c r="R142" i="4"/>
  <c r="R143" i="4"/>
  <c r="R143" i="22" s="1"/>
  <c r="R144" i="4"/>
  <c r="R145" i="4"/>
  <c r="AK142" i="8"/>
  <c r="AB142" i="8" s="1"/>
  <c r="L142" i="22" s="1"/>
  <c r="Y142" i="4"/>
  <c r="Y143" i="4"/>
  <c r="S143" i="22" s="1"/>
  <c r="M142" i="4"/>
  <c r="O142" i="4"/>
  <c r="X142" i="4"/>
  <c r="M144" i="4"/>
  <c r="O144" i="4"/>
  <c r="AG144" i="8"/>
  <c r="X144" i="8" s="1"/>
  <c r="K144" i="22" s="1"/>
  <c r="AG145" i="8"/>
  <c r="X145" i="8" s="1"/>
  <c r="K145" i="22" s="1"/>
  <c r="M145" i="4"/>
  <c r="O145" i="4"/>
  <c r="M147" i="4"/>
  <c r="O147" i="4"/>
  <c r="Q147" i="4"/>
  <c r="R147" i="4"/>
  <c r="Q148" i="4"/>
  <c r="Q149" i="4"/>
  <c r="Q150" i="4"/>
  <c r="Q151" i="4"/>
  <c r="Q152" i="4"/>
  <c r="R148" i="4"/>
  <c r="R149" i="4"/>
  <c r="R150" i="4"/>
  <c r="R151" i="4"/>
  <c r="R152" i="4"/>
  <c r="AG147" i="8"/>
  <c r="X147" i="8" s="1"/>
  <c r="K147" i="22" s="1"/>
  <c r="AG148" i="8"/>
  <c r="X148" i="8" s="1"/>
  <c r="K148" i="22" s="1"/>
  <c r="AG149" i="8"/>
  <c r="X149" i="8" s="1"/>
  <c r="K149" i="22" s="1"/>
  <c r="AG150" i="8"/>
  <c r="X150" i="8" s="1"/>
  <c r="K150" i="22" s="1"/>
  <c r="AG151" i="8"/>
  <c r="X151" i="8" s="1"/>
  <c r="K151" i="22" s="1"/>
  <c r="AG152" i="8"/>
  <c r="X152" i="8" s="1"/>
  <c r="K152" i="22" s="1"/>
  <c r="M148" i="4"/>
  <c r="O148" i="4"/>
  <c r="M149" i="4"/>
  <c r="O149" i="4"/>
  <c r="M150" i="4"/>
  <c r="O150" i="4"/>
  <c r="M151" i="4"/>
  <c r="O151" i="4"/>
  <c r="M152" i="4"/>
  <c r="O152" i="4"/>
  <c r="M154" i="4"/>
  <c r="O154" i="4"/>
  <c r="Q154" i="4"/>
  <c r="R154" i="4"/>
  <c r="Q156" i="4"/>
  <c r="Q157" i="4"/>
  <c r="Q158" i="4"/>
  <c r="R156" i="4"/>
  <c r="R157" i="4"/>
  <c r="R158" i="4"/>
  <c r="AG154" i="8"/>
  <c r="X154" i="8" s="1"/>
  <c r="K154" i="22" s="1"/>
  <c r="M156" i="4"/>
  <c r="O156" i="4"/>
  <c r="AG156" i="8"/>
  <c r="X156" i="8" s="1"/>
  <c r="K156" i="22" s="1"/>
  <c r="AG157" i="8"/>
  <c r="X157" i="8" s="1"/>
  <c r="K157" i="22" s="1"/>
  <c r="AG158" i="8"/>
  <c r="X158" i="8" s="1"/>
  <c r="K158" i="22" s="1"/>
  <c r="M157" i="4"/>
  <c r="O157" i="4"/>
  <c r="M158" i="4"/>
  <c r="O158" i="4"/>
  <c r="Q160" i="4"/>
  <c r="R160" i="4"/>
  <c r="X160" i="4"/>
  <c r="Y160" i="4"/>
  <c r="L164" i="4"/>
  <c r="Q164" i="4" s="1"/>
  <c r="L178" i="4"/>
  <c r="L174" i="4"/>
  <c r="L170" i="4"/>
  <c r="X161" i="4"/>
  <c r="X178" i="4"/>
  <c r="AK160" i="8"/>
  <c r="AB160" i="8" s="1"/>
  <c r="L160" i="22" s="1"/>
  <c r="M162" i="4"/>
  <c r="O162" i="4"/>
  <c r="Q162" i="4"/>
  <c r="R162" i="4"/>
  <c r="Q163" i="4"/>
  <c r="Q165" i="4"/>
  <c r="Q166" i="4"/>
  <c r="Q167" i="4"/>
  <c r="Q168" i="4"/>
  <c r="R163" i="4"/>
  <c r="R165" i="4"/>
  <c r="R166" i="4"/>
  <c r="R167" i="4"/>
  <c r="R168" i="4"/>
  <c r="AG162" i="8"/>
  <c r="X162" i="8" s="1"/>
  <c r="K162" i="22" s="1"/>
  <c r="AG163" i="8"/>
  <c r="X163" i="8" s="1"/>
  <c r="K163" i="22" s="1"/>
  <c r="M163" i="4"/>
  <c r="O163" i="4"/>
  <c r="M165" i="4"/>
  <c r="O165" i="4"/>
  <c r="AG165" i="8"/>
  <c r="X165" i="8" s="1"/>
  <c r="K165" i="22" s="1"/>
  <c r="AG166" i="8"/>
  <c r="X166" i="8" s="1"/>
  <c r="K166" i="22" s="1"/>
  <c r="AG167" i="8"/>
  <c r="X167" i="8" s="1"/>
  <c r="K167" i="22" s="1"/>
  <c r="AG168" i="8"/>
  <c r="X168" i="8" s="1"/>
  <c r="K168" i="22" s="1"/>
  <c r="M166" i="4"/>
  <c r="O166" i="4"/>
  <c r="M167" i="4"/>
  <c r="O167" i="4"/>
  <c r="M168" i="4"/>
  <c r="O168" i="4"/>
  <c r="X170" i="4"/>
  <c r="Q179" i="4"/>
  <c r="Q180" i="4"/>
  <c r="R171" i="4"/>
  <c r="R172" i="4"/>
  <c r="R173" i="4"/>
  <c r="R179" i="4"/>
  <c r="R180" i="4"/>
  <c r="X174" i="4"/>
  <c r="M171" i="4"/>
  <c r="O171" i="4"/>
  <c r="AG171" i="8"/>
  <c r="X171" i="8" s="1"/>
  <c r="K171" i="22" s="1"/>
  <c r="AG172" i="8"/>
  <c r="X172" i="8" s="1"/>
  <c r="K172" i="22" s="1"/>
  <c r="AG173" i="8"/>
  <c r="X173" i="8" s="1"/>
  <c r="K173" i="22" s="1"/>
  <c r="M172" i="4"/>
  <c r="O172" i="4"/>
  <c r="M173" i="4"/>
  <c r="O173" i="4"/>
  <c r="M175" i="4"/>
  <c r="O175" i="4"/>
  <c r="M176" i="4"/>
  <c r="O176" i="4"/>
  <c r="M179" i="4"/>
  <c r="O179" i="4"/>
  <c r="AG179" i="8"/>
  <c r="X179" i="8" s="1"/>
  <c r="K179" i="22" s="1"/>
  <c r="AG180" i="8"/>
  <c r="X180" i="8" s="1"/>
  <c r="K180" i="22" s="1"/>
  <c r="M180" i="4"/>
  <c r="O180" i="4"/>
  <c r="B2" i="8"/>
  <c r="S2" i="8"/>
  <c r="B3" i="8"/>
  <c r="S3" i="8"/>
  <c r="H5" i="8"/>
  <c r="AG30" i="8"/>
  <c r="X30" i="8" s="1"/>
  <c r="K30" i="22" s="1"/>
  <c r="AA61" i="8"/>
  <c r="L61" i="47" s="1"/>
  <c r="AB61" i="8"/>
  <c r="L61" i="22" s="1"/>
  <c r="W96" i="8"/>
  <c r="K96" i="47" s="1"/>
  <c r="X96" i="8"/>
  <c r="K96" i="22" s="1"/>
  <c r="G96" i="22" s="1"/>
  <c r="AA96" i="8"/>
  <c r="L96" i="47" s="1"/>
  <c r="H96" i="47" s="1"/>
  <c r="AB96" i="8"/>
  <c r="L96" i="22" s="1"/>
  <c r="H96" i="22" s="1"/>
  <c r="AG101" i="8"/>
  <c r="X101" i="8" s="1"/>
  <c r="K101" i="22" s="1"/>
  <c r="AA109" i="8"/>
  <c r="L109" i="47" s="1"/>
  <c r="AB109" i="8"/>
  <c r="L109" i="22" s="1"/>
  <c r="AA116" i="8"/>
  <c r="L116" i="47" s="1"/>
  <c r="AB116" i="8"/>
  <c r="L116" i="22" s="1"/>
  <c r="H116" i="22" s="1"/>
  <c r="N5" i="9"/>
  <c r="D8" i="9"/>
  <c r="J8" i="9"/>
  <c r="D9" i="9"/>
  <c r="J9" i="9"/>
  <c r="D10" i="9"/>
  <c r="J10" i="9"/>
  <c r="D11" i="9"/>
  <c r="J11" i="9"/>
  <c r="J12" i="9"/>
  <c r="D13" i="9"/>
  <c r="F13" i="9"/>
  <c r="J13" i="9"/>
  <c r="D14" i="9"/>
  <c r="J14" i="9"/>
  <c r="E15" i="9"/>
  <c r="J15" i="9"/>
  <c r="E16" i="9"/>
  <c r="J16" i="9"/>
  <c r="J17" i="9"/>
  <c r="N17" i="9"/>
  <c r="D18" i="9"/>
  <c r="J18" i="9"/>
  <c r="N18" i="9"/>
  <c r="N19" i="9"/>
  <c r="N20" i="9"/>
  <c r="U28" i="9"/>
  <c r="Z32" i="9"/>
  <c r="Z33" i="9"/>
  <c r="C41" i="9"/>
  <c r="H41" i="9"/>
  <c r="L41" i="9"/>
  <c r="C52" i="9"/>
  <c r="H52" i="9"/>
  <c r="L52" i="9"/>
  <c r="N5" i="10"/>
  <c r="D8" i="10"/>
  <c r="J8" i="10"/>
  <c r="D9" i="10"/>
  <c r="J9" i="10"/>
  <c r="D10" i="10"/>
  <c r="J10" i="10"/>
  <c r="D11" i="10"/>
  <c r="J11" i="10"/>
  <c r="J12" i="10"/>
  <c r="D13" i="10"/>
  <c r="J13" i="10"/>
  <c r="D14" i="10"/>
  <c r="J14" i="10"/>
  <c r="E15" i="10"/>
  <c r="J15" i="10"/>
  <c r="E16" i="10"/>
  <c r="J16" i="10"/>
  <c r="U28" i="10"/>
  <c r="Z32" i="10"/>
  <c r="Z33" i="10"/>
  <c r="C41" i="10"/>
  <c r="H41" i="10"/>
  <c r="L41" i="10"/>
  <c r="C52" i="10"/>
  <c r="H52" i="10"/>
  <c r="L52" i="10"/>
  <c r="N5" i="11"/>
  <c r="D9" i="11"/>
  <c r="J9" i="11"/>
  <c r="N9" i="11"/>
  <c r="D11" i="11"/>
  <c r="J11" i="11"/>
  <c r="N11" i="11"/>
  <c r="E12" i="11"/>
  <c r="J12" i="11"/>
  <c r="N12" i="11"/>
  <c r="D14" i="11"/>
  <c r="J14" i="11"/>
  <c r="D15" i="11"/>
  <c r="J15" i="11"/>
  <c r="N15" i="11"/>
  <c r="D16" i="11"/>
  <c r="J16" i="11"/>
  <c r="N16" i="11"/>
  <c r="D17" i="11"/>
  <c r="J17" i="11"/>
  <c r="N17" i="11"/>
  <c r="N18" i="11"/>
  <c r="N19" i="11"/>
  <c r="U28" i="11"/>
  <c r="Z32" i="11"/>
  <c r="Z33" i="11"/>
  <c r="C41" i="11"/>
  <c r="H41" i="11"/>
  <c r="L41" i="11"/>
  <c r="C52" i="11"/>
  <c r="H52" i="11"/>
  <c r="L52" i="11"/>
  <c r="B65" i="11"/>
  <c r="L65" i="11"/>
  <c r="B66" i="11"/>
  <c r="H66" i="11"/>
  <c r="L66" i="11"/>
  <c r="B67" i="11"/>
  <c r="H67" i="11"/>
  <c r="L67" i="11"/>
  <c r="B68" i="11"/>
  <c r="H68" i="11"/>
  <c r="L68" i="11"/>
  <c r="B69" i="11"/>
  <c r="H69" i="11"/>
  <c r="L69" i="11"/>
  <c r="F2" i="12"/>
  <c r="F3" i="12"/>
  <c r="D7" i="12"/>
  <c r="E7" i="12" s="1"/>
  <c r="F2" i="13"/>
  <c r="F3" i="13"/>
  <c r="D7" i="13"/>
  <c r="E7" i="13" s="1"/>
  <c r="F2" i="15"/>
  <c r="F3" i="15"/>
  <c r="D7" i="15"/>
  <c r="E7" i="15" s="1"/>
  <c r="F2" i="16"/>
  <c r="F3" i="16"/>
  <c r="D7" i="16"/>
  <c r="E7" i="16" s="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8" i="21"/>
  <c r="C178" i="21"/>
  <c r="B179" i="21"/>
  <c r="C179" i="21"/>
  <c r="B180" i="21"/>
  <c r="C180" i="21"/>
  <c r="B8" i="22"/>
  <c r="C8" i="22"/>
  <c r="AN8" i="22"/>
  <c r="AH8" i="22" s="1"/>
  <c r="AO8" i="22"/>
  <c r="AI8" i="22" s="1"/>
  <c r="K115" i="22"/>
  <c r="G115" i="22" s="1"/>
  <c r="L115" i="22"/>
  <c r="H115" i="22" s="1"/>
  <c r="R116" i="22"/>
  <c r="S116" i="22"/>
  <c r="N44" i="22"/>
  <c r="AB44" i="4" s="1"/>
  <c r="Z44" i="8" s="1"/>
  <c r="M44" i="8" s="1"/>
  <c r="N45" i="22"/>
  <c r="AB45" i="4" s="1"/>
  <c r="Z45" i="8" s="1"/>
  <c r="M45" i="8" s="1"/>
  <c r="S63" i="2" l="1"/>
  <c r="F31" i="60"/>
  <c r="O31" i="60" s="1"/>
  <c r="U31" i="60" s="1"/>
  <c r="R71" i="4"/>
  <c r="R71" i="22" s="1"/>
  <c r="L153" i="4"/>
  <c r="Q153" i="4" s="1"/>
  <c r="Q112" i="4"/>
  <c r="Y35" i="4"/>
  <c r="S35" i="22" s="1"/>
  <c r="H45" i="22"/>
  <c r="AL96" i="8"/>
  <c r="X102" i="4"/>
  <c r="X67" i="4"/>
  <c r="Y28" i="10"/>
  <c r="Y32" i="10" s="1"/>
  <c r="W28" i="10"/>
  <c r="Q178" i="4"/>
  <c r="R178" i="4"/>
  <c r="R178" i="22" s="1"/>
  <c r="V33" i="4"/>
  <c r="R35" i="4"/>
  <c r="R35" i="22" s="1"/>
  <c r="Q35" i="4"/>
  <c r="U33" i="10"/>
  <c r="L169" i="4"/>
  <c r="R76" i="4"/>
  <c r="R76" i="22" s="1"/>
  <c r="Q76" i="4"/>
  <c r="Q67" i="4"/>
  <c r="R67" i="4"/>
  <c r="R67" i="22" s="1"/>
  <c r="T33" i="4"/>
  <c r="X33" i="4"/>
  <c r="R56" i="2"/>
  <c r="F29" i="60" s="1"/>
  <c r="R164" i="4"/>
  <c r="R164" i="22" s="1"/>
  <c r="L161" i="4"/>
  <c r="R161" i="4" s="1"/>
  <c r="S54" i="2"/>
  <c r="F28" i="60"/>
  <c r="R28" i="60" s="1"/>
  <c r="F27" i="60"/>
  <c r="R27" i="60" s="1"/>
  <c r="S49" i="2"/>
  <c r="H118" i="60"/>
  <c r="T74" i="59"/>
  <c r="X53" i="4"/>
  <c r="G45" i="22"/>
  <c r="H44" i="22"/>
  <c r="G44" i="22"/>
  <c r="S57" i="2"/>
  <c r="F30" i="60"/>
  <c r="R30" i="60" s="1"/>
  <c r="Y8" i="47"/>
  <c r="J74" i="59"/>
  <c r="E122" i="47"/>
  <c r="D131" i="47"/>
  <c r="D130" i="47"/>
  <c r="D129" i="47"/>
  <c r="D128" i="47"/>
  <c r="D127" i="47"/>
  <c r="Q53" i="4"/>
  <c r="R21" i="4"/>
  <c r="R21" i="22" s="1"/>
  <c r="F118" i="60"/>
  <c r="F125" i="60" s="1"/>
  <c r="R47" i="2"/>
  <c r="R61" i="2"/>
  <c r="M15" i="59"/>
  <c r="I15" i="59"/>
  <c r="Y49" i="2"/>
  <c r="Y56" i="2"/>
  <c r="Y47" i="2"/>
  <c r="Y57" i="2"/>
  <c r="Y60" i="2"/>
  <c r="Y63" i="2"/>
  <c r="Y61" i="2"/>
  <c r="Y54" i="2"/>
  <c r="M15" i="54"/>
  <c r="I17" i="54" s="1"/>
  <c r="AG118" i="8" s="1"/>
  <c r="O14" i="70" s="1"/>
  <c r="S14" i="70" s="1"/>
  <c r="H44" i="57"/>
  <c r="L44" i="57"/>
  <c r="I50" i="57" s="1"/>
  <c r="M44" i="57"/>
  <c r="L50" i="57" s="1"/>
  <c r="T74" i="54"/>
  <c r="X60" i="2"/>
  <c r="X67" i="2" s="1"/>
  <c r="AI110" i="22"/>
  <c r="AB66" i="22"/>
  <c r="AA35" i="22"/>
  <c r="B35" i="22" s="1"/>
  <c r="D43" i="2"/>
  <c r="F43" i="2" s="1"/>
  <c r="Q67" i="2"/>
  <c r="U35" i="9"/>
  <c r="H27" i="9" s="1"/>
  <c r="H27" i="11"/>
  <c r="W37" i="11"/>
  <c r="AJ119" i="22"/>
  <c r="AP75" i="22"/>
  <c r="AB161" i="22"/>
  <c r="H36" i="11"/>
  <c r="S115" i="8"/>
  <c r="AB116" i="22"/>
  <c r="AI147" i="22"/>
  <c r="AA101" i="22"/>
  <c r="B101" i="22" s="1"/>
  <c r="AC141" i="22"/>
  <c r="C141" i="22" s="1"/>
  <c r="AB82" i="22"/>
  <c r="AB60" i="22"/>
  <c r="AC13" i="22"/>
  <c r="C13" i="22" s="1"/>
  <c r="AJ171" i="22"/>
  <c r="AD157" i="22"/>
  <c r="AD100" i="22"/>
  <c r="AB152" i="22"/>
  <c r="AA94" i="22"/>
  <c r="B94" i="22" s="1"/>
  <c r="AB25" i="22"/>
  <c r="AG33" i="22"/>
  <c r="AC173" i="22"/>
  <c r="C173" i="22" s="1"/>
  <c r="AA128" i="22"/>
  <c r="B128" i="22" s="1"/>
  <c r="AB115" i="22"/>
  <c r="AB74" i="22"/>
  <c r="AA47" i="22"/>
  <c r="B47" i="22" s="1"/>
  <c r="AI163" i="22"/>
  <c r="AG70" i="22"/>
  <c r="AA169" i="22"/>
  <c r="B169" i="22" s="1"/>
  <c r="AB159" i="22"/>
  <c r="AC150" i="22"/>
  <c r="C150" i="22" s="1"/>
  <c r="AE116" i="22"/>
  <c r="AE115" i="22"/>
  <c r="AA110" i="22"/>
  <c r="B110" i="22" s="1"/>
  <c r="AB98" i="22"/>
  <c r="AB91" i="22"/>
  <c r="AB80" i="22"/>
  <c r="AB72" i="22"/>
  <c r="AB64" i="22"/>
  <c r="AA56" i="22"/>
  <c r="B56" i="22" s="1"/>
  <c r="AB43" i="22"/>
  <c r="AB32" i="22"/>
  <c r="AC23" i="22"/>
  <c r="C23" i="22" s="1"/>
  <c r="AL168" i="22"/>
  <c r="AK161" i="22"/>
  <c r="AH153" i="22"/>
  <c r="AD144" i="22"/>
  <c r="AF125" i="22"/>
  <c r="AH113" i="22"/>
  <c r="AF94" i="22"/>
  <c r="AF63" i="22"/>
  <c r="AE19" i="22"/>
  <c r="AA179" i="22"/>
  <c r="B179" i="22" s="1"/>
  <c r="AB166" i="22"/>
  <c r="AC157" i="22"/>
  <c r="C157" i="22" s="1"/>
  <c r="AA148" i="22"/>
  <c r="B148" i="22" s="1"/>
  <c r="C123" i="22"/>
  <c r="AB113" i="22"/>
  <c r="AB107" i="22"/>
  <c r="AL96" i="22"/>
  <c r="AA87" i="22"/>
  <c r="B87" i="22" s="1"/>
  <c r="AB78" i="22"/>
  <c r="AB70" i="22"/>
  <c r="AB62" i="22"/>
  <c r="AA54" i="22"/>
  <c r="B54" i="22" s="1"/>
  <c r="AC39" i="22"/>
  <c r="C39" i="22" s="1"/>
  <c r="AC30" i="22"/>
  <c r="C30" i="22" s="1"/>
  <c r="AC21" i="22"/>
  <c r="C21" i="22" s="1"/>
  <c r="AF179" i="22"/>
  <c r="AE167" i="22"/>
  <c r="AJ117" i="22"/>
  <c r="AJ107" i="22"/>
  <c r="AI88" i="22"/>
  <c r="AB175" i="22"/>
  <c r="AC164" i="22"/>
  <c r="C164" i="22" s="1"/>
  <c r="AA155" i="22"/>
  <c r="B155" i="22" s="1"/>
  <c r="AB145" i="22"/>
  <c r="C130" i="22"/>
  <c r="AA119" i="22"/>
  <c r="B119" i="22" s="1"/>
  <c r="AB111" i="22"/>
  <c r="AC105" i="22"/>
  <c r="C105" i="22" s="1"/>
  <c r="AD96" i="22"/>
  <c r="AC96" i="22"/>
  <c r="C96" i="22" s="1"/>
  <c r="AA85" i="22"/>
  <c r="B85" i="22" s="1"/>
  <c r="AB76" i="22"/>
  <c r="AB68" i="22"/>
  <c r="AC49" i="22"/>
  <c r="C49" i="22" s="1"/>
  <c r="AC37" i="22"/>
  <c r="C37" i="22" s="1"/>
  <c r="AA28" i="22"/>
  <c r="B28" i="22" s="1"/>
  <c r="AB17" i="22"/>
  <c r="AH173" i="22"/>
  <c r="AG165" i="22"/>
  <c r="AE151" i="22"/>
  <c r="AE104" i="22"/>
  <c r="AH81" i="22"/>
  <c r="AI54" i="22"/>
  <c r="AB172" i="22"/>
  <c r="AA168" i="22"/>
  <c r="B168" i="22" s="1"/>
  <c r="AC163" i="22"/>
  <c r="C163" i="22" s="1"/>
  <c r="AA145" i="22"/>
  <c r="B145" i="22" s="1"/>
  <c r="AC140" i="22"/>
  <c r="C140" i="22" s="1"/>
  <c r="AA125" i="22"/>
  <c r="B125" i="22" s="1"/>
  <c r="C120" i="22"/>
  <c r="AA118" i="22"/>
  <c r="B118" i="22" s="1"/>
  <c r="AJ116" i="22"/>
  <c r="AL115" i="22"/>
  <c r="AD115" i="22"/>
  <c r="AC113" i="22"/>
  <c r="C113" i="22" s="1"/>
  <c r="AH110" i="22"/>
  <c r="AC107" i="22"/>
  <c r="C107" i="22" s="1"/>
  <c r="AB93" i="22"/>
  <c r="AC89" i="22"/>
  <c r="C89" i="22" s="1"/>
  <c r="AB86" i="22"/>
  <c r="AC82" i="22"/>
  <c r="C82" i="22" s="1"/>
  <c r="AC70" i="22"/>
  <c r="C70" i="22" s="1"/>
  <c r="AC60" i="22"/>
  <c r="C60" i="22" s="1"/>
  <c r="AB55" i="22"/>
  <c r="AC51" i="22"/>
  <c r="C51" i="22" s="1"/>
  <c r="AB46" i="22"/>
  <c r="AB34" i="22"/>
  <c r="AA30" i="22"/>
  <c r="B30" i="22" s="1"/>
  <c r="AB27" i="22"/>
  <c r="AA23" i="22"/>
  <c r="B23" i="22" s="1"/>
  <c r="AB16" i="22"/>
  <c r="AK178" i="22"/>
  <c r="AF171" i="22"/>
  <c r="AJ166" i="22"/>
  <c r="AE163" i="22"/>
  <c r="AF150" i="22"/>
  <c r="AE143" i="22"/>
  <c r="AK106" i="22"/>
  <c r="AK98" i="22"/>
  <c r="AK86" i="22"/>
  <c r="AI68" i="22"/>
  <c r="AK29" i="22"/>
  <c r="AA177" i="22"/>
  <c r="B177" i="22" s="1"/>
  <c r="AA178" i="22"/>
  <c r="B178" i="22" s="1"/>
  <c r="AB174" i="22"/>
  <c r="AC172" i="22"/>
  <c r="C172" i="22" s="1"/>
  <c r="AA170" i="22"/>
  <c r="B170" i="22" s="1"/>
  <c r="AB167" i="22"/>
  <c r="AC165" i="22"/>
  <c r="C165" i="22" s="1"/>
  <c r="AA163" i="22"/>
  <c r="B163" i="22" s="1"/>
  <c r="AB160" i="22"/>
  <c r="AC156" i="22"/>
  <c r="C156" i="22" s="1"/>
  <c r="AB153" i="22"/>
  <c r="AC149" i="22"/>
  <c r="C149" i="22" s="1"/>
  <c r="AA147" i="22"/>
  <c r="B147" i="22" s="1"/>
  <c r="AB144" i="22"/>
  <c r="AC142" i="22"/>
  <c r="C142" i="22" s="1"/>
  <c r="AA140" i="22"/>
  <c r="B140" i="22" s="1"/>
  <c r="C131" i="22"/>
  <c r="AA127" i="22"/>
  <c r="B127" i="22" s="1"/>
  <c r="C122" i="22"/>
  <c r="B120" i="22"/>
  <c r="AB117" i="22"/>
  <c r="AI116" i="22"/>
  <c r="AI115" i="22"/>
  <c r="AA115" i="22"/>
  <c r="B115" i="22" s="1"/>
  <c r="AB112" i="22"/>
  <c r="AB110" i="22"/>
  <c r="AE110" i="22"/>
  <c r="AB108" i="22"/>
  <c r="AB106" i="22"/>
  <c r="AA102" i="22"/>
  <c r="B102" i="22" s="1"/>
  <c r="AA100" i="22"/>
  <c r="B100" i="22" s="1"/>
  <c r="AC97" i="22"/>
  <c r="C97" i="22" s="1"/>
  <c r="AH96" i="22"/>
  <c r="AA95" i="22"/>
  <c r="B95" i="22" s="1"/>
  <c r="AA93" i="22"/>
  <c r="B93" i="22" s="1"/>
  <c r="AC88" i="22"/>
  <c r="C88" i="22" s="1"/>
  <c r="AA86" i="22"/>
  <c r="B86" i="22" s="1"/>
  <c r="AB83" i="22"/>
  <c r="AB81" i="22"/>
  <c r="AB79" i="22"/>
  <c r="AB77" i="22"/>
  <c r="AB75" i="22"/>
  <c r="AB73" i="22"/>
  <c r="AB71" i="22"/>
  <c r="AB69" i="22"/>
  <c r="AB67" i="22"/>
  <c r="AB65" i="22"/>
  <c r="AB63" i="22"/>
  <c r="AB61" i="22"/>
  <c r="AC57" i="22"/>
  <c r="C57" i="22" s="1"/>
  <c r="AA55" i="22"/>
  <c r="B55" i="22" s="1"/>
  <c r="AB52" i="22"/>
  <c r="AA48" i="22"/>
  <c r="B48" i="22" s="1"/>
  <c r="AA45" i="22"/>
  <c r="B45" i="22" s="1"/>
  <c r="AB40" i="22"/>
  <c r="AC38" i="22"/>
  <c r="C38" i="22" s="1"/>
  <c r="AA36" i="22"/>
  <c r="B36" i="22" s="1"/>
  <c r="AA34" i="22"/>
  <c r="B34" i="22" s="1"/>
  <c r="AC31" i="22"/>
  <c r="C31" i="22" s="1"/>
  <c r="AA29" i="22"/>
  <c r="B29" i="22" s="1"/>
  <c r="AB26" i="22"/>
  <c r="AB24" i="22"/>
  <c r="AC22" i="22"/>
  <c r="C22" i="22" s="1"/>
  <c r="AA20" i="22"/>
  <c r="B20" i="22" s="1"/>
  <c r="AC15" i="22"/>
  <c r="C15" i="22" s="1"/>
  <c r="AB10" i="22"/>
  <c r="AE180" i="22"/>
  <c r="AG178" i="22"/>
  <c r="AI172" i="22"/>
  <c r="AK170" i="22"/>
  <c r="AD168" i="22"/>
  <c r="AF166" i="22"/>
  <c r="AH164" i="22"/>
  <c r="AJ162" i="22"/>
  <c r="AK160" i="22"/>
  <c r="AK158" i="22"/>
  <c r="AF155" i="22"/>
  <c r="AL152" i="22"/>
  <c r="AG149" i="22"/>
  <c r="AK145" i="22"/>
  <c r="AF142" i="22"/>
  <c r="AH159" i="22"/>
  <c r="AL105" i="22"/>
  <c r="AG102" i="22"/>
  <c r="AI97" i="22"/>
  <c r="AL91" i="22"/>
  <c r="AD85" i="22"/>
  <c r="AL77" i="22"/>
  <c r="AK66" i="22"/>
  <c r="AK59" i="22"/>
  <c r="AH47" i="22"/>
  <c r="AF26" i="22"/>
  <c r="AL11" i="22"/>
  <c r="AG130" i="22"/>
  <c r="AJ130" i="22"/>
  <c r="AE126" i="22"/>
  <c r="AI126" i="22"/>
  <c r="AN44" i="22"/>
  <c r="AO45" i="22"/>
  <c r="AO35" i="22"/>
  <c r="AP36" i="22"/>
  <c r="AN38" i="22"/>
  <c r="AN39" i="22"/>
  <c r="AO40" i="22"/>
  <c r="AO41" i="22"/>
  <c r="AP42" i="22"/>
  <c r="AN143" i="22"/>
  <c r="AO144" i="22"/>
  <c r="AP145" i="22"/>
  <c r="AN125" i="22"/>
  <c r="AO126" i="22"/>
  <c r="AP127" i="22"/>
  <c r="AP128" i="22"/>
  <c r="AP129" i="22"/>
  <c r="AM126" i="22"/>
  <c r="AN169" i="22"/>
  <c r="AO174" i="22"/>
  <c r="AN178" i="22"/>
  <c r="AO173" i="22"/>
  <c r="AP172" i="22"/>
  <c r="AN170" i="22"/>
  <c r="AO164" i="22"/>
  <c r="AP163" i="22"/>
  <c r="AN161" i="22"/>
  <c r="AO160" i="22"/>
  <c r="AP159" i="22"/>
  <c r="AN157" i="22"/>
  <c r="AO156" i="22"/>
  <c r="AP155" i="22"/>
  <c r="AN153" i="22"/>
  <c r="AO152" i="22"/>
  <c r="AP151" i="22"/>
  <c r="AN149" i="22"/>
  <c r="AO148" i="22"/>
  <c r="AP147" i="22"/>
  <c r="AN142" i="22"/>
  <c r="AO140" i="22"/>
  <c r="AP137" i="22"/>
  <c r="AN133" i="22"/>
  <c r="AO123" i="22"/>
  <c r="AP122" i="22"/>
  <c r="AN120" i="22"/>
  <c r="AO119" i="22"/>
  <c r="AP118" i="22"/>
  <c r="AN116" i="22"/>
  <c r="AO115" i="22"/>
  <c r="AP114" i="22"/>
  <c r="AN112" i="22"/>
  <c r="AO111" i="22"/>
  <c r="AP110" i="22"/>
  <c r="AN108" i="22"/>
  <c r="AO107" i="22"/>
  <c r="AP106" i="22"/>
  <c r="AN104" i="22"/>
  <c r="AO103" i="22"/>
  <c r="AP102" i="22"/>
  <c r="AN100" i="22"/>
  <c r="AO99" i="22"/>
  <c r="AP98" i="22"/>
  <c r="AN96" i="22"/>
  <c r="AO95" i="22"/>
  <c r="AP94" i="22"/>
  <c r="AN92" i="22"/>
  <c r="AO91" i="22"/>
  <c r="AP90" i="22"/>
  <c r="AN83" i="22"/>
  <c r="AO82" i="22"/>
  <c r="AP81" i="22"/>
  <c r="AN79" i="22"/>
  <c r="AO78" i="22"/>
  <c r="AP77" i="22"/>
  <c r="AN75" i="22"/>
  <c r="AO74" i="22"/>
  <c r="AP73" i="22"/>
  <c r="AN71" i="22"/>
  <c r="AO70" i="22"/>
  <c r="AP69" i="22"/>
  <c r="AN67" i="22"/>
  <c r="AF126" i="22"/>
  <c r="AJ126" i="22"/>
  <c r="AN34" i="22"/>
  <c r="AO44" i="22"/>
  <c r="AP45" i="22"/>
  <c r="AP35" i="22"/>
  <c r="AN37" i="22"/>
  <c r="AO38" i="22"/>
  <c r="AO39" i="22"/>
  <c r="AP40" i="22"/>
  <c r="AP41" i="22"/>
  <c r="AN141" i="22"/>
  <c r="AO143" i="22"/>
  <c r="AP144" i="22"/>
  <c r="AN124" i="22"/>
  <c r="AO125" i="22"/>
  <c r="AP126" i="22"/>
  <c r="AN131" i="22"/>
  <c r="AN132" i="22"/>
  <c r="AO169" i="22"/>
  <c r="AP174" i="22"/>
  <c r="AO178" i="22"/>
  <c r="AP173" i="22"/>
  <c r="AN171" i="22"/>
  <c r="AO170" i="22"/>
  <c r="AP164" i="22"/>
  <c r="AN162" i="22"/>
  <c r="AO161" i="22"/>
  <c r="AP160" i="22"/>
  <c r="AN158" i="22"/>
  <c r="AO157" i="22"/>
  <c r="AP156" i="22"/>
  <c r="AN154" i="22"/>
  <c r="AO153" i="22"/>
  <c r="AP152" i="22"/>
  <c r="AN150" i="22"/>
  <c r="AO149" i="22"/>
  <c r="AP148" i="22"/>
  <c r="AN146" i="22"/>
  <c r="AO142" i="22"/>
  <c r="AP140" i="22"/>
  <c r="AN134" i="22"/>
  <c r="AO133" i="22"/>
  <c r="AP123" i="22"/>
  <c r="AN121" i="22"/>
  <c r="AO120" i="22"/>
  <c r="AP119" i="22"/>
  <c r="AN117" i="22"/>
  <c r="AO116" i="22"/>
  <c r="AP115" i="22"/>
  <c r="AN113" i="22"/>
  <c r="AO112" i="22"/>
  <c r="AP111" i="22"/>
  <c r="AN109" i="22"/>
  <c r="AO108" i="22"/>
  <c r="AP107" i="22"/>
  <c r="AN105" i="22"/>
  <c r="AO104" i="22"/>
  <c r="AP103" i="22"/>
  <c r="AN101" i="22"/>
  <c r="AO100" i="22"/>
  <c r="AP99" i="22"/>
  <c r="AN97" i="22"/>
  <c r="AO96" i="22"/>
  <c r="AP95" i="22"/>
  <c r="AN93" i="22"/>
  <c r="AO92" i="22"/>
  <c r="AP91" i="22"/>
  <c r="AN85" i="22"/>
  <c r="AO83" i="22"/>
  <c r="AP82" i="22"/>
  <c r="AN80" i="22"/>
  <c r="AO79" i="22"/>
  <c r="AP78" i="22"/>
  <c r="AN76" i="22"/>
  <c r="AO75" i="22"/>
  <c r="AP74" i="22"/>
  <c r="AN72" i="22"/>
  <c r="AO71" i="22"/>
  <c r="AP70" i="22"/>
  <c r="AN68" i="22"/>
  <c r="AO67" i="22"/>
  <c r="AH126" i="22"/>
  <c r="AP34" i="22"/>
  <c r="AN35" i="22"/>
  <c r="AP37" i="22"/>
  <c r="AN40" i="22"/>
  <c r="AO42" i="22"/>
  <c r="AN144" i="22"/>
  <c r="AP124" i="22"/>
  <c r="AO127" i="22"/>
  <c r="AN130" i="22"/>
  <c r="AP131" i="22"/>
  <c r="AN174" i="22"/>
  <c r="AN173" i="22"/>
  <c r="AP171" i="22"/>
  <c r="AO163" i="22"/>
  <c r="AN160" i="22"/>
  <c r="AP158" i="22"/>
  <c r="AO155" i="22"/>
  <c r="AN152" i="22"/>
  <c r="AP150" i="22"/>
  <c r="AO147" i="22"/>
  <c r="AN140" i="22"/>
  <c r="AP134" i="22"/>
  <c r="AO122" i="22"/>
  <c r="AN119" i="22"/>
  <c r="AP117" i="22"/>
  <c r="AO114" i="22"/>
  <c r="AN111" i="22"/>
  <c r="AP109" i="22"/>
  <c r="AO106" i="22"/>
  <c r="AN103" i="22"/>
  <c r="AP101" i="22"/>
  <c r="AO98" i="22"/>
  <c r="AN95" i="22"/>
  <c r="AP93" i="22"/>
  <c r="AO90" i="22"/>
  <c r="AN82" i="22"/>
  <c r="AP80" i="22"/>
  <c r="AO77" i="22"/>
  <c r="AN74" i="22"/>
  <c r="AP72" i="22"/>
  <c r="AO69" i="22"/>
  <c r="AN66" i="22"/>
  <c r="AO65" i="22"/>
  <c r="AP64" i="22"/>
  <c r="AN62" i="22"/>
  <c r="AO61" i="22"/>
  <c r="AP60" i="22"/>
  <c r="AN58" i="22"/>
  <c r="AO57" i="22"/>
  <c r="AP56" i="22"/>
  <c r="AN54" i="22"/>
  <c r="AO53" i="22"/>
  <c r="AP52" i="22"/>
  <c r="AN50" i="22"/>
  <c r="AO49" i="22"/>
  <c r="AP48" i="22"/>
  <c r="AN33" i="22"/>
  <c r="AO32" i="22"/>
  <c r="AP31" i="22"/>
  <c r="AN29" i="22"/>
  <c r="AO28" i="22"/>
  <c r="AP27" i="22"/>
  <c r="AN25" i="22"/>
  <c r="AO24" i="22"/>
  <c r="AP23" i="22"/>
  <c r="AN21" i="22"/>
  <c r="AO20" i="22"/>
  <c r="AP19" i="22"/>
  <c r="AN17" i="22"/>
  <c r="AO16" i="22"/>
  <c r="AP15" i="22"/>
  <c r="AN13" i="22"/>
  <c r="AO12" i="22"/>
  <c r="AP11" i="22"/>
  <c r="AM9" i="22"/>
  <c r="AM13" i="22"/>
  <c r="AM17" i="22"/>
  <c r="AM21" i="22"/>
  <c r="AM25" i="22"/>
  <c r="AM29" i="22"/>
  <c r="AM33" i="22"/>
  <c r="AM37" i="22"/>
  <c r="AM41" i="22"/>
  <c r="AM45" i="22"/>
  <c r="AM49" i="22"/>
  <c r="AM53" i="22"/>
  <c r="AM57" i="22"/>
  <c r="AM61" i="22"/>
  <c r="AM65" i="22"/>
  <c r="AM69" i="22"/>
  <c r="AM73" i="22"/>
  <c r="AM77" i="22"/>
  <c r="AM81" i="22"/>
  <c r="AM85" i="22"/>
  <c r="AM89" i="22"/>
  <c r="AM93" i="22"/>
  <c r="AM97" i="22"/>
  <c r="AM101" i="22"/>
  <c r="AM105" i="22"/>
  <c r="AM109" i="22"/>
  <c r="AM113" i="22"/>
  <c r="AM117" i="22"/>
  <c r="AM125" i="22"/>
  <c r="AM130" i="22"/>
  <c r="AM134" i="22"/>
  <c r="AM142" i="22"/>
  <c r="AM146" i="22"/>
  <c r="AM150" i="22"/>
  <c r="AM154" i="22"/>
  <c r="AM158" i="22"/>
  <c r="AM162" i="22"/>
  <c r="AM166" i="22"/>
  <c r="AM170" i="22"/>
  <c r="AM174" i="22"/>
  <c r="AM178" i="22"/>
  <c r="AK177" i="22"/>
  <c r="AG177" i="22"/>
  <c r="AC177" i="22"/>
  <c r="C177" i="22" s="1"/>
  <c r="AE169" i="22"/>
  <c r="AI169" i="22"/>
  <c r="AD174" i="22"/>
  <c r="AH174" i="22"/>
  <c r="AL174" i="22"/>
  <c r="AG175" i="22"/>
  <c r="AK175" i="22"/>
  <c r="AF176" i="22"/>
  <c r="AJ176" i="22"/>
  <c r="AG62" i="22"/>
  <c r="AK62" i="22"/>
  <c r="AF71" i="22"/>
  <c r="AJ71" i="22"/>
  <c r="AE72" i="22"/>
  <c r="AI72" i="22"/>
  <c r="AD73" i="22"/>
  <c r="AH73" i="22"/>
  <c r="AL73" i="22"/>
  <c r="AG74" i="22"/>
  <c r="AK74" i="22"/>
  <c r="AG34" i="22"/>
  <c r="AK34" i="22"/>
  <c r="AF39" i="22"/>
  <c r="AJ39" i="22"/>
  <c r="AE40" i="22"/>
  <c r="AI40" i="22"/>
  <c r="AD41" i="22"/>
  <c r="AH41" i="22"/>
  <c r="AL41" i="22"/>
  <c r="AG42" i="22"/>
  <c r="AK42" i="22"/>
  <c r="AC42" i="22"/>
  <c r="C42" i="22" s="1"/>
  <c r="AK126" i="22"/>
  <c r="AN36" i="22"/>
  <c r="AP38" i="22"/>
  <c r="AO141" i="22"/>
  <c r="AN145" i="22"/>
  <c r="AP125" i="22"/>
  <c r="AN129" i="22"/>
  <c r="AO130" i="22"/>
  <c r="AN172" i="22"/>
  <c r="AP170" i="22"/>
  <c r="AO162" i="22"/>
  <c r="AN159" i="22"/>
  <c r="AP157" i="22"/>
  <c r="AO154" i="22"/>
  <c r="AN151" i="22"/>
  <c r="AP149" i="22"/>
  <c r="AO146" i="22"/>
  <c r="AN137" i="22"/>
  <c r="AP133" i="22"/>
  <c r="AO121" i="22"/>
  <c r="AN118" i="22"/>
  <c r="AP116" i="22"/>
  <c r="AO113" i="22"/>
  <c r="AN110" i="22"/>
  <c r="AP108" i="22"/>
  <c r="AO105" i="22"/>
  <c r="AN102" i="22"/>
  <c r="AP100" i="22"/>
  <c r="AO97" i="22"/>
  <c r="AN94" i="22"/>
  <c r="AP92" i="22"/>
  <c r="AO85" i="22"/>
  <c r="AN81" i="22"/>
  <c r="AP79" i="22"/>
  <c r="AO76" i="22"/>
  <c r="AN73" i="22"/>
  <c r="AP71" i="22"/>
  <c r="AO68" i="22"/>
  <c r="AO66" i="22"/>
  <c r="AP65" i="22"/>
  <c r="AN63" i="22"/>
  <c r="AO62" i="22"/>
  <c r="AP61" i="22"/>
  <c r="AN59" i="22"/>
  <c r="AO58" i="22"/>
  <c r="AP57" i="22"/>
  <c r="AN55" i="22"/>
  <c r="AO54" i="22"/>
  <c r="AP53" i="22"/>
  <c r="AN51" i="22"/>
  <c r="AO50" i="22"/>
  <c r="AP49" i="22"/>
  <c r="AN47" i="22"/>
  <c r="AO33" i="22"/>
  <c r="AP32" i="22"/>
  <c r="AN30" i="22"/>
  <c r="AO29" i="22"/>
  <c r="AP28" i="22"/>
  <c r="AN26" i="22"/>
  <c r="AO25" i="22"/>
  <c r="AP24" i="22"/>
  <c r="AN22" i="22"/>
  <c r="AO21" i="22"/>
  <c r="AP20" i="22"/>
  <c r="AN18" i="22"/>
  <c r="AO17" i="22"/>
  <c r="AP16" i="22"/>
  <c r="AN14" i="22"/>
  <c r="AO13" i="22"/>
  <c r="AP12" i="22"/>
  <c r="AN10" i="22"/>
  <c r="AM10" i="22"/>
  <c r="AM14" i="22"/>
  <c r="AM18" i="22"/>
  <c r="AM22" i="22"/>
  <c r="AM26" i="22"/>
  <c r="AM30" i="22"/>
  <c r="AM34" i="22"/>
  <c r="AM38" i="22"/>
  <c r="AM42" i="22"/>
  <c r="AM46" i="22"/>
  <c r="AM50" i="22"/>
  <c r="AM54" i="22"/>
  <c r="AM58" i="22"/>
  <c r="AM62" i="22"/>
  <c r="AL126" i="22"/>
  <c r="AP39" i="22"/>
  <c r="AP141" i="22"/>
  <c r="AN126" i="22"/>
  <c r="AO128" i="22"/>
  <c r="AP132" i="22"/>
  <c r="AP169" i="22"/>
  <c r="AO172" i="22"/>
  <c r="AP162" i="22"/>
  <c r="AN156" i="22"/>
  <c r="AO151" i="22"/>
  <c r="AP146" i="22"/>
  <c r="AN123" i="22"/>
  <c r="AO118" i="22"/>
  <c r="AP113" i="22"/>
  <c r="AN107" i="22"/>
  <c r="AO102" i="22"/>
  <c r="AP97" i="22"/>
  <c r="AN91" i="22"/>
  <c r="AO81" i="22"/>
  <c r="AP76" i="22"/>
  <c r="AN70" i="22"/>
  <c r="AP66" i="22"/>
  <c r="AO63" i="22"/>
  <c r="AN60" i="22"/>
  <c r="AP58" i="22"/>
  <c r="AO55" i="22"/>
  <c r="AN52" i="22"/>
  <c r="AP50" i="22"/>
  <c r="AO47" i="22"/>
  <c r="AN31" i="22"/>
  <c r="AP29" i="22"/>
  <c r="AO26" i="22"/>
  <c r="AN23" i="22"/>
  <c r="AP21" i="22"/>
  <c r="AO18" i="22"/>
  <c r="AN15" i="22"/>
  <c r="AP13" i="22"/>
  <c r="AO10" i="22"/>
  <c r="AM15" i="22"/>
  <c r="AM23" i="22"/>
  <c r="AM31" i="22"/>
  <c r="AM39" i="22"/>
  <c r="AM47" i="22"/>
  <c r="AM55" i="22"/>
  <c r="AM63" i="22"/>
  <c r="AM68" i="22"/>
  <c r="AM74" i="22"/>
  <c r="AM79" i="22"/>
  <c r="AM84" i="22"/>
  <c r="AM90" i="22"/>
  <c r="AM95" i="22"/>
  <c r="AM100" i="22"/>
  <c r="AM106" i="22"/>
  <c r="AM111" i="22"/>
  <c r="AM116" i="22"/>
  <c r="AM128" i="22"/>
  <c r="AM133" i="22"/>
  <c r="AM143" i="22"/>
  <c r="AM148" i="22"/>
  <c r="AM153" i="22"/>
  <c r="AM159" i="22"/>
  <c r="AM164" i="22"/>
  <c r="AM169" i="22"/>
  <c r="AM175" i="22"/>
  <c r="AM180" i="22"/>
  <c r="AH177" i="22"/>
  <c r="AB177" i="22"/>
  <c r="AG169" i="22"/>
  <c r="AL169" i="22"/>
  <c r="AI174" i="22"/>
  <c r="AE175" i="22"/>
  <c r="AJ175" i="22"/>
  <c r="AG176" i="22"/>
  <c r="AL176" i="22"/>
  <c r="AE62" i="22"/>
  <c r="AJ62" i="22"/>
  <c r="AG71" i="22"/>
  <c r="AL71" i="22"/>
  <c r="AH72" i="22"/>
  <c r="AE73" i="22"/>
  <c r="AJ73" i="22"/>
  <c r="AF74" i="22"/>
  <c r="AL74" i="22"/>
  <c r="AD126" i="22"/>
  <c r="AO37" i="22"/>
  <c r="AN41" i="22"/>
  <c r="AO145" i="22"/>
  <c r="AO129" i="22"/>
  <c r="AN164" i="22"/>
  <c r="AO159" i="22"/>
  <c r="AP154" i="22"/>
  <c r="AN148" i="22"/>
  <c r="AO137" i="22"/>
  <c r="AP121" i="22"/>
  <c r="AN115" i="22"/>
  <c r="AO110" i="22"/>
  <c r="AP105" i="22"/>
  <c r="AN99" i="22"/>
  <c r="AO94" i="22"/>
  <c r="AP85" i="22"/>
  <c r="AN78" i="22"/>
  <c r="AO73" i="22"/>
  <c r="AP68" i="22"/>
  <c r="AN64" i="22"/>
  <c r="AP62" i="22"/>
  <c r="AO59" i="22"/>
  <c r="AN56" i="22"/>
  <c r="AP54" i="22"/>
  <c r="AO51" i="22"/>
  <c r="AN48" i="22"/>
  <c r="AP33" i="22"/>
  <c r="AO30" i="22"/>
  <c r="AN27" i="22"/>
  <c r="AP25" i="22"/>
  <c r="AO22" i="22"/>
  <c r="AN19" i="22"/>
  <c r="AP17" i="22"/>
  <c r="AO14" i="22"/>
  <c r="AN11" i="22"/>
  <c r="AM11" i="22"/>
  <c r="AM19" i="22"/>
  <c r="AM27" i="22"/>
  <c r="AM35" i="22"/>
  <c r="AM43" i="22"/>
  <c r="AM51" i="22"/>
  <c r="AM59" i="22"/>
  <c r="AM66" i="22"/>
  <c r="AM71" i="22"/>
  <c r="AM76" i="22"/>
  <c r="AM82" i="22"/>
  <c r="AM87" i="22"/>
  <c r="AM92" i="22"/>
  <c r="AM98" i="22"/>
  <c r="AM103" i="22"/>
  <c r="AM108" i="22"/>
  <c r="AM114" i="22"/>
  <c r="AM119" i="22"/>
  <c r="AM124" i="22"/>
  <c r="AM131" i="22"/>
  <c r="AM140" i="22"/>
  <c r="AM145" i="22"/>
  <c r="AM151" i="22"/>
  <c r="AM156" i="22"/>
  <c r="AM161" i="22"/>
  <c r="AM167" i="22"/>
  <c r="AM172" i="22"/>
  <c r="AM177" i="22"/>
  <c r="AJ177" i="22"/>
  <c r="AE177" i="22"/>
  <c r="AD169" i="22"/>
  <c r="AJ169" i="22"/>
  <c r="AF174" i="22"/>
  <c r="AK174" i="22"/>
  <c r="AH175" i="22"/>
  <c r="AD176" i="22"/>
  <c r="AI176" i="22"/>
  <c r="AH62" i="22"/>
  <c r="AD71" i="22"/>
  <c r="AI71" i="22"/>
  <c r="AF72" i="22"/>
  <c r="AK72" i="22"/>
  <c r="AG73" i="22"/>
  <c r="AD74" i="22"/>
  <c r="AI74" i="22"/>
  <c r="AF34" i="22"/>
  <c r="AL34" i="22"/>
  <c r="AH39" i="22"/>
  <c r="AD40" i="22"/>
  <c r="AO124" i="22"/>
  <c r="AE14" i="22"/>
  <c r="AO171" i="22"/>
  <c r="AN155" i="22"/>
  <c r="AP142" i="22"/>
  <c r="AO117" i="22"/>
  <c r="AN106" i="22"/>
  <c r="AP96" i="22"/>
  <c r="AO80" i="22"/>
  <c r="AN69" i="22"/>
  <c r="AP63" i="22"/>
  <c r="AN57" i="22"/>
  <c r="AO52" i="22"/>
  <c r="AP47" i="22"/>
  <c r="AN28" i="22"/>
  <c r="AO23" i="22"/>
  <c r="AP18" i="22"/>
  <c r="AN12" i="22"/>
  <c r="AM16" i="22"/>
  <c r="AM32" i="22"/>
  <c r="AM48" i="22"/>
  <c r="AM64" i="22"/>
  <c r="AM75" i="22"/>
  <c r="AM86" i="22"/>
  <c r="AM96" i="22"/>
  <c r="AM107" i="22"/>
  <c r="AM118" i="22"/>
  <c r="AM129" i="22"/>
  <c r="AM144" i="22"/>
  <c r="AM155" i="22"/>
  <c r="AM165" i="22"/>
  <c r="AM176" i="22"/>
  <c r="AF177" i="22"/>
  <c r="AH169" i="22"/>
  <c r="AJ174" i="22"/>
  <c r="AL175" i="22"/>
  <c r="AL62" i="22"/>
  <c r="AD72" i="22"/>
  <c r="AF73" i="22"/>
  <c r="AH74" i="22"/>
  <c r="AI34" i="22"/>
  <c r="AG39" i="22"/>
  <c r="AF40" i="22"/>
  <c r="AK40" i="22"/>
  <c r="AG41" i="22"/>
  <c r="AD42" i="22"/>
  <c r="AI42" i="22"/>
  <c r="AD118" i="22"/>
  <c r="AH118" i="22"/>
  <c r="AL118" i="22"/>
  <c r="AG119" i="22"/>
  <c r="AK119" i="22"/>
  <c r="AG123" i="22"/>
  <c r="AK123" i="22"/>
  <c r="AF133" i="22"/>
  <c r="AJ133" i="22"/>
  <c r="AE134" i="22"/>
  <c r="AI134" i="22"/>
  <c r="AE9" i="22"/>
  <c r="AI9" i="22"/>
  <c r="AD61" i="22"/>
  <c r="AH61" i="22"/>
  <c r="AL61" i="22"/>
  <c r="AG109" i="22"/>
  <c r="AK109" i="22"/>
  <c r="AP9" i="22"/>
  <c r="AG10" i="22"/>
  <c r="AK10" i="22"/>
  <c r="AF11" i="22"/>
  <c r="AJ11" i="22"/>
  <c r="AE12" i="22"/>
  <c r="AI12" i="22"/>
  <c r="AD13" i="22"/>
  <c r="AH13" i="22"/>
  <c r="AL13" i="22"/>
  <c r="AH14" i="22"/>
  <c r="AL14" i="22"/>
  <c r="AG15" i="22"/>
  <c r="AK15" i="22"/>
  <c r="AF16" i="22"/>
  <c r="AJ16" i="22"/>
  <c r="AE17" i="22"/>
  <c r="AI17" i="22"/>
  <c r="AD18" i="22"/>
  <c r="AH18" i="22"/>
  <c r="AL18" i="22"/>
  <c r="AG19" i="22"/>
  <c r="AK19" i="22"/>
  <c r="AF20" i="22"/>
  <c r="AJ20" i="22"/>
  <c r="AE21" i="22"/>
  <c r="AI21" i="22"/>
  <c r="AD22" i="22"/>
  <c r="AH22" i="22"/>
  <c r="AL22" i="22"/>
  <c r="AG23" i="22"/>
  <c r="AK23" i="22"/>
  <c r="AF24" i="22"/>
  <c r="AJ24" i="22"/>
  <c r="AE25" i="22"/>
  <c r="AI25" i="22"/>
  <c r="AD26" i="22"/>
  <c r="AH26" i="22"/>
  <c r="AL26" i="22"/>
  <c r="AG27" i="22"/>
  <c r="AK27" i="22"/>
  <c r="AF28" i="22"/>
  <c r="AJ28" i="22"/>
  <c r="AE29" i="22"/>
  <c r="AI29" i="22"/>
  <c r="AD30" i="22"/>
  <c r="AH30" i="22"/>
  <c r="AL30" i="22"/>
  <c r="AG31" i="22"/>
  <c r="AK31" i="22"/>
  <c r="AF32" i="22"/>
  <c r="AJ32" i="22"/>
  <c r="AE33" i="22"/>
  <c r="AI33" i="22"/>
  <c r="AD35" i="22"/>
  <c r="AH35" i="22"/>
  <c r="AL35" i="22"/>
  <c r="AG36" i="22"/>
  <c r="AK36" i="22"/>
  <c r="AF37" i="22"/>
  <c r="AJ37" i="22"/>
  <c r="AE38" i="22"/>
  <c r="AI38" i="22"/>
  <c r="AD44" i="22"/>
  <c r="AH44" i="22"/>
  <c r="AL44" i="22"/>
  <c r="AG45" i="22"/>
  <c r="AK45" i="22"/>
  <c r="AF47" i="22"/>
  <c r="AJ47" i="22"/>
  <c r="AE48" i="22"/>
  <c r="AI48" i="22"/>
  <c r="AD49" i="22"/>
  <c r="AH49" i="22"/>
  <c r="AL49" i="22"/>
  <c r="AG50" i="22"/>
  <c r="AK50" i="22"/>
  <c r="AF51" i="22"/>
  <c r="AJ51" i="22"/>
  <c r="AE52" i="22"/>
  <c r="AI52" i="22"/>
  <c r="AD53" i="22"/>
  <c r="AH53" i="22"/>
  <c r="AL53" i="22"/>
  <c r="AG54" i="22"/>
  <c r="AK54" i="22"/>
  <c r="AF55" i="22"/>
  <c r="AJ55" i="22"/>
  <c r="AE56" i="22"/>
  <c r="AI56" i="22"/>
  <c r="AD57" i="22"/>
  <c r="AH57" i="22"/>
  <c r="AL57" i="22"/>
  <c r="AN45" i="22"/>
  <c r="AN127" i="22"/>
  <c r="AO132" i="22"/>
  <c r="AN163" i="22"/>
  <c r="AP153" i="22"/>
  <c r="AO134" i="22"/>
  <c r="AN114" i="22"/>
  <c r="AP104" i="22"/>
  <c r="AO93" i="22"/>
  <c r="AN77" i="22"/>
  <c r="AP67" i="22"/>
  <c r="AN61" i="22"/>
  <c r="AO56" i="22"/>
  <c r="AP51" i="22"/>
  <c r="AN32" i="22"/>
  <c r="AO27" i="22"/>
  <c r="AP22" i="22"/>
  <c r="AN16" i="22"/>
  <c r="AO11" i="22"/>
  <c r="AM20" i="22"/>
  <c r="AM36" i="22"/>
  <c r="AM52" i="22"/>
  <c r="AM67" i="22"/>
  <c r="AM78" i="22"/>
  <c r="AM88" i="22"/>
  <c r="AM99" i="22"/>
  <c r="AM110" i="22"/>
  <c r="AM132" i="22"/>
  <c r="AM147" i="22"/>
  <c r="AM157" i="22"/>
  <c r="AM168" i="22"/>
  <c r="AM179" i="22"/>
  <c r="AD177" i="22"/>
  <c r="AK169" i="22"/>
  <c r="AD175" i="22"/>
  <c r="AE176" i="22"/>
  <c r="AD62" i="22"/>
  <c r="AE71" i="22"/>
  <c r="AG72" i="22"/>
  <c r="AI73" i="22"/>
  <c r="AJ74" i="22"/>
  <c r="AD34" i="22"/>
  <c r="AJ34" i="22"/>
  <c r="AI39" i="22"/>
  <c r="AG40" i="22"/>
  <c r="AL40" i="22"/>
  <c r="AI41" i="22"/>
  <c r="AE42" i="22"/>
  <c r="AJ42" i="22"/>
  <c r="AB42" i="22"/>
  <c r="AE118" i="22"/>
  <c r="AI118" i="22"/>
  <c r="AD119" i="22"/>
  <c r="AH119" i="22"/>
  <c r="AL119" i="22"/>
  <c r="AD123" i="22"/>
  <c r="AH123" i="22"/>
  <c r="AL123" i="22"/>
  <c r="AG133" i="22"/>
  <c r="AK133" i="22"/>
  <c r="AF134" i="22"/>
  <c r="AJ134" i="22"/>
  <c r="AF9" i="22"/>
  <c r="AJ9" i="22"/>
  <c r="AE61" i="22"/>
  <c r="AI61" i="22"/>
  <c r="AD109" i="22"/>
  <c r="AH109" i="22"/>
  <c r="AL109" i="22"/>
  <c r="AD10" i="22"/>
  <c r="AH10" i="22"/>
  <c r="AL10" i="22"/>
  <c r="AG11" i="22"/>
  <c r="AK11" i="22"/>
  <c r="AF12" i="22"/>
  <c r="AJ12" i="22"/>
  <c r="AE13" i="22"/>
  <c r="AI13" i="22"/>
  <c r="AD14" i="22"/>
  <c r="AI14" i="22"/>
  <c r="AD15" i="22"/>
  <c r="AH15" i="22"/>
  <c r="AL15" i="22"/>
  <c r="AG16" i="22"/>
  <c r="AK16" i="22"/>
  <c r="AF17" i="22"/>
  <c r="AJ17" i="22"/>
  <c r="AE18" i="22"/>
  <c r="AI18" i="22"/>
  <c r="AD19" i="22"/>
  <c r="AH19" i="22"/>
  <c r="AL19" i="22"/>
  <c r="AG20" i="22"/>
  <c r="AK20" i="22"/>
  <c r="AF21" i="22"/>
  <c r="AJ21" i="22"/>
  <c r="AE22" i="22"/>
  <c r="AI22" i="22"/>
  <c r="AD23" i="22"/>
  <c r="AH23" i="22"/>
  <c r="AL23" i="22"/>
  <c r="AG24" i="22"/>
  <c r="AK24" i="22"/>
  <c r="AF25" i="22"/>
  <c r="AJ25" i="22"/>
  <c r="AE26" i="22"/>
  <c r="AI26" i="22"/>
  <c r="AD27" i="22"/>
  <c r="AH27" i="22"/>
  <c r="AL27" i="22"/>
  <c r="AG28" i="22"/>
  <c r="AK28" i="22"/>
  <c r="AF29" i="22"/>
  <c r="AJ29" i="22"/>
  <c r="AE30" i="22"/>
  <c r="AI30" i="22"/>
  <c r="AD31" i="22"/>
  <c r="AH31" i="22"/>
  <c r="AL31" i="22"/>
  <c r="AG32" i="22"/>
  <c r="AK32" i="22"/>
  <c r="AF33" i="22"/>
  <c r="AJ33" i="22"/>
  <c r="AE35" i="22"/>
  <c r="AI35" i="22"/>
  <c r="AD36" i="22"/>
  <c r="AH36" i="22"/>
  <c r="AL36" i="22"/>
  <c r="AG37" i="22"/>
  <c r="AK37" i="22"/>
  <c r="AF38" i="22"/>
  <c r="AJ38" i="22"/>
  <c r="AE44" i="22"/>
  <c r="AI44" i="22"/>
  <c r="AD45" i="22"/>
  <c r="AH45" i="22"/>
  <c r="AL45" i="22"/>
  <c r="AG47" i="22"/>
  <c r="AK47" i="22"/>
  <c r="AF48" i="22"/>
  <c r="AJ48" i="22"/>
  <c r="AE49" i="22"/>
  <c r="AI49" i="22"/>
  <c r="AD50" i="22"/>
  <c r="AH50" i="22"/>
  <c r="AL50" i="22"/>
  <c r="AG51" i="22"/>
  <c r="AK51" i="22"/>
  <c r="AF52" i="22"/>
  <c r="AJ52" i="22"/>
  <c r="AE53" i="22"/>
  <c r="AI53" i="22"/>
  <c r="AD54" i="22"/>
  <c r="AH54" i="22"/>
  <c r="AL54" i="22"/>
  <c r="AG55" i="22"/>
  <c r="AK55" i="22"/>
  <c r="AF56" i="22"/>
  <c r="AJ56" i="22"/>
  <c r="AE57" i="22"/>
  <c r="AI57" i="22"/>
  <c r="AN128" i="22"/>
  <c r="AO131" i="22"/>
  <c r="AO158" i="22"/>
  <c r="AP120" i="22"/>
  <c r="AN98" i="22"/>
  <c r="AO72" i="22"/>
  <c r="AP59" i="22"/>
  <c r="AO48" i="22"/>
  <c r="AN24" i="22"/>
  <c r="AP14" i="22"/>
  <c r="AM28" i="22"/>
  <c r="AM60" i="22"/>
  <c r="AM83" i="22"/>
  <c r="AM104" i="22"/>
  <c r="AM127" i="22"/>
  <c r="AM152" i="22"/>
  <c r="AM173" i="22"/>
  <c r="AF169" i="22"/>
  <c r="AI175" i="22"/>
  <c r="AF62" i="22"/>
  <c r="AJ72" i="22"/>
  <c r="AH34" i="22"/>
  <c r="AL39" i="22"/>
  <c r="AF41" i="22"/>
  <c r="AH42" i="22"/>
  <c r="AJ118" i="22"/>
  <c r="AI119" i="22"/>
  <c r="AE123" i="22"/>
  <c r="AD133" i="22"/>
  <c r="AL133" i="22"/>
  <c r="AK134" i="22"/>
  <c r="AD9" i="22"/>
  <c r="AL9" i="22"/>
  <c r="AK61" i="22"/>
  <c r="AJ109" i="22"/>
  <c r="AF10" i="22"/>
  <c r="AE11" i="22"/>
  <c r="AD12" i="22"/>
  <c r="AL12" i="22"/>
  <c r="AK13" i="22"/>
  <c r="AK14" i="22"/>
  <c r="AJ15" i="22"/>
  <c r="AI16" i="22"/>
  <c r="AH17" i="22"/>
  <c r="AG18" i="22"/>
  <c r="AF19" i="22"/>
  <c r="AE20" i="22"/>
  <c r="AD21" i="22"/>
  <c r="AL21" i="22"/>
  <c r="AK22" i="22"/>
  <c r="AJ23" i="22"/>
  <c r="AI24" i="22"/>
  <c r="AH25" i="22"/>
  <c r="AG26" i="22"/>
  <c r="AF27" i="22"/>
  <c r="AE28" i="22"/>
  <c r="AD29" i="22"/>
  <c r="AL29" i="22"/>
  <c r="AK30" i="22"/>
  <c r="AJ31" i="22"/>
  <c r="AI32" i="22"/>
  <c r="AH33" i="22"/>
  <c r="AG35" i="22"/>
  <c r="AF36" i="22"/>
  <c r="AE37" i="22"/>
  <c r="AD38" i="22"/>
  <c r="AL38" i="22"/>
  <c r="AK44" i="22"/>
  <c r="AJ45" i="22"/>
  <c r="AI47" i="22"/>
  <c r="AH48" i="22"/>
  <c r="AG49" i="22"/>
  <c r="AF50" i="22"/>
  <c r="AE51" i="22"/>
  <c r="AD52" i="22"/>
  <c r="AL52" i="22"/>
  <c r="AK53" i="22"/>
  <c r="AJ54" i="22"/>
  <c r="AI55" i="22"/>
  <c r="AH56" i="22"/>
  <c r="AG57" i="22"/>
  <c r="AE58" i="22"/>
  <c r="AI58" i="22"/>
  <c r="AD59" i="22"/>
  <c r="AH59" i="22"/>
  <c r="AL59" i="22"/>
  <c r="AG60" i="22"/>
  <c r="AK60" i="22"/>
  <c r="AE63" i="22"/>
  <c r="AI63" i="22"/>
  <c r="AD64" i="22"/>
  <c r="AH64" i="22"/>
  <c r="AL64" i="22"/>
  <c r="AG65" i="22"/>
  <c r="AK65" i="22"/>
  <c r="AF66" i="22"/>
  <c r="AJ66" i="22"/>
  <c r="AE67" i="22"/>
  <c r="AI67" i="22"/>
  <c r="AD68" i="22"/>
  <c r="AH68" i="22"/>
  <c r="AL68" i="22"/>
  <c r="AG69" i="22"/>
  <c r="AK69" i="22"/>
  <c r="AF70" i="22"/>
  <c r="AJ70" i="22"/>
  <c r="AE75" i="22"/>
  <c r="AI75" i="22"/>
  <c r="AD76" i="22"/>
  <c r="AH76" i="22"/>
  <c r="AL76" i="22"/>
  <c r="AG77" i="22"/>
  <c r="AK77" i="22"/>
  <c r="AF78" i="22"/>
  <c r="AJ78" i="22"/>
  <c r="AE79" i="22"/>
  <c r="AI79" i="22"/>
  <c r="AD80" i="22"/>
  <c r="AH80" i="22"/>
  <c r="AL80" i="22"/>
  <c r="AG81" i="22"/>
  <c r="AK81" i="22"/>
  <c r="AF82" i="22"/>
  <c r="AJ82" i="22"/>
  <c r="AE83" i="22"/>
  <c r="AI83" i="22"/>
  <c r="AD84" i="22"/>
  <c r="AH84" i="22"/>
  <c r="AL84" i="22"/>
  <c r="AG85" i="22"/>
  <c r="AK85" i="22"/>
  <c r="AF86" i="22"/>
  <c r="AJ86" i="22"/>
  <c r="AE87" i="22"/>
  <c r="AI87" i="22"/>
  <c r="AD88" i="22"/>
  <c r="AH88" i="22"/>
  <c r="AL88" i="22"/>
  <c r="AG89" i="22"/>
  <c r="AK89" i="22"/>
  <c r="AF90" i="22"/>
  <c r="AJ90" i="22"/>
  <c r="AE91" i="22"/>
  <c r="AG126" i="22"/>
  <c r="AO36" i="22"/>
  <c r="AP143" i="22"/>
  <c r="AP178" i="22"/>
  <c r="AN147" i="22"/>
  <c r="AO109" i="22"/>
  <c r="AP83" i="22"/>
  <c r="AO64" i="22"/>
  <c r="AN53" i="22"/>
  <c r="AP30" i="22"/>
  <c r="AO19" i="22"/>
  <c r="AM12" i="22"/>
  <c r="AM44" i="22"/>
  <c r="AM72" i="22"/>
  <c r="AM94" i="22"/>
  <c r="AM115" i="22"/>
  <c r="AM141" i="22"/>
  <c r="AM163" i="22"/>
  <c r="AI177" i="22"/>
  <c r="AG174" i="22"/>
  <c r="AK176" i="22"/>
  <c r="AH71" i="22"/>
  <c r="AK73" i="22"/>
  <c r="AE39" i="22"/>
  <c r="AJ40" i="22"/>
  <c r="AK41" i="22"/>
  <c r="AF118" i="22"/>
  <c r="AE119" i="22"/>
  <c r="AI123" i="22"/>
  <c r="AH133" i="22"/>
  <c r="AG134" i="22"/>
  <c r="AH9" i="22"/>
  <c r="AG61" i="22"/>
  <c r="AF109" i="22"/>
  <c r="AO9" i="22"/>
  <c r="AJ10" i="22"/>
  <c r="AI11" i="22"/>
  <c r="AH12" i="22"/>
  <c r="AG13" i="22"/>
  <c r="AG14" i="22"/>
  <c r="AF15" i="22"/>
  <c r="AE16" i="22"/>
  <c r="AD17" i="22"/>
  <c r="AL17" i="22"/>
  <c r="AK18" i="22"/>
  <c r="AJ19" i="22"/>
  <c r="AI20" i="22"/>
  <c r="AH21" i="22"/>
  <c r="AG22" i="22"/>
  <c r="AF23" i="22"/>
  <c r="AE24" i="22"/>
  <c r="AD25" i="22"/>
  <c r="AL25" i="22"/>
  <c r="AK26" i="22"/>
  <c r="AJ27" i="22"/>
  <c r="AI28" i="22"/>
  <c r="AH29" i="22"/>
  <c r="AG30" i="22"/>
  <c r="AF31" i="22"/>
  <c r="AE32" i="22"/>
  <c r="AD33" i="22"/>
  <c r="AL33" i="22"/>
  <c r="AK35" i="22"/>
  <c r="AJ36" i="22"/>
  <c r="AI37" i="22"/>
  <c r="AH38" i="22"/>
  <c r="AG44" i="22"/>
  <c r="AF45" i="22"/>
  <c r="AE47" i="22"/>
  <c r="AD48" i="22"/>
  <c r="AL48" i="22"/>
  <c r="AK49" i="22"/>
  <c r="AJ50" i="22"/>
  <c r="AI51" i="22"/>
  <c r="AH52" i="22"/>
  <c r="AG53" i="22"/>
  <c r="AF54" i="22"/>
  <c r="AE55" i="22"/>
  <c r="AD56" i="22"/>
  <c r="AL56" i="22"/>
  <c r="AK57" i="22"/>
  <c r="AG58" i="22"/>
  <c r="AK58" i="22"/>
  <c r="AF59" i="22"/>
  <c r="AJ59" i="22"/>
  <c r="AE60" i="22"/>
  <c r="AI60" i="22"/>
  <c r="AG63" i="22"/>
  <c r="AK63" i="22"/>
  <c r="AF64" i="22"/>
  <c r="AJ64" i="22"/>
  <c r="AE65" i="22"/>
  <c r="AI65" i="22"/>
  <c r="AD66" i="22"/>
  <c r="AH66" i="22"/>
  <c r="AL66" i="22"/>
  <c r="AG67" i="22"/>
  <c r="AK67" i="22"/>
  <c r="AF68" i="22"/>
  <c r="AJ68" i="22"/>
  <c r="AE69" i="22"/>
  <c r="AI69" i="22"/>
  <c r="AD70" i="22"/>
  <c r="AH70" i="22"/>
  <c r="AL70" i="22"/>
  <c r="AG75" i="22"/>
  <c r="AK75" i="22"/>
  <c r="AF76" i="22"/>
  <c r="AJ76" i="22"/>
  <c r="AE77" i="22"/>
  <c r="AI77" i="22"/>
  <c r="AD78" i="22"/>
  <c r="AH78" i="22"/>
  <c r="AL78" i="22"/>
  <c r="AG79" i="22"/>
  <c r="AK79" i="22"/>
  <c r="AF80" i="22"/>
  <c r="AJ80" i="22"/>
  <c r="AE81" i="22"/>
  <c r="AI81" i="22"/>
  <c r="AD82" i="22"/>
  <c r="AH82" i="22"/>
  <c r="AL82" i="22"/>
  <c r="AG83" i="22"/>
  <c r="AK83" i="22"/>
  <c r="AF84" i="22"/>
  <c r="AJ84" i="22"/>
  <c r="AE85" i="22"/>
  <c r="AI85" i="22"/>
  <c r="AD86" i="22"/>
  <c r="AH86" i="22"/>
  <c r="AL86" i="22"/>
  <c r="AG87" i="22"/>
  <c r="AK87" i="22"/>
  <c r="AF88" i="22"/>
  <c r="AJ88" i="22"/>
  <c r="AE89" i="22"/>
  <c r="AI89" i="22"/>
  <c r="AD90" i="22"/>
  <c r="AH90" i="22"/>
  <c r="AL90" i="22"/>
  <c r="AG91" i="22"/>
  <c r="AK91" i="22"/>
  <c r="AF92" i="22"/>
  <c r="AJ92" i="22"/>
  <c r="AE93" i="22"/>
  <c r="AI93" i="22"/>
  <c r="AD94" i="22"/>
  <c r="AH94" i="22"/>
  <c r="AL94" i="22"/>
  <c r="AG95" i="22"/>
  <c r="AK95" i="22"/>
  <c r="AF97" i="22"/>
  <c r="AJ97" i="22"/>
  <c r="AE98" i="22"/>
  <c r="AI98" i="22"/>
  <c r="AD99" i="22"/>
  <c r="AH99" i="22"/>
  <c r="AL99" i="22"/>
  <c r="AG100" i="22"/>
  <c r="AK100" i="22"/>
  <c r="AF101" i="22"/>
  <c r="AJ101" i="22"/>
  <c r="AE102" i="22"/>
  <c r="AP112" i="22"/>
  <c r="AN65" i="22"/>
  <c r="AO31" i="22"/>
  <c r="AP10" i="22"/>
  <c r="AM70" i="22"/>
  <c r="AM112" i="22"/>
  <c r="AM160" i="22"/>
  <c r="AE174" i="22"/>
  <c r="AK71" i="22"/>
  <c r="AK39" i="22"/>
  <c r="AF42" i="22"/>
  <c r="AF119" i="22"/>
  <c r="AI133" i="22"/>
  <c r="AG9" i="22"/>
  <c r="AE109" i="22"/>
  <c r="AI10" i="22"/>
  <c r="AG12" i="22"/>
  <c r="AF14" i="22"/>
  <c r="AD16" i="22"/>
  <c r="AK17" i="22"/>
  <c r="AI19" i="22"/>
  <c r="AG21" i="22"/>
  <c r="AE23" i="22"/>
  <c r="AL24" i="22"/>
  <c r="AJ26" i="22"/>
  <c r="AH28" i="22"/>
  <c r="AF30" i="22"/>
  <c r="AD32" i="22"/>
  <c r="AK33" i="22"/>
  <c r="AI36" i="22"/>
  <c r="AG38" i="22"/>
  <c r="AE45" i="22"/>
  <c r="AL47" i="22"/>
  <c r="AJ49" i="22"/>
  <c r="AH51" i="22"/>
  <c r="AF53" i="22"/>
  <c r="AD55" i="22"/>
  <c r="AK56" i="22"/>
  <c r="AF58" i="22"/>
  <c r="AE59" i="22"/>
  <c r="AD60" i="22"/>
  <c r="AL60" i="22"/>
  <c r="AH63" i="22"/>
  <c r="AG64" i="22"/>
  <c r="AF65" i="22"/>
  <c r="AE66" i="22"/>
  <c r="AD67" i="22"/>
  <c r="AL67" i="22"/>
  <c r="AK68" i="22"/>
  <c r="AJ69" i="22"/>
  <c r="AI70" i="22"/>
  <c r="AH75" i="22"/>
  <c r="AG76" i="22"/>
  <c r="AF77" i="22"/>
  <c r="AE78" i="22"/>
  <c r="AD79" i="22"/>
  <c r="AL79" i="22"/>
  <c r="AK80" i="22"/>
  <c r="AJ81" i="22"/>
  <c r="AI82" i="22"/>
  <c r="AH83" i="22"/>
  <c r="AG84" i="22"/>
  <c r="AF85" i="22"/>
  <c r="AE86" i="22"/>
  <c r="AD87" i="22"/>
  <c r="AL87" i="22"/>
  <c r="AK88" i="22"/>
  <c r="AJ89" i="22"/>
  <c r="AI90" i="22"/>
  <c r="AH91" i="22"/>
  <c r="AD92" i="22"/>
  <c r="AI92" i="22"/>
  <c r="AF93" i="22"/>
  <c r="AK93" i="22"/>
  <c r="AG94" i="22"/>
  <c r="AD95" i="22"/>
  <c r="AI95" i="22"/>
  <c r="AE97" i="22"/>
  <c r="AK97" i="22"/>
  <c r="AG98" i="22"/>
  <c r="AL98" i="22"/>
  <c r="AI99" i="22"/>
  <c r="AE100" i="22"/>
  <c r="AJ100" i="22"/>
  <c r="AG101" i="22"/>
  <c r="AL101" i="22"/>
  <c r="AH102" i="22"/>
  <c r="AL102" i="22"/>
  <c r="AG103" i="22"/>
  <c r="AK103" i="22"/>
  <c r="AF104" i="22"/>
  <c r="AJ104" i="22"/>
  <c r="AE105" i="22"/>
  <c r="AI105" i="22"/>
  <c r="AD106" i="22"/>
  <c r="AH106" i="22"/>
  <c r="AL106" i="22"/>
  <c r="AG107" i="22"/>
  <c r="AK107" i="22"/>
  <c r="AF108" i="22"/>
  <c r="AJ108" i="22"/>
  <c r="AF111" i="22"/>
  <c r="AJ111" i="22"/>
  <c r="AD112" i="22"/>
  <c r="AH112" i="22"/>
  <c r="AL112" i="22"/>
  <c r="AG113" i="22"/>
  <c r="AK113" i="22"/>
  <c r="AF114" i="22"/>
  <c r="AJ114" i="22"/>
  <c r="AG117" i="22"/>
  <c r="AK117" i="22"/>
  <c r="AF140" i="22"/>
  <c r="AJ140" i="22"/>
  <c r="AE159" i="22"/>
  <c r="AI159" i="22"/>
  <c r="AD124" i="22"/>
  <c r="AH124" i="22"/>
  <c r="AL124" i="22"/>
  <c r="AG125" i="22"/>
  <c r="AK125" i="22"/>
  <c r="AF132" i="22"/>
  <c r="AJ132" i="22"/>
  <c r="AF141" i="22"/>
  <c r="AJ141" i="22"/>
  <c r="AE142" i="22"/>
  <c r="AI142" i="22"/>
  <c r="AD143" i="22"/>
  <c r="AH143" i="22"/>
  <c r="AL143" i="22"/>
  <c r="AG144" i="22"/>
  <c r="AK144" i="22"/>
  <c r="AF145" i="22"/>
  <c r="AJ145" i="22"/>
  <c r="AE146" i="22"/>
  <c r="AI146" i="22"/>
  <c r="AD147" i="22"/>
  <c r="AH147" i="22"/>
  <c r="AL147" i="22"/>
  <c r="AG148" i="22"/>
  <c r="AK148" i="22"/>
  <c r="AF149" i="22"/>
  <c r="AJ149" i="22"/>
  <c r="AE150" i="22"/>
  <c r="AI150" i="22"/>
  <c r="AD151" i="22"/>
  <c r="AH151" i="22"/>
  <c r="AL151" i="22"/>
  <c r="AG152" i="22"/>
  <c r="AK152" i="22"/>
  <c r="AE153" i="22"/>
  <c r="AI153" i="22"/>
  <c r="AD154" i="22"/>
  <c r="AH154" i="22"/>
  <c r="AL154" i="22"/>
  <c r="AG155" i="22"/>
  <c r="AK155" i="22"/>
  <c r="AF156" i="22"/>
  <c r="AJ156" i="22"/>
  <c r="AE157" i="22"/>
  <c r="AI157" i="22"/>
  <c r="AD158" i="22"/>
  <c r="AH158" i="22"/>
  <c r="AL158" i="22"/>
  <c r="AE160" i="22"/>
  <c r="AI160" i="22"/>
  <c r="AD161" i="22"/>
  <c r="AO34" i="22"/>
  <c r="AO150" i="22"/>
  <c r="AN90" i="22"/>
  <c r="AP55" i="22"/>
  <c r="AN20" i="22"/>
  <c r="AM40" i="22"/>
  <c r="AM91" i="22"/>
  <c r="AL177" i="22"/>
  <c r="AH176" i="22"/>
  <c r="AE74" i="22"/>
  <c r="AE34" i="22"/>
  <c r="AE41" i="22"/>
  <c r="AG118" i="22"/>
  <c r="AJ123" i="22"/>
  <c r="AH134" i="22"/>
  <c r="AF61" i="22"/>
  <c r="AN9" i="22"/>
  <c r="AH11" i="22"/>
  <c r="AF13" i="22"/>
  <c r="AE15" i="22"/>
  <c r="AL16" i="22"/>
  <c r="AJ18" i="22"/>
  <c r="AH20" i="22"/>
  <c r="AF22" i="22"/>
  <c r="AD24" i="22"/>
  <c r="AK25" i="22"/>
  <c r="AI27" i="22"/>
  <c r="AG29" i="22"/>
  <c r="AE31" i="22"/>
  <c r="AL32" i="22"/>
  <c r="AJ35" i="22"/>
  <c r="AH37" i="22"/>
  <c r="AF44" i="22"/>
  <c r="AD47" i="22"/>
  <c r="AK48" i="22"/>
  <c r="AI50" i="22"/>
  <c r="AG52" i="22"/>
  <c r="AE54" i="22"/>
  <c r="AL55" i="22"/>
  <c r="AJ57" i="22"/>
  <c r="AJ58" i="22"/>
  <c r="AI59" i="22"/>
  <c r="AH60" i="22"/>
  <c r="AD63" i="22"/>
  <c r="AL63" i="22"/>
  <c r="AK64" i="22"/>
  <c r="AJ65" i="22"/>
  <c r="AI66" i="22"/>
  <c r="AH67" i="22"/>
  <c r="AG68" i="22"/>
  <c r="AF69" i="22"/>
  <c r="AE70" i="22"/>
  <c r="AD75" i="22"/>
  <c r="AL75" i="22"/>
  <c r="AK76" i="22"/>
  <c r="AJ77" i="22"/>
  <c r="AI78" i="22"/>
  <c r="AH79" i="22"/>
  <c r="AG80" i="22"/>
  <c r="AF81" i="22"/>
  <c r="AE82" i="22"/>
  <c r="AD83" i="22"/>
  <c r="AL83" i="22"/>
  <c r="AK84" i="22"/>
  <c r="AJ85" i="22"/>
  <c r="AI86" i="22"/>
  <c r="AH87" i="22"/>
  <c r="AG88" i="22"/>
  <c r="AF89" i="22"/>
  <c r="AE90" i="22"/>
  <c r="AD91" i="22"/>
  <c r="AJ91" i="22"/>
  <c r="AG92" i="22"/>
  <c r="AL92" i="22"/>
  <c r="AH93" i="22"/>
  <c r="AE94" i="22"/>
  <c r="AJ94" i="22"/>
  <c r="AF95" i="22"/>
  <c r="AL95" i="22"/>
  <c r="AH97" i="22"/>
  <c r="AD98" i="22"/>
  <c r="AJ98" i="22"/>
  <c r="AF99" i="22"/>
  <c r="AK99" i="22"/>
  <c r="AH100" i="22"/>
  <c r="AD101" i="22"/>
  <c r="AI101" i="22"/>
  <c r="AF102" i="22"/>
  <c r="AJ102" i="22"/>
  <c r="AE103" i="22"/>
  <c r="AI103" i="22"/>
  <c r="AD104" i="22"/>
  <c r="AH104" i="22"/>
  <c r="AL104" i="22"/>
  <c r="AG105" i="22"/>
  <c r="AK105" i="22"/>
  <c r="AF106" i="22"/>
  <c r="AJ106" i="22"/>
  <c r="AE107" i="22"/>
  <c r="AI107" i="22"/>
  <c r="AD108" i="22"/>
  <c r="AH108" i="22"/>
  <c r="AL108" i="22"/>
  <c r="AD111" i="22"/>
  <c r="AH111" i="22"/>
  <c r="AL111" i="22"/>
  <c r="AF112" i="22"/>
  <c r="AJ112" i="22"/>
  <c r="AE113" i="22"/>
  <c r="AI113" i="22"/>
  <c r="AD114" i="22"/>
  <c r="AH114" i="22"/>
  <c r="AL114" i="22"/>
  <c r="AE117" i="22"/>
  <c r="AI117" i="22"/>
  <c r="AD140" i="22"/>
  <c r="AH140" i="22"/>
  <c r="AL140" i="22"/>
  <c r="AG159" i="22"/>
  <c r="AK159" i="22"/>
  <c r="AF124" i="22"/>
  <c r="AJ124" i="22"/>
  <c r="AE125" i="22"/>
  <c r="AI125" i="22"/>
  <c r="AD132" i="22"/>
  <c r="AH132" i="22"/>
  <c r="AL132" i="22"/>
  <c r="AD141" i="22"/>
  <c r="AH141" i="22"/>
  <c r="AL141" i="22"/>
  <c r="AG142" i="22"/>
  <c r="AK142" i="22"/>
  <c r="AF143" i="22"/>
  <c r="AJ143" i="22"/>
  <c r="AE144" i="22"/>
  <c r="AI144" i="22"/>
  <c r="AD145" i="22"/>
  <c r="AH145" i="22"/>
  <c r="AL145" i="22"/>
  <c r="AG146" i="22"/>
  <c r="AK146" i="22"/>
  <c r="AF147" i="22"/>
  <c r="AJ147" i="22"/>
  <c r="AE148" i="22"/>
  <c r="AI148" i="22"/>
  <c r="AD149" i="22"/>
  <c r="AH149" i="22"/>
  <c r="AL149" i="22"/>
  <c r="AG150" i="22"/>
  <c r="AK150" i="22"/>
  <c r="AF151" i="22"/>
  <c r="AJ151" i="22"/>
  <c r="AE152" i="22"/>
  <c r="AI152" i="22"/>
  <c r="AG153" i="22"/>
  <c r="AK153" i="22"/>
  <c r="AF154" i="22"/>
  <c r="AJ154" i="22"/>
  <c r="AE155" i="22"/>
  <c r="AI155" i="22"/>
  <c r="AD156" i="22"/>
  <c r="AH156" i="22"/>
  <c r="AL156" i="22"/>
  <c r="AG157" i="22"/>
  <c r="AK157" i="22"/>
  <c r="AF158" i="22"/>
  <c r="AJ158" i="22"/>
  <c r="AP161" i="22"/>
  <c r="AO60" i="22"/>
  <c r="AM24" i="22"/>
  <c r="AM123" i="22"/>
  <c r="AF175" i="22"/>
  <c r="AJ41" i="22"/>
  <c r="AE133" i="22"/>
  <c r="AI109" i="22"/>
  <c r="AK12" i="22"/>
  <c r="AH16" i="22"/>
  <c r="AD20" i="22"/>
  <c r="AI23" i="22"/>
  <c r="AE27" i="22"/>
  <c r="AJ30" i="22"/>
  <c r="AF35" i="22"/>
  <c r="AK38" i="22"/>
  <c r="AG48" i="22"/>
  <c r="AL51" i="22"/>
  <c r="AH55" i="22"/>
  <c r="AH58" i="22"/>
  <c r="AF60" i="22"/>
  <c r="AJ63" i="22"/>
  <c r="AH65" i="22"/>
  <c r="AF67" i="22"/>
  <c r="AD69" i="22"/>
  <c r="AK70" i="22"/>
  <c r="AI76" i="22"/>
  <c r="AG78" i="22"/>
  <c r="AE80" i="22"/>
  <c r="AL81" i="22"/>
  <c r="AJ83" i="22"/>
  <c r="AH85" i="22"/>
  <c r="AF87" i="22"/>
  <c r="AD89" i="22"/>
  <c r="AK90" i="22"/>
  <c r="AE92" i="22"/>
  <c r="AG93" i="22"/>
  <c r="AI94" i="22"/>
  <c r="AJ95" i="22"/>
  <c r="AL97" i="22"/>
  <c r="AE99" i="22"/>
  <c r="AF100" i="22"/>
  <c r="AH101" i="22"/>
  <c r="AI102" i="22"/>
  <c r="AH103" i="22"/>
  <c r="AG104" i="22"/>
  <c r="AF105" i="22"/>
  <c r="AE106" i="22"/>
  <c r="AD107" i="22"/>
  <c r="AL107" i="22"/>
  <c r="AK108" i="22"/>
  <c r="AE111" i="22"/>
  <c r="AK112" i="22"/>
  <c r="AJ113" i="22"/>
  <c r="AI114" i="22"/>
  <c r="AD117" i="22"/>
  <c r="AL117" i="22"/>
  <c r="AK140" i="22"/>
  <c r="AJ159" i="22"/>
  <c r="AI124" i="22"/>
  <c r="AH125" i="22"/>
  <c r="AG132" i="22"/>
  <c r="AI141" i="22"/>
  <c r="AH142" i="22"/>
  <c r="AG143" i="22"/>
  <c r="AF144" i="22"/>
  <c r="AE145" i="22"/>
  <c r="AD146" i="22"/>
  <c r="AL146" i="22"/>
  <c r="AK147" i="22"/>
  <c r="AJ148" i="22"/>
  <c r="AI149" i="22"/>
  <c r="AH150" i="22"/>
  <c r="AG151" i="22"/>
  <c r="AF152" i="22"/>
  <c r="AJ153" i="22"/>
  <c r="AI154" i="22"/>
  <c r="AH155" i="22"/>
  <c r="AG156" i="22"/>
  <c r="AF157" i="22"/>
  <c r="AE158" i="22"/>
  <c r="AG160" i="22"/>
  <c r="AL160" i="22"/>
  <c r="AH161" i="22"/>
  <c r="AL161" i="22"/>
  <c r="AG162" i="22"/>
  <c r="AK162" i="22"/>
  <c r="AF163" i="22"/>
  <c r="AJ163" i="22"/>
  <c r="AE164" i="22"/>
  <c r="AI164" i="22"/>
  <c r="AD165" i="22"/>
  <c r="AH165" i="22"/>
  <c r="AL165" i="22"/>
  <c r="AG166" i="22"/>
  <c r="AK166" i="22"/>
  <c r="AF167" i="22"/>
  <c r="AJ167" i="22"/>
  <c r="AE168" i="22"/>
  <c r="AI168" i="22"/>
  <c r="AD170" i="22"/>
  <c r="AH170" i="22"/>
  <c r="AL170" i="22"/>
  <c r="AG171" i="22"/>
  <c r="AK171" i="22"/>
  <c r="AF172" i="22"/>
  <c r="AJ172" i="22"/>
  <c r="AE173" i="22"/>
  <c r="AI173" i="22"/>
  <c r="AD178" i="22"/>
  <c r="AH178" i="22"/>
  <c r="AL178" i="22"/>
  <c r="AG179" i="22"/>
  <c r="AK179" i="22"/>
  <c r="AF180" i="22"/>
  <c r="AJ180" i="22"/>
  <c r="AA9" i="22"/>
  <c r="B9" i="22" s="1"/>
  <c r="AA10" i="22"/>
  <c r="B10" i="22" s="1"/>
  <c r="AA11" i="22"/>
  <c r="B11" i="22" s="1"/>
  <c r="AC12" i="22"/>
  <c r="C12" i="22" s="1"/>
  <c r="AB15" i="22"/>
  <c r="AA17" i="22"/>
  <c r="B17" i="22" s="1"/>
  <c r="AA18" i="22"/>
  <c r="B18" i="22" s="1"/>
  <c r="AA19" i="22"/>
  <c r="B19" i="22" s="1"/>
  <c r="AC20" i="22"/>
  <c r="C20" i="22" s="1"/>
  <c r="AB23" i="22"/>
  <c r="AA25" i="22"/>
  <c r="B25" i="22" s="1"/>
  <c r="AA26" i="22"/>
  <c r="B26" i="22" s="1"/>
  <c r="AA27" i="22"/>
  <c r="B27" i="22" s="1"/>
  <c r="AC29" i="22"/>
  <c r="C29" i="22" s="1"/>
  <c r="AB30" i="22"/>
  <c r="AB31" i="22"/>
  <c r="AA33" i="22"/>
  <c r="B33" i="22" s="1"/>
  <c r="AC36" i="22"/>
  <c r="C36" i="22" s="1"/>
  <c r="AB37" i="22"/>
  <c r="AB38" i="22"/>
  <c r="AB39" i="22"/>
  <c r="AA41" i="22"/>
  <c r="B41" i="22" s="1"/>
  <c r="AA44" i="22"/>
  <c r="B44" i="22" s="1"/>
  <c r="AC45" i="22"/>
  <c r="C45" i="22" s="1"/>
  <c r="AC47" i="22"/>
  <c r="C47" i="22" s="1"/>
  <c r="AC48" i="22"/>
  <c r="C48" i="22" s="1"/>
  <c r="AB49" i="22"/>
  <c r="AB50" i="22"/>
  <c r="AB51" i="22"/>
  <c r="AA53" i="22"/>
  <c r="B53" i="22" s="1"/>
  <c r="AC54" i="22"/>
  <c r="C54" i="22" s="1"/>
  <c r="AC55" i="22"/>
  <c r="C55" i="22" s="1"/>
  <c r="AC56" i="22"/>
  <c r="C56" i="22" s="1"/>
  <c r="AB57" i="22"/>
  <c r="AB58" i="22"/>
  <c r="AB59" i="22"/>
  <c r="AA61" i="22"/>
  <c r="B61" i="22" s="1"/>
  <c r="AA62" i="22"/>
  <c r="B62" i="22" s="1"/>
  <c r="AA63" i="22"/>
  <c r="B63" i="22" s="1"/>
  <c r="AA64" i="22"/>
  <c r="B64" i="22" s="1"/>
  <c r="AA65" i="22"/>
  <c r="B65" i="22" s="1"/>
  <c r="AA66" i="22"/>
  <c r="B66" i="22" s="1"/>
  <c r="AA67" i="22"/>
  <c r="B67" i="22" s="1"/>
  <c r="AA68" i="22"/>
  <c r="B68" i="22" s="1"/>
  <c r="AA69" i="22"/>
  <c r="B69" i="22" s="1"/>
  <c r="AA70" i="22"/>
  <c r="B70" i="22" s="1"/>
  <c r="AA71" i="22"/>
  <c r="B71" i="22" s="1"/>
  <c r="AA72" i="22"/>
  <c r="B72" i="22" s="1"/>
  <c r="AA73" i="22"/>
  <c r="B73" i="22" s="1"/>
  <c r="AA74" i="22"/>
  <c r="B74" i="22" s="1"/>
  <c r="AA75" i="22"/>
  <c r="B75" i="22" s="1"/>
  <c r="AA76" i="22"/>
  <c r="B76" i="22" s="1"/>
  <c r="AA77" i="22"/>
  <c r="B77" i="22" s="1"/>
  <c r="AA78" i="22"/>
  <c r="B78" i="22" s="1"/>
  <c r="AA79" i="22"/>
  <c r="B79" i="22" s="1"/>
  <c r="AA80" i="22"/>
  <c r="B80" i="22" s="1"/>
  <c r="AA81" i="22"/>
  <c r="B81" i="22" s="1"/>
  <c r="AA82" i="22"/>
  <c r="B82" i="22" s="1"/>
  <c r="AA83" i="22"/>
  <c r="B83" i="22" s="1"/>
  <c r="AA84" i="22"/>
  <c r="B84" i="22" s="1"/>
  <c r="AC85" i="22"/>
  <c r="C85" i="22" s="1"/>
  <c r="AC86" i="22"/>
  <c r="C86" i="22" s="1"/>
  <c r="AC87" i="22"/>
  <c r="C87" i="22" s="1"/>
  <c r="AB88" i="22"/>
  <c r="AB89" i="22"/>
  <c r="AB90" i="22"/>
  <c r="AA92" i="22"/>
  <c r="B92" i="22" s="1"/>
  <c r="AC93" i="22"/>
  <c r="C93" i="22" s="1"/>
  <c r="AC94" i="22"/>
  <c r="C94" i="22" s="1"/>
  <c r="AC95" i="22"/>
  <c r="C95" i="22" s="1"/>
  <c r="AE96" i="22"/>
  <c r="AI96" i="22"/>
  <c r="AB96" i="22"/>
  <c r="AB97" i="22"/>
  <c r="AA99" i="22"/>
  <c r="B99" i="22" s="1"/>
  <c r="AC102" i="22"/>
  <c r="C102" i="22" s="1"/>
  <c r="AC103" i="22"/>
  <c r="C103" i="22" s="1"/>
  <c r="AC104" i="22"/>
  <c r="C104" i="22" s="1"/>
  <c r="AB105" i="22"/>
  <c r="AA107" i="22"/>
  <c r="B107" i="22" s="1"/>
  <c r="AA108" i="22"/>
  <c r="B108" i="22" s="1"/>
  <c r="AA109" i="22"/>
  <c r="B109" i="22" s="1"/>
  <c r="AC110" i="22"/>
  <c r="C110" i="22" s="1"/>
  <c r="AF110" i="22"/>
  <c r="AJ110" i="22"/>
  <c r="AA111" i="22"/>
  <c r="B111" i="22" s="1"/>
  <c r="AA112" i="22"/>
  <c r="B112" i="22" s="1"/>
  <c r="AA113" i="22"/>
  <c r="B113" i="22" s="1"/>
  <c r="AA114" i="22"/>
  <c r="B114" i="22" s="1"/>
  <c r="AF115" i="22"/>
  <c r="AJ115" i="22"/>
  <c r="AA116" i="22"/>
  <c r="B116" i="22" s="1"/>
  <c r="AG116" i="22"/>
  <c r="AK116" i="22"/>
  <c r="C118" i="22"/>
  <c r="C119" i="22"/>
  <c r="AA123" i="22"/>
  <c r="B123" i="22" s="1"/>
  <c r="AA124" i="22"/>
  <c r="B124" i="22" s="1"/>
  <c r="C126" i="22"/>
  <c r="C127" i="22"/>
  <c r="AA131" i="22"/>
  <c r="B131" i="22" s="1"/>
  <c r="AA132" i="22"/>
  <c r="B132" i="22" s="1"/>
  <c r="C133" i="22"/>
  <c r="C134" i="22"/>
  <c r="AB140" i="22"/>
  <c r="AB141" i="22"/>
  <c r="AA143" i="22"/>
  <c r="B143" i="22" s="1"/>
  <c r="AA144" i="22"/>
  <c r="B144" i="22" s="1"/>
  <c r="AC145" i="22"/>
  <c r="C145" i="22" s="1"/>
  <c r="AC146" i="22"/>
  <c r="C146" i="22" s="1"/>
  <c r="AB148" i="22"/>
  <c r="AB149" i="22"/>
  <c r="AA151" i="22"/>
  <c r="B151" i="22" s="1"/>
  <c r="AA152" i="22"/>
  <c r="B152" i="22" s="1"/>
  <c r="AC153" i="22"/>
  <c r="C153" i="22" s="1"/>
  <c r="AC154" i="22"/>
  <c r="C154" i="22" s="1"/>
  <c r="AB155" i="22"/>
  <c r="AB156" i="22"/>
  <c r="AA158" i="22"/>
  <c r="B158" i="22" s="1"/>
  <c r="AA159" i="22"/>
  <c r="B159" i="22" s="1"/>
  <c r="AC160" i="22"/>
  <c r="C160" i="22" s="1"/>
  <c r="AC161" i="22"/>
  <c r="C161" i="22" s="1"/>
  <c r="AC162" i="22"/>
  <c r="C162" i="22" s="1"/>
  <c r="AB163" i="22"/>
  <c r="AA165" i="22"/>
  <c r="B165" i="22" s="1"/>
  <c r="AA166" i="22"/>
  <c r="B166" i="22" s="1"/>
  <c r="AC168" i="22"/>
  <c r="C168" i="22" s="1"/>
  <c r="AC169" i="22"/>
  <c r="C169" i="22" s="1"/>
  <c r="AB170" i="22"/>
  <c r="AB171" i="22"/>
  <c r="AA173" i="22"/>
  <c r="B173" i="22" s="1"/>
  <c r="AA174" i="22"/>
  <c r="B174" i="22" s="1"/>
  <c r="AC176" i="22"/>
  <c r="C176" i="22" s="1"/>
  <c r="AC178" i="22"/>
  <c r="C178" i="22" s="1"/>
  <c r="AB179" i="22"/>
  <c r="AB180" i="22"/>
  <c r="AN42" i="22"/>
  <c r="AP26" i="22"/>
  <c r="AM80" i="22"/>
  <c r="AD39" i="22"/>
  <c r="AD11" i="22"/>
  <c r="AF18" i="22"/>
  <c r="AG25" i="22"/>
  <c r="AH32" i="22"/>
  <c r="AI45" i="22"/>
  <c r="AJ53" i="22"/>
  <c r="AG59" i="22"/>
  <c r="AG66" i="22"/>
  <c r="AL69" i="22"/>
  <c r="AH77" i="22"/>
  <c r="AF79" i="22"/>
  <c r="AK82" i="22"/>
  <c r="AG86" i="22"/>
  <c r="AL89" i="22"/>
  <c r="AK92" i="22"/>
  <c r="AE95" i="22"/>
  <c r="AH98" i="22"/>
  <c r="AL100" i="22"/>
  <c r="AD103" i="22"/>
  <c r="AK104" i="22"/>
  <c r="AI106" i="22"/>
  <c r="AG108" i="22"/>
  <c r="AI111" i="22"/>
  <c r="AF113" i="22"/>
  <c r="AG140" i="22"/>
  <c r="AE124" i="22"/>
  <c r="AL125" i="22"/>
  <c r="AD142" i="22"/>
  <c r="AK143" i="22"/>
  <c r="AI145" i="22"/>
  <c r="AG147" i="22"/>
  <c r="AE149" i="22"/>
  <c r="AL150" i="22"/>
  <c r="AJ152" i="22"/>
  <c r="AE154" i="22"/>
  <c r="AL155" i="22"/>
  <c r="AJ157" i="22"/>
  <c r="AD160" i="22"/>
  <c r="AJ160" i="22"/>
  <c r="AJ161" i="22"/>
  <c r="AI162" i="22"/>
  <c r="AH163" i="22"/>
  <c r="AG164" i="22"/>
  <c r="AF165" i="22"/>
  <c r="AE166" i="22"/>
  <c r="AD167" i="22"/>
  <c r="AL167" i="22"/>
  <c r="AK168" i="22"/>
  <c r="AJ170" i="22"/>
  <c r="AI171" i="22"/>
  <c r="AH172" i="22"/>
  <c r="AG173" i="22"/>
  <c r="AF178" i="22"/>
  <c r="AE179" i="22"/>
  <c r="AD180" i="22"/>
  <c r="AL180" i="22"/>
  <c r="AA15" i="22"/>
  <c r="B15" i="22" s="1"/>
  <c r="AB19" i="22"/>
  <c r="AN122" i="22"/>
  <c r="AN49" i="22"/>
  <c r="AM56" i="22"/>
  <c r="AM149" i="22"/>
  <c r="AI62" i="22"/>
  <c r="AL42" i="22"/>
  <c r="AD134" i="22"/>
  <c r="AE10" i="22"/>
  <c r="AJ13" i="22"/>
  <c r="AG17" i="22"/>
  <c r="AL20" i="22"/>
  <c r="AH24" i="22"/>
  <c r="AD28" i="22"/>
  <c r="AI31" i="22"/>
  <c r="AE36" i="22"/>
  <c r="AJ44" i="22"/>
  <c r="AF49" i="22"/>
  <c r="AK52" i="22"/>
  <c r="AG56" i="22"/>
  <c r="AL58" i="22"/>
  <c r="AJ60" i="22"/>
  <c r="AE64" i="22"/>
  <c r="AL65" i="22"/>
  <c r="AJ67" i="22"/>
  <c r="AH69" i="22"/>
  <c r="AF75" i="22"/>
  <c r="AD77" i="22"/>
  <c r="AK78" i="22"/>
  <c r="AI80" i="22"/>
  <c r="AG82" i="22"/>
  <c r="AE84" i="22"/>
  <c r="AL85" i="22"/>
  <c r="AJ87" i="22"/>
  <c r="AH89" i="22"/>
  <c r="AF91" i="22"/>
  <c r="AH92" i="22"/>
  <c r="AJ93" i="22"/>
  <c r="AK94" i="22"/>
  <c r="AD97" i="22"/>
  <c r="AF98" i="22"/>
  <c r="AG99" i="22"/>
  <c r="AI100" i="22"/>
  <c r="AK101" i="22"/>
  <c r="AK102" i="22"/>
  <c r="AJ103" i="22"/>
  <c r="AI104" i="22"/>
  <c r="AH105" i="22"/>
  <c r="AG106" i="22"/>
  <c r="AF107" i="22"/>
  <c r="AE108" i="22"/>
  <c r="AG111" i="22"/>
  <c r="AE112" i="22"/>
  <c r="AD113" i="22"/>
  <c r="AL113" i="22"/>
  <c r="AK114" i="22"/>
  <c r="AF117" i="22"/>
  <c r="AE140" i="22"/>
  <c r="AD159" i="22"/>
  <c r="AL159" i="22"/>
  <c r="AK124" i="22"/>
  <c r="AJ125" i="22"/>
  <c r="AI132" i="22"/>
  <c r="AK141" i="22"/>
  <c r="AJ142" i="22"/>
  <c r="AI143" i="22"/>
  <c r="AH144" i="22"/>
  <c r="AG145" i="22"/>
  <c r="AF146" i="22"/>
  <c r="AE147" i="22"/>
  <c r="AD148" i="22"/>
  <c r="AL148" i="22"/>
  <c r="AK149" i="22"/>
  <c r="AJ150" i="22"/>
  <c r="AI151" i="22"/>
  <c r="AH152" i="22"/>
  <c r="AD153" i="22"/>
  <c r="AL153" i="22"/>
  <c r="AK154" i="22"/>
  <c r="AJ155" i="22"/>
  <c r="AI156" i="22"/>
  <c r="AH157" i="22"/>
  <c r="AG158" i="22"/>
  <c r="AH160" i="22"/>
  <c r="AE161" i="22"/>
  <c r="AI161" i="22"/>
  <c r="AD162" i="22"/>
  <c r="AH162" i="22"/>
  <c r="AL162" i="22"/>
  <c r="AG163" i="22"/>
  <c r="AK163" i="22"/>
  <c r="AF164" i="22"/>
  <c r="AJ164" i="22"/>
  <c r="AE165" i="22"/>
  <c r="AI165" i="22"/>
  <c r="AD166" i="22"/>
  <c r="AH166" i="22"/>
  <c r="AL166" i="22"/>
  <c r="AG167" i="22"/>
  <c r="AK167" i="22"/>
  <c r="AF168" i="22"/>
  <c r="AJ168" i="22"/>
  <c r="AE170" i="22"/>
  <c r="AI170" i="22"/>
  <c r="AD171" i="22"/>
  <c r="AH171" i="22"/>
  <c r="AL171" i="22"/>
  <c r="AG172" i="22"/>
  <c r="AK172" i="22"/>
  <c r="AF173" i="22"/>
  <c r="AJ173" i="22"/>
  <c r="AE178" i="22"/>
  <c r="AI178" i="22"/>
  <c r="AD179" i="22"/>
  <c r="AH179" i="22"/>
  <c r="AL179" i="22"/>
  <c r="AG180" i="22"/>
  <c r="AK180" i="22"/>
  <c r="AC9" i="22"/>
  <c r="C9" i="22" s="1"/>
  <c r="AC10" i="22"/>
  <c r="C10" i="22" s="1"/>
  <c r="AC11" i="22"/>
  <c r="C11" i="22" s="1"/>
  <c r="AB12" i="22"/>
  <c r="AB13" i="22"/>
  <c r="AB14" i="22"/>
  <c r="AA16" i="22"/>
  <c r="B16" i="22" s="1"/>
  <c r="AC17" i="22"/>
  <c r="C17" i="22" s="1"/>
  <c r="AC18" i="22"/>
  <c r="C18" i="22" s="1"/>
  <c r="AC19" i="22"/>
  <c r="C19" i="22" s="1"/>
  <c r="AB20" i="22"/>
  <c r="AB21" i="22"/>
  <c r="AB22" i="22"/>
  <c r="AA24" i="22"/>
  <c r="B24" i="22" s="1"/>
  <c r="AC25" i="22"/>
  <c r="C25" i="22" s="1"/>
  <c r="AC26" i="22"/>
  <c r="C26" i="22" s="1"/>
  <c r="AC27" i="22"/>
  <c r="C27" i="22" s="1"/>
  <c r="AC28" i="22"/>
  <c r="C28" i="22" s="1"/>
  <c r="AB29" i="22"/>
  <c r="AA31" i="22"/>
  <c r="B31" i="22" s="1"/>
  <c r="AA32" i="22"/>
  <c r="B32" i="22" s="1"/>
  <c r="AC33" i="22"/>
  <c r="C33" i="22" s="1"/>
  <c r="AC34" i="22"/>
  <c r="C34" i="22" s="1"/>
  <c r="AC35" i="22"/>
  <c r="C35" i="22" s="1"/>
  <c r="AB36" i="22"/>
  <c r="AA38" i="22"/>
  <c r="B38" i="22" s="1"/>
  <c r="AA39" i="22"/>
  <c r="B39" i="22" s="1"/>
  <c r="AA40" i="22"/>
  <c r="B40" i="22" s="1"/>
  <c r="AC41" i="22"/>
  <c r="C41" i="22" s="1"/>
  <c r="AC44" i="22"/>
  <c r="C44" i="22" s="1"/>
  <c r="AB45" i="22"/>
  <c r="AB48" i="22"/>
  <c r="AA50" i="22"/>
  <c r="B50" i="22" s="1"/>
  <c r="AA51" i="22"/>
  <c r="B51" i="22" s="1"/>
  <c r="AA52" i="22"/>
  <c r="B52" i="22" s="1"/>
  <c r="AC53" i="22"/>
  <c r="C53" i="22" s="1"/>
  <c r="AB56" i="22"/>
  <c r="AA58" i="22"/>
  <c r="B58" i="22" s="1"/>
  <c r="AA59" i="22"/>
  <c r="B59" i="22" s="1"/>
  <c r="AA60" i="22"/>
  <c r="B60" i="22" s="1"/>
  <c r="AC61" i="22"/>
  <c r="C61" i="22" s="1"/>
  <c r="AC64" i="22"/>
  <c r="C64" i="22" s="1"/>
  <c r="AC65" i="22"/>
  <c r="C65" i="22" s="1"/>
  <c r="AC68" i="22"/>
  <c r="C68" i="22" s="1"/>
  <c r="AC69" i="22"/>
  <c r="C69" i="22" s="1"/>
  <c r="AC72" i="22"/>
  <c r="C72" i="22" s="1"/>
  <c r="AC73" i="22"/>
  <c r="C73" i="22" s="1"/>
  <c r="AC76" i="22"/>
  <c r="C76" i="22" s="1"/>
  <c r="AC77" i="22"/>
  <c r="C77" i="22" s="1"/>
  <c r="AC80" i="22"/>
  <c r="C80" i="22" s="1"/>
  <c r="AC81" i="22"/>
  <c r="C81" i="22" s="1"/>
  <c r="AC84" i="22"/>
  <c r="C84" i="22" s="1"/>
  <c r="AB87" i="22"/>
  <c r="AA89" i="22"/>
  <c r="B89" i="22" s="1"/>
  <c r="AA90" i="22"/>
  <c r="B90" i="22" s="1"/>
  <c r="AA91" i="22"/>
  <c r="B91" i="22" s="1"/>
  <c r="AC92" i="22"/>
  <c r="C92" i="22" s="1"/>
  <c r="AB95" i="22"/>
  <c r="AF96" i="22"/>
  <c r="AJ96" i="22"/>
  <c r="AA97" i="22"/>
  <c r="B97" i="22" s="1"/>
  <c r="AA98" i="22"/>
  <c r="B98" i="22" s="1"/>
  <c r="AC99" i="22"/>
  <c r="C99" i="22" s="1"/>
  <c r="AC100" i="22"/>
  <c r="C100" i="22" s="1"/>
  <c r="AC101" i="22"/>
  <c r="C101" i="22" s="1"/>
  <c r="AB102" i="22"/>
  <c r="AB103" i="22"/>
  <c r="AB104" i="22"/>
  <c r="AA106" i="22"/>
  <c r="B106" i="22" s="1"/>
  <c r="AC109" i="22"/>
  <c r="C109" i="22" s="1"/>
  <c r="AG110" i="22"/>
  <c r="AK110" i="22"/>
  <c r="AC114" i="22"/>
  <c r="C114" i="22" s="1"/>
  <c r="AC115" i="22"/>
  <c r="C115" i="22" s="1"/>
  <c r="AG115" i="22"/>
  <c r="AK115" i="22"/>
  <c r="AD116" i="22"/>
  <c r="AH116" i="22"/>
  <c r="AL116" i="22"/>
  <c r="AC117" i="22"/>
  <c r="C117" i="22" s="1"/>
  <c r="B121" i="22"/>
  <c r="AA122" i="22"/>
  <c r="B122" i="22" s="1"/>
  <c r="C124" i="22"/>
  <c r="C125" i="22"/>
  <c r="AA129" i="22"/>
  <c r="B129" i="22" s="1"/>
  <c r="AA130" i="22"/>
  <c r="B130" i="22" s="1"/>
  <c r="C132" i="22"/>
  <c r="AA141" i="22"/>
  <c r="B141" i="22" s="1"/>
  <c r="AA142" i="22"/>
  <c r="B142" i="22" s="1"/>
  <c r="AC143" i="22"/>
  <c r="C143" i="22" s="1"/>
  <c r="AC144" i="22"/>
  <c r="C144" i="22" s="1"/>
  <c r="AB146" i="22"/>
  <c r="AB147" i="22"/>
  <c r="AA149" i="22"/>
  <c r="B149" i="22" s="1"/>
  <c r="AA150" i="22"/>
  <c r="B150" i="22" s="1"/>
  <c r="AC151" i="22"/>
  <c r="C151" i="22" s="1"/>
  <c r="AC152" i="22"/>
  <c r="C152" i="22" s="1"/>
  <c r="AB154" i="22"/>
  <c r="AA156" i="22"/>
  <c r="B156" i="22" s="1"/>
  <c r="AA157" i="22"/>
  <c r="B157" i="22" s="1"/>
  <c r="AC158" i="22"/>
  <c r="C158" i="22" s="1"/>
  <c r="AC159" i="22"/>
  <c r="C159" i="22" s="1"/>
  <c r="AB162" i="22"/>
  <c r="AA164" i="22"/>
  <c r="B164" i="22" s="1"/>
  <c r="AC166" i="22"/>
  <c r="C166" i="22" s="1"/>
  <c r="AC167" i="22"/>
  <c r="C167" i="22" s="1"/>
  <c r="AB168" i="22"/>
  <c r="AB169" i="22"/>
  <c r="AA171" i="22"/>
  <c r="B171" i="22" s="1"/>
  <c r="AA172" i="22"/>
  <c r="B172" i="22" s="1"/>
  <c r="AC174" i="22"/>
  <c r="C174" i="22" s="1"/>
  <c r="AC175" i="22"/>
  <c r="C175" i="22" s="1"/>
  <c r="AB176" i="22"/>
  <c r="AB178" i="22"/>
  <c r="AA180" i="22"/>
  <c r="B180" i="22" s="1"/>
  <c r="AO101" i="22"/>
  <c r="AM171" i="22"/>
  <c r="AL72" i="22"/>
  <c r="AK118" i="22"/>
  <c r="AL134" i="22"/>
  <c r="AK9" i="22"/>
  <c r="AJ14" i="22"/>
  <c r="AK21" i="22"/>
  <c r="AL28" i="22"/>
  <c r="AD37" i="22"/>
  <c r="AE50" i="22"/>
  <c r="AF57" i="22"/>
  <c r="AI64" i="22"/>
  <c r="AE68" i="22"/>
  <c r="AJ75" i="22"/>
  <c r="AD81" i="22"/>
  <c r="AI84" i="22"/>
  <c r="AE88" i="22"/>
  <c r="AI91" i="22"/>
  <c r="AL93" i="22"/>
  <c r="AG97" i="22"/>
  <c r="AJ99" i="22"/>
  <c r="AD102" i="22"/>
  <c r="AL103" i="22"/>
  <c r="AJ105" i="22"/>
  <c r="AH107" i="22"/>
  <c r="AG112" i="22"/>
  <c r="AE114" i="22"/>
  <c r="AH117" i="22"/>
  <c r="AF159" i="22"/>
  <c r="AD125" i="22"/>
  <c r="AK132" i="22"/>
  <c r="AE141" i="22"/>
  <c r="AL142" i="22"/>
  <c r="AJ144" i="22"/>
  <c r="AH146" i="22"/>
  <c r="AF148" i="22"/>
  <c r="AD150" i="22"/>
  <c r="AK151" i="22"/>
  <c r="AF153" i="22"/>
  <c r="AD155" i="22"/>
  <c r="AK156" i="22"/>
  <c r="AI158" i="22"/>
  <c r="AF161" i="22"/>
  <c r="AE162" i="22"/>
  <c r="AD163" i="22"/>
  <c r="AL163" i="22"/>
  <c r="AK164" i="22"/>
  <c r="AJ165" i="22"/>
  <c r="AI166" i="22"/>
  <c r="AH167" i="22"/>
  <c r="AG168" i="22"/>
  <c r="AF170" i="22"/>
  <c r="AE171" i="22"/>
  <c r="AD172" i="22"/>
  <c r="AL172" i="22"/>
  <c r="AK173" i="22"/>
  <c r="AJ178" i="22"/>
  <c r="AI179" i="22"/>
  <c r="AH180" i="22"/>
  <c r="AB11" i="22"/>
  <c r="AA13" i="22"/>
  <c r="B13" i="22" s="1"/>
  <c r="AA14" i="22"/>
  <c r="B14" i="22" s="1"/>
  <c r="AC16" i="22"/>
  <c r="C16" i="22" s="1"/>
  <c r="AC180" i="22"/>
  <c r="C180" i="22" s="1"/>
  <c r="AA175" i="22"/>
  <c r="B175" i="22" s="1"/>
  <c r="AC170" i="22"/>
  <c r="C170" i="22" s="1"/>
  <c r="AB165" i="22"/>
  <c r="AA161" i="22"/>
  <c r="B161" i="22" s="1"/>
  <c r="AB158" i="22"/>
  <c r="AA154" i="22"/>
  <c r="B154" i="22" s="1"/>
  <c r="AB151" i="22"/>
  <c r="AC147" i="22"/>
  <c r="C147" i="22" s="1"/>
  <c r="AB142" i="22"/>
  <c r="B134" i="22"/>
  <c r="C129" i="22"/>
  <c r="AC111" i="22"/>
  <c r="C111" i="22" s="1"/>
  <c r="AB109" i="22"/>
  <c r="AA105" i="22"/>
  <c r="B105" i="22" s="1"/>
  <c r="AA103" i="22"/>
  <c r="B103" i="22" s="1"/>
  <c r="AB100" i="22"/>
  <c r="AC98" i="22"/>
  <c r="C98" i="22" s="1"/>
  <c r="AK96" i="22"/>
  <c r="AA96" i="22"/>
  <c r="B96" i="22" s="1"/>
  <c r="AC91" i="22"/>
  <c r="C91" i="22" s="1"/>
  <c r="AC78" i="22"/>
  <c r="C78" i="22" s="1"/>
  <c r="AC74" i="22"/>
  <c r="C74" i="22" s="1"/>
  <c r="AC66" i="22"/>
  <c r="C66" i="22" s="1"/>
  <c r="AC62" i="22"/>
  <c r="C62" i="22" s="1"/>
  <c r="AC58" i="22"/>
  <c r="C58" i="22" s="1"/>
  <c r="AB53" i="22"/>
  <c r="AA49" i="22"/>
  <c r="B49" i="22" s="1"/>
  <c r="AB41" i="22"/>
  <c r="AA37" i="22"/>
  <c r="B37" i="22" s="1"/>
  <c r="AC32" i="22"/>
  <c r="C32" i="22" s="1"/>
  <c r="AA21" i="22"/>
  <c r="B21" i="22" s="1"/>
  <c r="AA12" i="22"/>
  <c r="B12" i="22" s="1"/>
  <c r="AI180" i="22"/>
  <c r="AD173" i="22"/>
  <c r="AH168" i="22"/>
  <c r="AL164" i="22"/>
  <c r="AG161" i="22"/>
  <c r="AE156" i="22"/>
  <c r="AJ146" i="22"/>
  <c r="AG124" i="22"/>
  <c r="AI112" i="22"/>
  <c r="AF103" i="22"/>
  <c r="AD93" i="22"/>
  <c r="AJ79" i="22"/>
  <c r="AD51" i="22"/>
  <c r="AI15" i="22"/>
  <c r="AH40" i="22"/>
  <c r="AC179" i="22"/>
  <c r="C179" i="22" s="1"/>
  <c r="AA176" i="22"/>
  <c r="B176" i="22" s="1"/>
  <c r="AB173" i="22"/>
  <c r="AC171" i="22"/>
  <c r="C171" i="22" s="1"/>
  <c r="AA167" i="22"/>
  <c r="B167" i="22" s="1"/>
  <c r="AB164" i="22"/>
  <c r="AA162" i="22"/>
  <c r="B162" i="22" s="1"/>
  <c r="AA160" i="22"/>
  <c r="B160" i="22" s="1"/>
  <c r="AB157" i="22"/>
  <c r="AC155" i="22"/>
  <c r="C155" i="22" s="1"/>
  <c r="AA153" i="22"/>
  <c r="B153" i="22" s="1"/>
  <c r="AB150" i="22"/>
  <c r="AC148" i="22"/>
  <c r="C148" i="22" s="1"/>
  <c r="AA146" i="22"/>
  <c r="B146" i="22" s="1"/>
  <c r="AB143" i="22"/>
  <c r="AA133" i="22"/>
  <c r="B133" i="22" s="1"/>
  <c r="C128" i="22"/>
  <c r="AA126" i="22"/>
  <c r="B126" i="22" s="1"/>
  <c r="C121" i="22"/>
  <c r="AA117" i="22"/>
  <c r="B117" i="22" s="1"/>
  <c r="AF116" i="22"/>
  <c r="AC116" i="22"/>
  <c r="C116" i="22" s="1"/>
  <c r="AH115" i="22"/>
  <c r="AB114" i="22"/>
  <c r="AC112" i="22"/>
  <c r="C112" i="22" s="1"/>
  <c r="AL110" i="22"/>
  <c r="AD110" i="22"/>
  <c r="AC108" i="22"/>
  <c r="C108" i="22" s="1"/>
  <c r="AC106" i="22"/>
  <c r="C106" i="22" s="1"/>
  <c r="AA104" i="22"/>
  <c r="B104" i="22" s="1"/>
  <c r="AB101" i="22"/>
  <c r="AB99" i="22"/>
  <c r="AG96" i="22"/>
  <c r="AB94" i="22"/>
  <c r="AB92" i="22"/>
  <c r="AC90" i="22"/>
  <c r="C90" i="22" s="1"/>
  <c r="AA88" i="22"/>
  <c r="B88" i="22" s="1"/>
  <c r="AB85" i="22"/>
  <c r="AC83" i="22"/>
  <c r="C83" i="22" s="1"/>
  <c r="AC79" i="22"/>
  <c r="C79" i="22" s="1"/>
  <c r="AC75" i="22"/>
  <c r="C75" i="22" s="1"/>
  <c r="AC71" i="22"/>
  <c r="C71" i="22" s="1"/>
  <c r="AC67" i="22"/>
  <c r="C67" i="22" s="1"/>
  <c r="AC63" i="22"/>
  <c r="C63" i="22" s="1"/>
  <c r="AC59" i="22"/>
  <c r="C59" i="22" s="1"/>
  <c r="AA57" i="22"/>
  <c r="B57" i="22" s="1"/>
  <c r="AB54" i="22"/>
  <c r="AC52" i="22"/>
  <c r="C52" i="22" s="1"/>
  <c r="AC50" i="22"/>
  <c r="C50" i="22" s="1"/>
  <c r="AB47" i="22"/>
  <c r="AB44" i="22"/>
  <c r="AC40" i="22"/>
  <c r="C40" i="22" s="1"/>
  <c r="AB35" i="22"/>
  <c r="AB33" i="22"/>
  <c r="AB28" i="22"/>
  <c r="AC24" i="22"/>
  <c r="C24" i="22" s="1"/>
  <c r="AA22" i="22"/>
  <c r="B22" i="22" s="1"/>
  <c r="AB18" i="22"/>
  <c r="AC14" i="22"/>
  <c r="C14" i="22" s="1"/>
  <c r="AB9" i="22"/>
  <c r="AJ179" i="22"/>
  <c r="AL173" i="22"/>
  <c r="AE172" i="22"/>
  <c r="AG170" i="22"/>
  <c r="AI167" i="22"/>
  <c r="AK165" i="22"/>
  <c r="AD164" i="22"/>
  <c r="AF162" i="22"/>
  <c r="AF160" i="22"/>
  <c r="AL157" i="22"/>
  <c r="AG154" i="22"/>
  <c r="AD152" i="22"/>
  <c r="AH148" i="22"/>
  <c r="AL144" i="22"/>
  <c r="AG141" i="22"/>
  <c r="AE132" i="22"/>
  <c r="AI140" i="22"/>
  <c r="AG114" i="22"/>
  <c r="AK111" i="22"/>
  <c r="AI108" i="22"/>
  <c r="AD105" i="22"/>
  <c r="AE101" i="22"/>
  <c r="AH95" i="22"/>
  <c r="AG90" i="22"/>
  <c r="AF83" i="22"/>
  <c r="AE76" i="22"/>
  <c r="AD65" i="22"/>
  <c r="AD58" i="22"/>
  <c r="AL37" i="22"/>
  <c r="AJ22" i="22"/>
  <c r="AJ61" i="22"/>
  <c r="AF123" i="22"/>
  <c r="AO15" i="22"/>
  <c r="O96" i="8"/>
  <c r="X133" i="4"/>
  <c r="N96" i="8"/>
  <c r="N115" i="8"/>
  <c r="AN110" i="8"/>
  <c r="T110" i="8" s="1"/>
  <c r="Y48" i="10" s="1"/>
  <c r="Z48" i="10" s="1"/>
  <c r="L34" i="4"/>
  <c r="Q34" i="4" s="1"/>
  <c r="Y90" i="4"/>
  <c r="S90" i="22" s="1"/>
  <c r="O33" i="4"/>
  <c r="AL115" i="8"/>
  <c r="Y161" i="4"/>
  <c r="R39" i="4"/>
  <c r="R39" i="22" s="1"/>
  <c r="R33" i="4"/>
  <c r="S34" i="4"/>
  <c r="X34" i="4" s="1"/>
  <c r="S10" i="4"/>
  <c r="X10" i="4" s="1"/>
  <c r="X112" i="4"/>
  <c r="S96" i="8"/>
  <c r="R155" i="4"/>
  <c r="R155" i="22" s="1"/>
  <c r="AN111" i="8"/>
  <c r="T111" i="8" s="1"/>
  <c r="AC52" i="11" s="1"/>
  <c r="AD52" i="11" s="1"/>
  <c r="R58" i="4"/>
  <c r="R58" i="22" s="1"/>
  <c r="X39" i="4"/>
  <c r="M33" i="4"/>
  <c r="X79" i="4"/>
  <c r="Y79" i="4"/>
  <c r="S79" i="22" s="1"/>
  <c r="Q86" i="4"/>
  <c r="R86" i="4"/>
  <c r="R86" i="22" s="1"/>
  <c r="Y155" i="4"/>
  <c r="S155" i="22" s="1"/>
  <c r="Q98" i="4"/>
  <c r="K43" i="2"/>
  <c r="X71" i="4"/>
  <c r="Y71" i="4"/>
  <c r="S71" i="22" s="1"/>
  <c r="Y98" i="4"/>
  <c r="S98" i="22" s="1"/>
  <c r="S97" i="4"/>
  <c r="X98" i="4"/>
  <c r="W28" i="11"/>
  <c r="V28" i="11"/>
  <c r="Y28" i="11"/>
  <c r="U33" i="11"/>
  <c r="U30" i="11"/>
  <c r="W32" i="10"/>
  <c r="W33" i="10"/>
  <c r="W31" i="10"/>
  <c r="Y178" i="4"/>
  <c r="S178" i="22" s="1"/>
  <c r="R174" i="4"/>
  <c r="R174" i="22" s="1"/>
  <c r="Q174" i="4"/>
  <c r="D65" i="12"/>
  <c r="X63" i="4"/>
  <c r="R14" i="4"/>
  <c r="R14" i="22" s="1"/>
  <c r="O115" i="8"/>
  <c r="AI115" i="8"/>
  <c r="V28" i="9"/>
  <c r="U30" i="9"/>
  <c r="U33" i="9"/>
  <c r="X28" i="9"/>
  <c r="U31" i="9"/>
  <c r="U32" i="9"/>
  <c r="W28" i="9"/>
  <c r="Y28" i="9"/>
  <c r="X146" i="4"/>
  <c r="Y146" i="4"/>
  <c r="M32" i="4"/>
  <c r="L20" i="4"/>
  <c r="O32" i="4"/>
  <c r="Q32" i="4"/>
  <c r="W32" i="11"/>
  <c r="V30" i="11"/>
  <c r="V33" i="11"/>
  <c r="V31" i="11"/>
  <c r="V32" i="11"/>
  <c r="Y33" i="10"/>
  <c r="R32" i="4"/>
  <c r="R170" i="4"/>
  <c r="R170" i="22" s="1"/>
  <c r="X141" i="4"/>
  <c r="Y141" i="4"/>
  <c r="X86" i="4"/>
  <c r="Y86" i="4"/>
  <c r="S86" i="22" s="1"/>
  <c r="L97" i="4"/>
  <c r="R102" i="4"/>
  <c r="R102" i="22" s="1"/>
  <c r="Q102" i="4"/>
  <c r="Y21" i="4"/>
  <c r="S21" i="22" s="1"/>
  <c r="S20" i="4"/>
  <c r="X21" i="4"/>
  <c r="AA127" i="8"/>
  <c r="L127" i="47" s="1"/>
  <c r="U32" i="11"/>
  <c r="U31" i="11"/>
  <c r="X28" i="11"/>
  <c r="X28" i="10"/>
  <c r="U31" i="10"/>
  <c r="U32" i="10"/>
  <c r="V28" i="10"/>
  <c r="U30" i="10"/>
  <c r="Q170" i="4"/>
  <c r="L62" i="4"/>
  <c r="Q63" i="4"/>
  <c r="R63" i="4"/>
  <c r="R63" i="22" s="1"/>
  <c r="S47" i="4"/>
  <c r="X48" i="4"/>
  <c r="Y48" i="4"/>
  <c r="S48" i="22" s="1"/>
  <c r="Y14" i="4"/>
  <c r="S14" i="22" s="1"/>
  <c r="X14" i="4"/>
  <c r="Y170" i="4"/>
  <c r="S170" i="22" s="1"/>
  <c r="Q141" i="4"/>
  <c r="R141" i="4"/>
  <c r="S75" i="4"/>
  <c r="L75" i="4"/>
  <c r="Q79" i="4"/>
  <c r="R79" i="4"/>
  <c r="R79" i="22" s="1"/>
  <c r="L47" i="4"/>
  <c r="Q48" i="4"/>
  <c r="L10" i="4"/>
  <c r="Y32" i="4"/>
  <c r="X32" i="4"/>
  <c r="T32" i="4"/>
  <c r="R153" i="4"/>
  <c r="R90" i="4"/>
  <c r="R90" i="22" s="1"/>
  <c r="Y76" i="4"/>
  <c r="S76" i="22" s="1"/>
  <c r="S62" i="4"/>
  <c r="Y58" i="4"/>
  <c r="S58" i="22" s="1"/>
  <c r="X121" i="4"/>
  <c r="AB113" i="8"/>
  <c r="L113" i="22" s="1"/>
  <c r="AO111" i="8"/>
  <c r="U111" i="8" s="1"/>
  <c r="AA120" i="8"/>
  <c r="L120" i="47" s="1"/>
  <c r="AO110" i="8"/>
  <c r="AB125" i="8"/>
  <c r="L125" i="22" s="1"/>
  <c r="U35" i="10"/>
  <c r="AP46" i="22"/>
  <c r="AO43" i="22"/>
  <c r="AL43" i="22"/>
  <c r="AJ43" i="22"/>
  <c r="AH43" i="22"/>
  <c r="AF43" i="22"/>
  <c r="AD43" i="22"/>
  <c r="AA43" i="22"/>
  <c r="B43" i="22" s="1"/>
  <c r="AP44" i="22"/>
  <c r="AN43" i="22"/>
  <c r="AK43" i="22"/>
  <c r="AI43" i="22"/>
  <c r="AG43" i="22"/>
  <c r="AE43" i="22"/>
  <c r="AC43" i="22"/>
  <c r="C43" i="22" s="1"/>
  <c r="AP43" i="22"/>
  <c r="AK46" i="22"/>
  <c r="AG46" i="22"/>
  <c r="AC46" i="22"/>
  <c r="C46" i="22" s="1"/>
  <c r="AA42" i="22"/>
  <c r="B42" i="22" s="1"/>
  <c r="AN46" i="22"/>
  <c r="AI46" i="22"/>
  <c r="AE46" i="22"/>
  <c r="AL46" i="22"/>
  <c r="AD46" i="22"/>
  <c r="AO46" i="22"/>
  <c r="AF46" i="22"/>
  <c r="AJ46" i="22"/>
  <c r="AI130" i="22"/>
  <c r="AH130" i="22"/>
  <c r="AL128" i="22"/>
  <c r="AK129" i="22"/>
  <c r="AG129" i="22"/>
  <c r="AF129" i="22"/>
  <c r="AE129" i="22"/>
  <c r="AD129" i="22"/>
  <c r="AH46" i="22"/>
  <c r="AI128" i="22"/>
  <c r="AH128" i="22"/>
  <c r="AL130" i="22"/>
  <c r="AK127" i="22"/>
  <c r="AK131" i="22"/>
  <c r="AG127" i="22"/>
  <c r="AG131" i="22"/>
  <c r="AF127" i="22"/>
  <c r="AF131" i="22"/>
  <c r="AE127" i="22"/>
  <c r="AE131" i="22"/>
  <c r="AD127" i="22"/>
  <c r="AD131" i="22"/>
  <c r="AI131" i="22"/>
  <c r="AH127" i="22"/>
  <c r="AL129" i="22"/>
  <c r="AK130" i="22"/>
  <c r="AF130" i="22"/>
  <c r="AD130" i="22"/>
  <c r="AH129" i="22"/>
  <c r="AL131" i="22"/>
  <c r="AG128" i="22"/>
  <c r="AE128" i="22"/>
  <c r="AJ127" i="22"/>
  <c r="AJ131" i="22"/>
  <c r="AA46" i="22"/>
  <c r="B46" i="22" s="1"/>
  <c r="AI127" i="22"/>
  <c r="AH131" i="22"/>
  <c r="AK128" i="22"/>
  <c r="AD128" i="22"/>
  <c r="AJ128" i="22"/>
  <c r="AI129" i="22"/>
  <c r="AL127" i="22"/>
  <c r="AE130" i="22"/>
  <c r="AJ129" i="22"/>
  <c r="AF128" i="22"/>
  <c r="V67" i="2"/>
  <c r="W47" i="2" s="1"/>
  <c r="O67" i="2"/>
  <c r="R124" i="4"/>
  <c r="Q161" i="4" l="1"/>
  <c r="J43" i="22"/>
  <c r="E45" i="22" s="1"/>
  <c r="AL45" i="4" s="1"/>
  <c r="Z54" i="2"/>
  <c r="F28" i="55"/>
  <c r="R28" i="55" s="1"/>
  <c r="Z57" i="2"/>
  <c r="F30" i="55"/>
  <c r="R30" i="55" s="1"/>
  <c r="O27" i="60"/>
  <c r="L27" i="60"/>
  <c r="U27" i="60"/>
  <c r="S56" i="2"/>
  <c r="L28" i="60"/>
  <c r="O28" i="60"/>
  <c r="U28" i="60"/>
  <c r="Z63" i="2"/>
  <c r="F31" i="55"/>
  <c r="Z56" i="2"/>
  <c r="F29" i="55"/>
  <c r="R29" i="55" s="1"/>
  <c r="Z61" i="2"/>
  <c r="F33" i="55"/>
  <c r="R33" i="55" s="1"/>
  <c r="Z47" i="2"/>
  <c r="F26" i="55"/>
  <c r="Z60" i="2"/>
  <c r="F32" i="55"/>
  <c r="R32" i="55" s="1"/>
  <c r="Z49" i="2"/>
  <c r="F27" i="55"/>
  <c r="R27" i="55" s="1"/>
  <c r="I43" i="22"/>
  <c r="D44" i="22" s="1"/>
  <c r="AE44" i="4" s="1"/>
  <c r="R34" i="4"/>
  <c r="O30" i="60"/>
  <c r="U30" i="60"/>
  <c r="L30" i="60"/>
  <c r="O29" i="60"/>
  <c r="U29" i="60"/>
  <c r="S61" i="2"/>
  <c r="F33" i="60"/>
  <c r="R33" i="60" s="1"/>
  <c r="S47" i="2"/>
  <c r="F26" i="60"/>
  <c r="I17" i="59"/>
  <c r="AF118" i="8" s="1"/>
  <c r="O14" i="71" s="1"/>
  <c r="S14" i="71" s="1"/>
  <c r="E123" i="47"/>
  <c r="D122" i="47"/>
  <c r="D123" i="47"/>
  <c r="E130" i="47"/>
  <c r="E129" i="47"/>
  <c r="E127" i="47"/>
  <c r="E131" i="47"/>
  <c r="E128" i="47"/>
  <c r="Y34" i="4"/>
  <c r="Y10" i="4"/>
  <c r="S67" i="2"/>
  <c r="U7" i="47"/>
  <c r="P48" i="2"/>
  <c r="P52" i="2"/>
  <c r="P56" i="2"/>
  <c r="P60" i="2"/>
  <c r="P49" i="2"/>
  <c r="P53" i="2"/>
  <c r="P57" i="2"/>
  <c r="P61" i="2"/>
  <c r="P50" i="2"/>
  <c r="P54" i="2"/>
  <c r="P58" i="2"/>
  <c r="P62" i="2"/>
  <c r="P63" i="2"/>
  <c r="P51" i="2"/>
  <c r="P55" i="2"/>
  <c r="P59" i="2"/>
  <c r="P47" i="2"/>
  <c r="Z67" i="2"/>
  <c r="AI7" i="22"/>
  <c r="AO7" i="22" s="1"/>
  <c r="W62" i="2"/>
  <c r="W58" i="2"/>
  <c r="W50" i="2"/>
  <c r="W61" i="2"/>
  <c r="W57" i="2"/>
  <c r="W53" i="2"/>
  <c r="W60" i="2"/>
  <c r="W56" i="2"/>
  <c r="W52" i="2"/>
  <c r="W48" i="2"/>
  <c r="W63" i="2"/>
  <c r="W59" i="2"/>
  <c r="W55" i="2"/>
  <c r="W51" i="2"/>
  <c r="W54" i="2"/>
  <c r="W49" i="2"/>
  <c r="I51" i="57"/>
  <c r="N167" i="33"/>
  <c r="R168" i="33" s="1"/>
  <c r="N149" i="33"/>
  <c r="AK7" i="22"/>
  <c r="V7" i="47"/>
  <c r="AA7" i="47"/>
  <c r="AL7" i="22"/>
  <c r="H36" i="9"/>
  <c r="V36" i="9"/>
  <c r="Y49" i="10"/>
  <c r="Z49" i="10" s="1"/>
  <c r="AC51" i="11"/>
  <c r="AD51" i="11" s="1"/>
  <c r="AG7" i="22"/>
  <c r="O7" i="21"/>
  <c r="W33" i="11"/>
  <c r="W31" i="11"/>
  <c r="X97" i="4"/>
  <c r="Y97" i="4"/>
  <c r="X153" i="4"/>
  <c r="Y153" i="4"/>
  <c r="Y32" i="11"/>
  <c r="Y33" i="11"/>
  <c r="Y33" i="9"/>
  <c r="Y32" i="9"/>
  <c r="X31" i="9"/>
  <c r="X33" i="9"/>
  <c r="X32" i="9"/>
  <c r="Y7" i="47"/>
  <c r="S7" i="47"/>
  <c r="W7" i="47"/>
  <c r="C19" i="2"/>
  <c r="H27" i="10"/>
  <c r="V36" i="10"/>
  <c r="H36" i="10"/>
  <c r="P7" i="21"/>
  <c r="R7" i="21"/>
  <c r="X7" i="21" s="1"/>
  <c r="Z7" i="47"/>
  <c r="AE52" i="11"/>
  <c r="AF52" i="11" s="1"/>
  <c r="Y49" i="9"/>
  <c r="Z49" i="9" s="1"/>
  <c r="AF7" i="22"/>
  <c r="Q47" i="4"/>
  <c r="R47" i="4"/>
  <c r="Q62" i="4"/>
  <c r="R62" i="4"/>
  <c r="X32" i="10"/>
  <c r="X31" i="10"/>
  <c r="X33" i="10"/>
  <c r="X20" i="4"/>
  <c r="Y20" i="4"/>
  <c r="R97" i="4"/>
  <c r="Q97" i="4"/>
  <c r="Q169" i="4"/>
  <c r="R169" i="4"/>
  <c r="W31" i="9"/>
  <c r="W32" i="9"/>
  <c r="W33" i="9"/>
  <c r="T7" i="21"/>
  <c r="X7" i="47"/>
  <c r="R75" i="4"/>
  <c r="Q75" i="4"/>
  <c r="Y47" i="4"/>
  <c r="X47" i="4"/>
  <c r="V30" i="10"/>
  <c r="V32" i="10"/>
  <c r="V31" i="10"/>
  <c r="V33" i="10"/>
  <c r="X31" i="11"/>
  <c r="X32" i="11"/>
  <c r="X33" i="11"/>
  <c r="R20" i="4"/>
  <c r="Q20" i="4"/>
  <c r="W41" i="11"/>
  <c r="AJ7" i="22"/>
  <c r="Q7" i="21"/>
  <c r="W7" i="21" s="1"/>
  <c r="S7" i="21"/>
  <c r="Y7" i="21" s="1"/>
  <c r="AD7" i="22"/>
  <c r="AH7" i="22"/>
  <c r="M7" i="21"/>
  <c r="U7" i="21"/>
  <c r="H19" i="2"/>
  <c r="U110" i="8"/>
  <c r="Y62" i="4"/>
  <c r="X62" i="4"/>
  <c r="Q10" i="4"/>
  <c r="R10" i="4"/>
  <c r="Y75" i="4"/>
  <c r="X75" i="4"/>
  <c r="Y169" i="4"/>
  <c r="X169" i="4"/>
  <c r="V33" i="9"/>
  <c r="V32" i="9"/>
  <c r="V30" i="9"/>
  <c r="V31" i="9"/>
  <c r="R35" i="55" l="1"/>
  <c r="E44" i="22"/>
  <c r="AL44" i="4" s="1"/>
  <c r="D45" i="22"/>
  <c r="AE45" i="4" s="1"/>
  <c r="AI45" i="8" s="1"/>
  <c r="R35" i="60"/>
  <c r="Z68" i="2"/>
  <c r="H21" i="2" s="1"/>
  <c r="D12" i="9" s="1"/>
  <c r="L32" i="55"/>
  <c r="O32" i="55"/>
  <c r="U32" i="55"/>
  <c r="L28" i="55"/>
  <c r="O28" i="55"/>
  <c r="U28" i="55"/>
  <c r="H9" i="21"/>
  <c r="E9" i="21" s="1"/>
  <c r="H11" i="21"/>
  <c r="H12" i="21"/>
  <c r="H10" i="21"/>
  <c r="H138" i="21"/>
  <c r="H135" i="21"/>
  <c r="H119" i="21"/>
  <c r="H120" i="21"/>
  <c r="H137" i="21"/>
  <c r="H134" i="21"/>
  <c r="H139" i="21"/>
  <c r="H136" i="21"/>
  <c r="H121" i="21"/>
  <c r="U35" i="55"/>
  <c r="O26" i="55"/>
  <c r="U26" i="55" s="1"/>
  <c r="U33" i="55"/>
  <c r="L33" i="55"/>
  <c r="O33" i="55"/>
  <c r="U29" i="55"/>
  <c r="L29" i="55"/>
  <c r="O29" i="55"/>
  <c r="F103" i="55"/>
  <c r="U30" i="55"/>
  <c r="O30" i="55"/>
  <c r="L30" i="55"/>
  <c r="U27" i="55"/>
  <c r="L27" i="55"/>
  <c r="O27" i="55"/>
  <c r="O31" i="55"/>
  <c r="U31" i="55" s="1"/>
  <c r="F86" i="60"/>
  <c r="F111" i="60"/>
  <c r="F110" i="60"/>
  <c r="F80" i="60"/>
  <c r="F109" i="60"/>
  <c r="F74" i="60"/>
  <c r="F107" i="60"/>
  <c r="F62" i="60"/>
  <c r="F56" i="60"/>
  <c r="F106" i="60"/>
  <c r="S68" i="2"/>
  <c r="C21" i="2" s="1"/>
  <c r="D10" i="11" s="1"/>
  <c r="U33" i="60"/>
  <c r="O33" i="60"/>
  <c r="F50" i="60"/>
  <c r="F105" i="60"/>
  <c r="U35" i="60"/>
  <c r="O26" i="60"/>
  <c r="U26" i="60" s="1"/>
  <c r="E7" i="47"/>
  <c r="D7" i="47" s="1"/>
  <c r="F38" i="60"/>
  <c r="F103" i="60"/>
  <c r="O24" i="60"/>
  <c r="O133" i="60" s="1"/>
  <c r="D9" i="15" s="1"/>
  <c r="F108" i="60"/>
  <c r="F68" i="60"/>
  <c r="F104" i="60"/>
  <c r="F44" i="60"/>
  <c r="AM44" i="8"/>
  <c r="S44" i="8"/>
  <c r="AM45" i="8"/>
  <c r="S45" i="8"/>
  <c r="O44" i="8"/>
  <c r="AI44" i="8"/>
  <c r="T7" i="47"/>
  <c r="AB7" i="47"/>
  <c r="J51" i="57"/>
  <c r="R151" i="33"/>
  <c r="R152" i="33"/>
  <c r="J120" i="60"/>
  <c r="J120" i="55"/>
  <c r="AM7" i="22"/>
  <c r="V7" i="21"/>
  <c r="AE7" i="22"/>
  <c r="N7" i="21"/>
  <c r="R165" i="33"/>
  <c r="R169" i="33"/>
  <c r="R159" i="33"/>
  <c r="R162" i="33"/>
  <c r="R157" i="33"/>
  <c r="R160" i="33"/>
  <c r="R154" i="33"/>
  <c r="R155" i="33"/>
  <c r="R158" i="33"/>
  <c r="R156" i="33"/>
  <c r="R170" i="33"/>
  <c r="R163" i="33"/>
  <c r="R166" i="33"/>
  <c r="R161" i="33"/>
  <c r="R164" i="33"/>
  <c r="R153" i="33"/>
  <c r="J10" i="11"/>
  <c r="AB6" i="4"/>
  <c r="AM6" i="8"/>
  <c r="H81" i="21"/>
  <c r="H83" i="21"/>
  <c r="H85" i="21"/>
  <c r="H79" i="21"/>
  <c r="H82" i="21"/>
  <c r="H174" i="21"/>
  <c r="H75" i="21"/>
  <c r="H84" i="21"/>
  <c r="H177" i="21"/>
  <c r="H169" i="21"/>
  <c r="H124" i="21"/>
  <c r="H125" i="21"/>
  <c r="H179" i="21"/>
  <c r="H176" i="21"/>
  <c r="H109" i="21"/>
  <c r="E109" i="21" s="1"/>
  <c r="H107" i="21"/>
  <c r="H105" i="21"/>
  <c r="H103" i="21"/>
  <c r="H101" i="21"/>
  <c r="H99" i="21"/>
  <c r="H86" i="21"/>
  <c r="H72" i="21"/>
  <c r="H69" i="21"/>
  <c r="H67" i="21"/>
  <c r="H65" i="21"/>
  <c r="H63" i="21"/>
  <c r="H60" i="21"/>
  <c r="H58" i="21"/>
  <c r="H56" i="21"/>
  <c r="H54" i="21"/>
  <c r="H52" i="21"/>
  <c r="H50" i="21"/>
  <c r="H48" i="21"/>
  <c r="H20" i="21"/>
  <c r="H18" i="21"/>
  <c r="H172" i="21"/>
  <c r="H170" i="21"/>
  <c r="H167" i="21"/>
  <c r="H165" i="21"/>
  <c r="H163" i="21"/>
  <c r="H161" i="21"/>
  <c r="H159" i="21"/>
  <c r="E159" i="21" s="1"/>
  <c r="H157" i="21"/>
  <c r="H155" i="21"/>
  <c r="H153" i="21"/>
  <c r="H151" i="21"/>
  <c r="H149" i="21"/>
  <c r="H147" i="21"/>
  <c r="H145" i="21"/>
  <c r="H143" i="21"/>
  <c r="H141" i="21"/>
  <c r="H133" i="21"/>
  <c r="H131" i="21"/>
  <c r="H129" i="21"/>
  <c r="H127" i="21"/>
  <c r="H123" i="21"/>
  <c r="H117" i="21"/>
  <c r="E117" i="21" s="1"/>
  <c r="H115" i="21"/>
  <c r="H113" i="21"/>
  <c r="H111" i="21"/>
  <c r="E111" i="21" s="1"/>
  <c r="H96" i="21"/>
  <c r="H94" i="21"/>
  <c r="H92" i="21"/>
  <c r="H90" i="21"/>
  <c r="H88" i="21"/>
  <c r="H78" i="21"/>
  <c r="H76" i="21"/>
  <c r="H71" i="21"/>
  <c r="H62" i="21"/>
  <c r="H47" i="21"/>
  <c r="H45" i="21"/>
  <c r="H43" i="21"/>
  <c r="H41" i="21"/>
  <c r="H39" i="21"/>
  <c r="H37" i="21"/>
  <c r="H35" i="21"/>
  <c r="H32" i="21"/>
  <c r="H30" i="21"/>
  <c r="H28" i="21"/>
  <c r="H26" i="21"/>
  <c r="H24" i="21"/>
  <c r="H22" i="21"/>
  <c r="H17" i="21"/>
  <c r="H15" i="21"/>
  <c r="H13" i="21"/>
  <c r="H180" i="21"/>
  <c r="H178" i="21"/>
  <c r="H175" i="21"/>
  <c r="H108" i="21"/>
  <c r="H106" i="21"/>
  <c r="H104" i="21"/>
  <c r="H102" i="21"/>
  <c r="H100" i="21"/>
  <c r="H98" i="21"/>
  <c r="H80" i="21"/>
  <c r="H74" i="21"/>
  <c r="H70" i="21"/>
  <c r="H68" i="21"/>
  <c r="H66" i="21"/>
  <c r="H64" i="21"/>
  <c r="H61" i="21"/>
  <c r="E61" i="21" s="1"/>
  <c r="H59" i="21"/>
  <c r="H57" i="21"/>
  <c r="H55" i="21"/>
  <c r="H53" i="21"/>
  <c r="H51" i="21"/>
  <c r="H49" i="21"/>
  <c r="H34" i="21"/>
  <c r="H19" i="21"/>
  <c r="H173" i="21"/>
  <c r="H164" i="21"/>
  <c r="H156" i="21"/>
  <c r="H148" i="21"/>
  <c r="H140" i="21"/>
  <c r="E140" i="21" s="1"/>
  <c r="H128" i="21"/>
  <c r="H118" i="21"/>
  <c r="E118" i="21" s="1"/>
  <c r="H110" i="21"/>
  <c r="E110" i="21" s="1"/>
  <c r="H93" i="21"/>
  <c r="H46" i="21"/>
  <c r="H38" i="21"/>
  <c r="H27" i="21"/>
  <c r="H16" i="21"/>
  <c r="H171" i="21"/>
  <c r="H162" i="21"/>
  <c r="H154" i="21"/>
  <c r="H146" i="21"/>
  <c r="H126" i="21"/>
  <c r="H116" i="21"/>
  <c r="H91" i="21"/>
  <c r="H44" i="21"/>
  <c r="H36" i="21"/>
  <c r="H33" i="21"/>
  <c r="H25" i="21"/>
  <c r="H14" i="21"/>
  <c r="H168" i="21"/>
  <c r="H160" i="21"/>
  <c r="E160" i="21" s="1"/>
  <c r="H152" i="21"/>
  <c r="H144" i="21"/>
  <c r="H132" i="21"/>
  <c r="H122" i="21"/>
  <c r="H114" i="21"/>
  <c r="H97" i="21"/>
  <c r="H89" i="21"/>
  <c r="H77" i="21"/>
  <c r="H73" i="21"/>
  <c r="H42" i="21"/>
  <c r="H31" i="21"/>
  <c r="H23" i="21"/>
  <c r="H150" i="21"/>
  <c r="H112" i="21"/>
  <c r="H21" i="21"/>
  <c r="H142" i="21"/>
  <c r="H95" i="21"/>
  <c r="H166" i="21"/>
  <c r="H130" i="21"/>
  <c r="H87" i="21"/>
  <c r="H40" i="21"/>
  <c r="H29" i="21"/>
  <c r="H158" i="21"/>
  <c r="AC7" i="47"/>
  <c r="AN7" i="22"/>
  <c r="AP7" i="22"/>
  <c r="Y48" i="9"/>
  <c r="Z48" i="9" s="1"/>
  <c r="AE51" i="11"/>
  <c r="AF51" i="11" s="1"/>
  <c r="AD7" i="47"/>
  <c r="D6" i="13"/>
  <c r="E6" i="13" s="1"/>
  <c r="J13" i="11"/>
  <c r="D6" i="12"/>
  <c r="E6" i="12" s="1"/>
  <c r="E17" i="9"/>
  <c r="D6" i="16"/>
  <c r="E6" i="16" s="1"/>
  <c r="E17" i="10"/>
  <c r="D6" i="15"/>
  <c r="E6" i="15" s="1"/>
  <c r="E13" i="11"/>
  <c r="AE7" i="47"/>
  <c r="X120" i="22" l="1"/>
  <c r="C3" i="3"/>
  <c r="E11" i="21"/>
  <c r="D5" i="12"/>
  <c r="E5" i="12" s="1"/>
  <c r="O45" i="8"/>
  <c r="X119" i="22"/>
  <c r="D5" i="13"/>
  <c r="E5" i="13" s="1"/>
  <c r="X135" i="22"/>
  <c r="G26" i="21"/>
  <c r="X138" i="22"/>
  <c r="M10" i="47"/>
  <c r="AA10" i="4" s="1"/>
  <c r="Y10" i="8" s="1"/>
  <c r="F111" i="55"/>
  <c r="F86" i="55"/>
  <c r="G138" i="21"/>
  <c r="G10" i="21"/>
  <c r="M12" i="47"/>
  <c r="G12" i="47" s="1"/>
  <c r="F104" i="55"/>
  <c r="F44" i="55"/>
  <c r="X134" i="22"/>
  <c r="O35" i="55"/>
  <c r="D8" i="12" s="1"/>
  <c r="G119" i="21"/>
  <c r="G12" i="21"/>
  <c r="E125" i="21"/>
  <c r="E126" i="21"/>
  <c r="X136" i="22"/>
  <c r="X121" i="22"/>
  <c r="O24" i="55"/>
  <c r="O133" i="55" s="1"/>
  <c r="D9" i="12" s="1"/>
  <c r="F62" i="55"/>
  <c r="F107" i="55"/>
  <c r="E121" i="21"/>
  <c r="E120" i="21"/>
  <c r="G139" i="21"/>
  <c r="G134" i="21"/>
  <c r="G120" i="21"/>
  <c r="G11" i="21"/>
  <c r="Y11" i="22"/>
  <c r="V11" i="22" s="1"/>
  <c r="S11" i="22" s="1"/>
  <c r="Y120" i="22"/>
  <c r="Y119" i="22"/>
  <c r="Y138" i="22"/>
  <c r="Y139" i="22"/>
  <c r="Y136" i="22"/>
  <c r="Y134" i="22"/>
  <c r="Y137" i="22"/>
  <c r="Y135" i="22"/>
  <c r="Y121" i="22"/>
  <c r="F41" i="55"/>
  <c r="F42" i="55"/>
  <c r="F39" i="55"/>
  <c r="F40" i="55"/>
  <c r="F43" i="55"/>
  <c r="G126" i="21"/>
  <c r="E136" i="21"/>
  <c r="E138" i="21"/>
  <c r="E139" i="21"/>
  <c r="E135" i="21"/>
  <c r="F110" i="55"/>
  <c r="F80" i="55"/>
  <c r="F108" i="55"/>
  <c r="F68" i="55"/>
  <c r="X137" i="22"/>
  <c r="X11" i="22"/>
  <c r="G136" i="21"/>
  <c r="G121" i="21"/>
  <c r="E80" i="13"/>
  <c r="E78" i="13"/>
  <c r="F106" i="55"/>
  <c r="F56" i="55"/>
  <c r="F109" i="55"/>
  <c r="F74" i="55"/>
  <c r="F105" i="55"/>
  <c r="F50" i="55"/>
  <c r="X139" i="22"/>
  <c r="G137" i="21"/>
  <c r="G135" i="21"/>
  <c r="G9" i="21"/>
  <c r="D9" i="21" s="1"/>
  <c r="N11" i="47"/>
  <c r="N13" i="47"/>
  <c r="H13" i="47" s="1"/>
  <c r="N12" i="47"/>
  <c r="H12" i="47" s="1"/>
  <c r="M13" i="47"/>
  <c r="G13" i="47" s="1"/>
  <c r="E78" i="16"/>
  <c r="E80" i="16"/>
  <c r="M11" i="47"/>
  <c r="G11" i="47" s="1"/>
  <c r="J126" i="55"/>
  <c r="D62" i="12"/>
  <c r="J126" i="60"/>
  <c r="D62" i="15"/>
  <c r="M126" i="47"/>
  <c r="AA126" i="4" s="1"/>
  <c r="Y126" i="8" s="1"/>
  <c r="L126" i="8" s="1"/>
  <c r="M137" i="47"/>
  <c r="M136" i="47"/>
  <c r="D5" i="15"/>
  <c r="E5" i="15" s="1"/>
  <c r="F49" i="60"/>
  <c r="F48" i="60"/>
  <c r="F45" i="60"/>
  <c r="F46" i="60"/>
  <c r="F47" i="60"/>
  <c r="O35" i="60"/>
  <c r="D8" i="15" s="1"/>
  <c r="F78" i="60"/>
  <c r="F75" i="60"/>
  <c r="F79" i="60"/>
  <c r="F76" i="60"/>
  <c r="F77" i="60"/>
  <c r="M135" i="47"/>
  <c r="M120" i="47"/>
  <c r="G120" i="47" s="1"/>
  <c r="N119" i="47"/>
  <c r="AH119" i="4" s="1"/>
  <c r="AC119" i="8" s="1"/>
  <c r="P119" i="8" s="1"/>
  <c r="N135" i="47"/>
  <c r="N137" i="47"/>
  <c r="AH137" i="4" s="1"/>
  <c r="N139" i="47"/>
  <c r="N121" i="47"/>
  <c r="AH121" i="4" s="1"/>
  <c r="AC121" i="8" s="1"/>
  <c r="P121" i="8" s="1"/>
  <c r="N136" i="47"/>
  <c r="N138" i="47"/>
  <c r="N120" i="47"/>
  <c r="H120" i="47" s="1"/>
  <c r="D12" i="10"/>
  <c r="O113" i="60"/>
  <c r="O134" i="60" s="1"/>
  <c r="D34" i="15" s="1"/>
  <c r="F52" i="60"/>
  <c r="F51" i="60"/>
  <c r="F54" i="60"/>
  <c r="F55" i="60"/>
  <c r="F53" i="60"/>
  <c r="F58" i="60"/>
  <c r="F59" i="60"/>
  <c r="F57" i="60"/>
  <c r="F60" i="60"/>
  <c r="F61" i="60"/>
  <c r="F91" i="60"/>
  <c r="F89" i="60"/>
  <c r="F88" i="60"/>
  <c r="F87" i="60"/>
  <c r="F90" i="60"/>
  <c r="M121" i="47"/>
  <c r="AA121" i="4" s="1"/>
  <c r="Y121" i="8" s="1"/>
  <c r="L121" i="8" s="1"/>
  <c r="M119" i="47"/>
  <c r="AA119" i="4" s="1"/>
  <c r="Y119" i="8" s="1"/>
  <c r="D5" i="16"/>
  <c r="E5" i="16" s="1"/>
  <c r="F70" i="60"/>
  <c r="F69" i="60"/>
  <c r="F73" i="60"/>
  <c r="F72" i="60"/>
  <c r="F71" i="60"/>
  <c r="F43" i="60"/>
  <c r="F41" i="60"/>
  <c r="F39" i="60"/>
  <c r="F40" i="60"/>
  <c r="F42" i="60"/>
  <c r="L93" i="60"/>
  <c r="E14" i="15" s="1"/>
  <c r="O93" i="60"/>
  <c r="D14" i="15" s="1"/>
  <c r="F67" i="60"/>
  <c r="F66" i="60"/>
  <c r="F64" i="60"/>
  <c r="F63" i="60"/>
  <c r="F65" i="60"/>
  <c r="F81" i="60"/>
  <c r="F83" i="60"/>
  <c r="F85" i="60"/>
  <c r="F82" i="60"/>
  <c r="F84" i="60"/>
  <c r="M139" i="47"/>
  <c r="M138" i="47"/>
  <c r="W132" i="8"/>
  <c r="K132" i="47" s="1"/>
  <c r="X132" i="8"/>
  <c r="K132" i="22" s="1"/>
  <c r="L93" i="59"/>
  <c r="L93" i="54"/>
  <c r="L85" i="59"/>
  <c r="L85" i="54"/>
  <c r="L84" i="59"/>
  <c r="L84" i="54"/>
  <c r="L92" i="59"/>
  <c r="L92" i="54"/>
  <c r="L79" i="59"/>
  <c r="L79" i="54"/>
  <c r="L80" i="59"/>
  <c r="L80" i="54"/>
  <c r="L90" i="59"/>
  <c r="L90" i="54"/>
  <c r="L82" i="59"/>
  <c r="L82" i="54"/>
  <c r="L89" i="59"/>
  <c r="L89" i="54"/>
  <c r="L78" i="59"/>
  <c r="L78" i="54"/>
  <c r="L91" i="59"/>
  <c r="L91" i="54"/>
  <c r="L81" i="59"/>
  <c r="L81" i="54"/>
  <c r="L86" i="59"/>
  <c r="L86" i="54"/>
  <c r="L88" i="59"/>
  <c r="L88" i="54"/>
  <c r="L83" i="59"/>
  <c r="L83" i="54"/>
  <c r="L87" i="59"/>
  <c r="L87" i="54"/>
  <c r="J121" i="60"/>
  <c r="J127" i="60" s="1"/>
  <c r="J121" i="55"/>
  <c r="J127" i="55" s="1"/>
  <c r="M31" i="47"/>
  <c r="AA31" i="4" s="1"/>
  <c r="Y31" i="8" s="1"/>
  <c r="M90" i="47"/>
  <c r="AA90" i="4" s="1"/>
  <c r="Y90" i="8" s="1"/>
  <c r="M77" i="47"/>
  <c r="G77" i="47" s="1"/>
  <c r="M114" i="47"/>
  <c r="M128" i="47"/>
  <c r="M131" i="47"/>
  <c r="M106" i="47"/>
  <c r="M69" i="47"/>
  <c r="G69" i="47" s="1"/>
  <c r="M88" i="47"/>
  <c r="M45" i="47"/>
  <c r="M22" i="47"/>
  <c r="M180" i="47"/>
  <c r="G180" i="47" s="1"/>
  <c r="M164" i="47"/>
  <c r="AA164" i="4" s="1"/>
  <c r="Y164" i="8" s="1"/>
  <c r="M129" i="47"/>
  <c r="M42" i="47"/>
  <c r="G42" i="47" s="1"/>
  <c r="M171" i="47"/>
  <c r="M55" i="47"/>
  <c r="G55" i="47" s="1"/>
  <c r="M39" i="47"/>
  <c r="AA39" i="4" s="1"/>
  <c r="Y39" i="8" s="1"/>
  <c r="M9" i="47"/>
  <c r="AA9" i="4" s="1"/>
  <c r="Y9" i="8" s="1"/>
  <c r="M161" i="47"/>
  <c r="AA161" i="4" s="1"/>
  <c r="Y161" i="8" s="1"/>
  <c r="M38" i="47"/>
  <c r="M163" i="47"/>
  <c r="M173" i="47"/>
  <c r="M107" i="47"/>
  <c r="M20" i="47"/>
  <c r="AA20" i="4" s="1"/>
  <c r="Y20" i="8" s="1"/>
  <c r="M53" i="47"/>
  <c r="AA53" i="4" s="1"/>
  <c r="Y53" i="8" s="1"/>
  <c r="M75" i="47"/>
  <c r="AA75" i="4" s="1"/>
  <c r="Y75" i="8" s="1"/>
  <c r="M127" i="47"/>
  <c r="M178" i="47"/>
  <c r="AA178" i="4" s="1"/>
  <c r="Y178" i="8" s="1"/>
  <c r="M37" i="47"/>
  <c r="G37" i="47" s="1"/>
  <c r="M72" i="47"/>
  <c r="M104" i="47"/>
  <c r="M162" i="47"/>
  <c r="M113" i="47"/>
  <c r="G113" i="47" s="1"/>
  <c r="M29" i="47"/>
  <c r="G29" i="47" s="1"/>
  <c r="M65" i="47"/>
  <c r="M124" i="47"/>
  <c r="AA124" i="4" s="1"/>
  <c r="Y124" i="8" s="1"/>
  <c r="M179" i="47"/>
  <c r="M83" i="47"/>
  <c r="M36" i="47"/>
  <c r="G36" i="47" s="1"/>
  <c r="M95" i="47"/>
  <c r="G95" i="47" s="1"/>
  <c r="M105" i="47"/>
  <c r="G105" i="47" s="1"/>
  <c r="M49" i="47"/>
  <c r="M175" i="47"/>
  <c r="M28" i="47"/>
  <c r="M61" i="47"/>
  <c r="AA61" i="4" s="1"/>
  <c r="Y61" i="8" s="1"/>
  <c r="M110" i="47"/>
  <c r="M147" i="47"/>
  <c r="M14" i="47"/>
  <c r="AA14" i="4" s="1"/>
  <c r="Y14" i="8" s="1"/>
  <c r="M48" i="47"/>
  <c r="AA48" i="4" s="1"/>
  <c r="Y48" i="8" s="1"/>
  <c r="M96" i="47"/>
  <c r="M141" i="47"/>
  <c r="AA141" i="4" s="1"/>
  <c r="Y141" i="8" s="1"/>
  <c r="M170" i="47"/>
  <c r="AA170" i="4" s="1"/>
  <c r="Y170" i="8" s="1"/>
  <c r="M21" i="47"/>
  <c r="AA21" i="4" s="1"/>
  <c r="Y21" i="8" s="1"/>
  <c r="M56" i="47"/>
  <c r="G56" i="47" s="1"/>
  <c r="M78" i="47"/>
  <c r="G78" i="47" s="1"/>
  <c r="M148" i="47"/>
  <c r="M87" i="47"/>
  <c r="G87" i="47" s="1"/>
  <c r="M133" i="47"/>
  <c r="M101" i="47"/>
  <c r="G101" i="47" s="1"/>
  <c r="M103" i="47"/>
  <c r="G103" i="47" s="1"/>
  <c r="M140" i="47"/>
  <c r="AA140" i="4" s="1"/>
  <c r="Y140" i="8" s="1"/>
  <c r="M70" i="47"/>
  <c r="G70" i="47" s="1"/>
  <c r="M30" i="47"/>
  <c r="G30" i="47" s="1"/>
  <c r="M63" i="47"/>
  <c r="AA63" i="4" s="1"/>
  <c r="Y63" i="8" s="1"/>
  <c r="M112" i="47"/>
  <c r="AA112" i="4" s="1"/>
  <c r="Y112" i="8" s="1"/>
  <c r="M149" i="47"/>
  <c r="G149" i="47" s="1"/>
  <c r="M17" i="47"/>
  <c r="G17" i="47" s="1"/>
  <c r="M50" i="47"/>
  <c r="M98" i="47"/>
  <c r="AA98" i="4" s="1"/>
  <c r="Y98" i="8" s="1"/>
  <c r="M156" i="47"/>
  <c r="G156" i="47" s="1"/>
  <c r="M172" i="47"/>
  <c r="M23" i="47"/>
  <c r="G23" i="47" s="1"/>
  <c r="M58" i="47"/>
  <c r="AA58" i="4" s="1"/>
  <c r="Y58" i="8" s="1"/>
  <c r="M111" i="47"/>
  <c r="M150" i="47"/>
  <c r="M43" i="47"/>
  <c r="G43" i="47" s="1"/>
  <c r="M40" i="47"/>
  <c r="M134" i="47"/>
  <c r="M122" i="47"/>
  <c r="G122" i="47" s="1"/>
  <c r="N125" i="47"/>
  <c r="H125" i="47" s="1"/>
  <c r="N128" i="47"/>
  <c r="H128" i="47" s="1"/>
  <c r="N130" i="47"/>
  <c r="H130" i="47" s="1"/>
  <c r="N129" i="47"/>
  <c r="H129" i="47" s="1"/>
  <c r="N41" i="47"/>
  <c r="H41" i="47" s="1"/>
  <c r="N127" i="47"/>
  <c r="H127" i="47" s="1"/>
  <c r="N40" i="47"/>
  <c r="H40" i="47" s="1"/>
  <c r="N126" i="47"/>
  <c r="AH126" i="4" s="1"/>
  <c r="AC126" i="8" s="1"/>
  <c r="P126" i="8" s="1"/>
  <c r="N42" i="47"/>
  <c r="H42" i="47" s="1"/>
  <c r="N131" i="47"/>
  <c r="H131" i="47" s="1"/>
  <c r="N87" i="47"/>
  <c r="H87" i="47" s="1"/>
  <c r="N124" i="47"/>
  <c r="AH124" i="4" s="1"/>
  <c r="AC124" i="8" s="1"/>
  <c r="P124" i="8" s="1"/>
  <c r="N88" i="47"/>
  <c r="H88" i="47" s="1"/>
  <c r="N89" i="47"/>
  <c r="H89" i="47" s="1"/>
  <c r="N43" i="47"/>
  <c r="H43" i="47" s="1"/>
  <c r="N154" i="47"/>
  <c r="H154" i="47" s="1"/>
  <c r="N180" i="47"/>
  <c r="H180" i="47" s="1"/>
  <c r="N178" i="47"/>
  <c r="AH178" i="4" s="1"/>
  <c r="AC178" i="8" s="1"/>
  <c r="P178" i="8" s="1"/>
  <c r="N176" i="47"/>
  <c r="H176" i="47" s="1"/>
  <c r="N174" i="47"/>
  <c r="AH174" i="4" s="1"/>
  <c r="AC174" i="8" s="1"/>
  <c r="P174" i="8" s="1"/>
  <c r="N172" i="47"/>
  <c r="H172" i="47" s="1"/>
  <c r="N170" i="47"/>
  <c r="AH170" i="4" s="1"/>
  <c r="AC170" i="8" s="1"/>
  <c r="P170" i="8" s="1"/>
  <c r="N168" i="47"/>
  <c r="H168" i="47" s="1"/>
  <c r="N166" i="47"/>
  <c r="H166" i="47" s="1"/>
  <c r="N164" i="47"/>
  <c r="AH164" i="4" s="1"/>
  <c r="AC164" i="8" s="1"/>
  <c r="P164" i="8" s="1"/>
  <c r="N162" i="47"/>
  <c r="H162" i="47" s="1"/>
  <c r="N160" i="47"/>
  <c r="H160" i="47" s="1"/>
  <c r="N158" i="47"/>
  <c r="H158" i="47" s="1"/>
  <c r="N156" i="47"/>
  <c r="H156" i="47" s="1"/>
  <c r="N141" i="47"/>
  <c r="AH141" i="4" s="1"/>
  <c r="AC141" i="8" s="1"/>
  <c r="P141" i="8" s="1"/>
  <c r="N132" i="47"/>
  <c r="H132" i="47" s="1"/>
  <c r="N111" i="47"/>
  <c r="H111" i="47" s="1"/>
  <c r="N109" i="47"/>
  <c r="H109" i="47" s="1"/>
  <c r="N107" i="47"/>
  <c r="H107" i="47" s="1"/>
  <c r="N105" i="47"/>
  <c r="H105" i="47" s="1"/>
  <c r="N103" i="47"/>
  <c r="H103" i="47" s="1"/>
  <c r="N101" i="47"/>
  <c r="H101" i="47" s="1"/>
  <c r="N99" i="47"/>
  <c r="H99" i="47" s="1"/>
  <c r="N94" i="47"/>
  <c r="H94" i="47" s="1"/>
  <c r="N92" i="47"/>
  <c r="H92" i="47" s="1"/>
  <c r="N90" i="47"/>
  <c r="AH90" i="4" s="1"/>
  <c r="AC90" i="8" s="1"/>
  <c r="P90" i="8" s="1"/>
  <c r="N74" i="47"/>
  <c r="H74" i="47" s="1"/>
  <c r="N72" i="47"/>
  <c r="H72" i="47" s="1"/>
  <c r="N70" i="47"/>
  <c r="H70" i="47" s="1"/>
  <c r="N68" i="47"/>
  <c r="H68" i="47" s="1"/>
  <c r="N66" i="47"/>
  <c r="H66" i="47" s="1"/>
  <c r="N64" i="47"/>
  <c r="H64" i="47" s="1"/>
  <c r="N45" i="47"/>
  <c r="H45" i="47" s="1"/>
  <c r="N32" i="47"/>
  <c r="H32" i="47" s="1"/>
  <c r="N30" i="47"/>
  <c r="H30" i="47" s="1"/>
  <c r="N28" i="47"/>
  <c r="H28" i="47" s="1"/>
  <c r="N26" i="47"/>
  <c r="H26" i="47" s="1"/>
  <c r="N24" i="47"/>
  <c r="H24" i="47" s="1"/>
  <c r="N22" i="47"/>
  <c r="H22" i="47" s="1"/>
  <c r="N19" i="47"/>
  <c r="H19" i="47" s="1"/>
  <c r="N15" i="47"/>
  <c r="H15" i="47" s="1"/>
  <c r="N134" i="47"/>
  <c r="AH134" i="4" s="1"/>
  <c r="N122" i="47"/>
  <c r="H122" i="47" s="1"/>
  <c r="N114" i="47"/>
  <c r="H114" i="47" s="1"/>
  <c r="N153" i="47"/>
  <c r="AH153" i="4" s="1"/>
  <c r="AC153" i="8" s="1"/>
  <c r="P153" i="8" s="1"/>
  <c r="N151" i="47"/>
  <c r="H151" i="47" s="1"/>
  <c r="N149" i="47"/>
  <c r="H149" i="47" s="1"/>
  <c r="N147" i="47"/>
  <c r="H147" i="47" s="1"/>
  <c r="N145" i="47"/>
  <c r="H145" i="47" s="1"/>
  <c r="N143" i="47"/>
  <c r="AH143" i="4" s="1"/>
  <c r="AC143" i="8" s="1"/>
  <c r="P143" i="8" s="1"/>
  <c r="N118" i="47"/>
  <c r="H118" i="47" s="1"/>
  <c r="N116" i="47"/>
  <c r="H116" i="47" s="1"/>
  <c r="N86" i="47"/>
  <c r="AH86" i="4" s="1"/>
  <c r="AC86" i="8" s="1"/>
  <c r="P86" i="8" s="1"/>
  <c r="N84" i="47"/>
  <c r="H84" i="47" s="1"/>
  <c r="N82" i="47"/>
  <c r="H82" i="47" s="1"/>
  <c r="N80" i="47"/>
  <c r="H80" i="47" s="1"/>
  <c r="N78" i="47"/>
  <c r="H78" i="47" s="1"/>
  <c r="N76" i="47"/>
  <c r="AH76" i="4" s="1"/>
  <c r="AC76" i="8" s="1"/>
  <c r="P76" i="8" s="1"/>
  <c r="N61" i="47"/>
  <c r="H61" i="47" s="1"/>
  <c r="N59" i="47"/>
  <c r="H59" i="47" s="1"/>
  <c r="N57" i="47"/>
  <c r="H57" i="47" s="1"/>
  <c r="N55" i="47"/>
  <c r="H55" i="47" s="1"/>
  <c r="N53" i="47"/>
  <c r="AH53" i="4" s="1"/>
  <c r="AC53" i="8" s="1"/>
  <c r="N51" i="47"/>
  <c r="H51" i="47" s="1"/>
  <c r="N49" i="47"/>
  <c r="H49" i="47" s="1"/>
  <c r="N38" i="47"/>
  <c r="H38" i="47" s="1"/>
  <c r="N36" i="47"/>
  <c r="H36" i="47" s="1"/>
  <c r="N18" i="47"/>
  <c r="H18" i="47" s="1"/>
  <c r="N14" i="47"/>
  <c r="AH14" i="4" s="1"/>
  <c r="AC14" i="8" s="1"/>
  <c r="N142" i="47"/>
  <c r="H142" i="47" s="1"/>
  <c r="N179" i="47"/>
  <c r="H179" i="47" s="1"/>
  <c r="N177" i="47"/>
  <c r="H177" i="47" s="1"/>
  <c r="N175" i="47"/>
  <c r="H175" i="47" s="1"/>
  <c r="N173" i="47"/>
  <c r="H173" i="47" s="1"/>
  <c r="N171" i="47"/>
  <c r="H171" i="47" s="1"/>
  <c r="N169" i="47"/>
  <c r="AH169" i="4" s="1"/>
  <c r="AC169" i="8" s="1"/>
  <c r="P169" i="8" s="1"/>
  <c r="N167" i="47"/>
  <c r="H167" i="47" s="1"/>
  <c r="N165" i="47"/>
  <c r="H165" i="47" s="1"/>
  <c r="N163" i="47"/>
  <c r="H163" i="47" s="1"/>
  <c r="N161" i="47"/>
  <c r="AH161" i="4" s="1"/>
  <c r="AC161" i="8" s="1"/>
  <c r="P161" i="8" s="1"/>
  <c r="N159" i="47"/>
  <c r="H159" i="47" s="1"/>
  <c r="N157" i="47"/>
  <c r="H157" i="47" s="1"/>
  <c r="N155" i="47"/>
  <c r="AH155" i="4" s="1"/>
  <c r="AC155" i="8" s="1"/>
  <c r="P155" i="8" s="1"/>
  <c r="N140" i="47"/>
  <c r="H140" i="47" s="1"/>
  <c r="N133" i="47"/>
  <c r="N112" i="47"/>
  <c r="AH112" i="4" s="1"/>
  <c r="AC112" i="8" s="1"/>
  <c r="P112" i="8" s="1"/>
  <c r="N110" i="47"/>
  <c r="H110" i="47" s="1"/>
  <c r="N108" i="47"/>
  <c r="H108" i="47" s="1"/>
  <c r="N106" i="47"/>
  <c r="H106" i="47" s="1"/>
  <c r="N104" i="47"/>
  <c r="H104" i="47" s="1"/>
  <c r="N102" i="47"/>
  <c r="AH102" i="4" s="1"/>
  <c r="AC102" i="8" s="1"/>
  <c r="P102" i="8" s="1"/>
  <c r="N100" i="47"/>
  <c r="H100" i="47" s="1"/>
  <c r="N98" i="47"/>
  <c r="AH98" i="4" s="1"/>
  <c r="AC98" i="8" s="1"/>
  <c r="N95" i="47"/>
  <c r="H95" i="47" s="1"/>
  <c r="N93" i="47"/>
  <c r="H93" i="47" s="1"/>
  <c r="N91" i="47"/>
  <c r="H91" i="47" s="1"/>
  <c r="N73" i="47"/>
  <c r="H73" i="47" s="1"/>
  <c r="N71" i="47"/>
  <c r="AH71" i="4" s="1"/>
  <c r="AC71" i="8" s="1"/>
  <c r="P71" i="8" s="1"/>
  <c r="N69" i="47"/>
  <c r="H69" i="47" s="1"/>
  <c r="N67" i="47"/>
  <c r="AH67" i="4" s="1"/>
  <c r="AC67" i="8" s="1"/>
  <c r="N65" i="47"/>
  <c r="H65" i="47" s="1"/>
  <c r="N63" i="47"/>
  <c r="AH63" i="4" s="1"/>
  <c r="AC63" i="8" s="1"/>
  <c r="N46" i="47"/>
  <c r="H46" i="47" s="1"/>
  <c r="N44" i="47"/>
  <c r="H44" i="47" s="1"/>
  <c r="N33" i="47"/>
  <c r="H33" i="47" s="1"/>
  <c r="N31" i="47"/>
  <c r="AH31" i="4" s="1"/>
  <c r="AC31" i="8" s="1"/>
  <c r="P31" i="8" s="1"/>
  <c r="N29" i="47"/>
  <c r="H29" i="47" s="1"/>
  <c r="N27" i="47"/>
  <c r="H27" i="47" s="1"/>
  <c r="N25" i="47"/>
  <c r="H25" i="47" s="1"/>
  <c r="N23" i="47"/>
  <c r="H23" i="47" s="1"/>
  <c r="N21" i="47"/>
  <c r="AH21" i="4" s="1"/>
  <c r="AC21" i="8" s="1"/>
  <c r="N17" i="47"/>
  <c r="H17" i="47" s="1"/>
  <c r="N150" i="47"/>
  <c r="H150" i="47" s="1"/>
  <c r="N81" i="47"/>
  <c r="H81" i="47" s="1"/>
  <c r="N58" i="47"/>
  <c r="AH58" i="4" s="1"/>
  <c r="AC58" i="8" s="1"/>
  <c r="P58" i="8" s="1"/>
  <c r="N50" i="47"/>
  <c r="H50" i="47" s="1"/>
  <c r="N148" i="47"/>
  <c r="H148" i="47" s="1"/>
  <c r="N79" i="47"/>
  <c r="AH79" i="4" s="1"/>
  <c r="AC79" i="8" s="1"/>
  <c r="P79" i="8" s="1"/>
  <c r="N56" i="47"/>
  <c r="H56" i="47" s="1"/>
  <c r="N48" i="47"/>
  <c r="AH48" i="4" s="1"/>
  <c r="AC48" i="8" s="1"/>
  <c r="N39" i="47"/>
  <c r="AH39" i="4" s="1"/>
  <c r="AC39" i="8" s="1"/>
  <c r="N9" i="47"/>
  <c r="AH9" i="4" s="1"/>
  <c r="AC9" i="8" s="1"/>
  <c r="N146" i="47"/>
  <c r="AH146" i="4" s="1"/>
  <c r="AC146" i="8" s="1"/>
  <c r="P146" i="8" s="1"/>
  <c r="N117" i="47"/>
  <c r="H117" i="47" s="1"/>
  <c r="N85" i="47"/>
  <c r="H85" i="47" s="1"/>
  <c r="N77" i="47"/>
  <c r="H77" i="47" s="1"/>
  <c r="N54" i="47"/>
  <c r="H54" i="47" s="1"/>
  <c r="N37" i="47"/>
  <c r="H37" i="47" s="1"/>
  <c r="N16" i="47"/>
  <c r="H16" i="47" s="1"/>
  <c r="N52" i="47"/>
  <c r="H52" i="47" s="1"/>
  <c r="N113" i="47"/>
  <c r="H113" i="47" s="1"/>
  <c r="N152" i="47"/>
  <c r="H152" i="47" s="1"/>
  <c r="N144" i="47"/>
  <c r="H144" i="47" s="1"/>
  <c r="J143" i="47" s="1"/>
  <c r="N60" i="47"/>
  <c r="H60" i="47" s="1"/>
  <c r="N83" i="47"/>
  <c r="H83" i="47" s="1"/>
  <c r="N123" i="47"/>
  <c r="H123" i="47" s="1"/>
  <c r="N35" i="47"/>
  <c r="AH35" i="4" s="1"/>
  <c r="AC35" i="8" s="1"/>
  <c r="E18" i="21"/>
  <c r="E15" i="21"/>
  <c r="E19" i="21"/>
  <c r="E16" i="21"/>
  <c r="E17" i="21"/>
  <c r="E23" i="21"/>
  <c r="E25" i="21"/>
  <c r="E29" i="21"/>
  <c r="E26" i="21"/>
  <c r="E30" i="21"/>
  <c r="E22" i="21"/>
  <c r="E27" i="21"/>
  <c r="E32" i="21"/>
  <c r="E33" i="21"/>
  <c r="E24" i="21"/>
  <c r="E28" i="21"/>
  <c r="E177" i="21"/>
  <c r="E172" i="21"/>
  <c r="E179" i="21"/>
  <c r="E173" i="21"/>
  <c r="E180" i="21"/>
  <c r="E175" i="21"/>
  <c r="E171" i="21"/>
  <c r="E176" i="21"/>
  <c r="AA6" i="4"/>
  <c r="AI6" i="8"/>
  <c r="E113" i="21"/>
  <c r="E114" i="21"/>
  <c r="E52" i="21"/>
  <c r="E57" i="21"/>
  <c r="E49" i="21"/>
  <c r="E54" i="21"/>
  <c r="E59" i="21"/>
  <c r="E50" i="21"/>
  <c r="E55" i="21"/>
  <c r="E60" i="21"/>
  <c r="E51" i="21"/>
  <c r="E56" i="21"/>
  <c r="E156" i="21"/>
  <c r="E157" i="21"/>
  <c r="E158" i="21"/>
  <c r="E154" i="21"/>
  <c r="E162" i="21"/>
  <c r="E163" i="21"/>
  <c r="M118" i="47"/>
  <c r="AA118" i="4" s="1"/>
  <c r="Y118" i="8" s="1"/>
  <c r="L118" i="8" s="1"/>
  <c r="F14" i="71" s="1"/>
  <c r="M93" i="47"/>
  <c r="G93" i="47" s="1"/>
  <c r="M123" i="47"/>
  <c r="G123" i="47" s="1"/>
  <c r="M66" i="47"/>
  <c r="G66" i="47" s="1"/>
  <c r="M132" i="47"/>
  <c r="M47" i="47"/>
  <c r="AA47" i="4" s="1"/>
  <c r="Y47" i="8" s="1"/>
  <c r="M157" i="47"/>
  <c r="G157" i="47" s="1"/>
  <c r="M15" i="47"/>
  <c r="G15" i="47" s="1"/>
  <c r="M91" i="47"/>
  <c r="G91" i="47" s="1"/>
  <c r="M159" i="47"/>
  <c r="AA159" i="4" s="1"/>
  <c r="Y159" i="8" s="1"/>
  <c r="M24" i="47"/>
  <c r="G24" i="47" s="1"/>
  <c r="M33" i="47"/>
  <c r="G33" i="47" s="1"/>
  <c r="M57" i="47"/>
  <c r="G57" i="47" s="1"/>
  <c r="M67" i="47"/>
  <c r="AA67" i="4" s="1"/>
  <c r="Y67" i="8" s="1"/>
  <c r="M79" i="47"/>
  <c r="AA79" i="4" s="1"/>
  <c r="Y79" i="8" s="1"/>
  <c r="M115" i="47"/>
  <c r="G115" i="47" s="1"/>
  <c r="M143" i="47"/>
  <c r="AA143" i="4" s="1"/>
  <c r="Y143" i="8" s="1"/>
  <c r="M151" i="47"/>
  <c r="G151" i="47" s="1"/>
  <c r="M154" i="47"/>
  <c r="G154" i="47" s="1"/>
  <c r="M32" i="47"/>
  <c r="G32" i="47" s="1"/>
  <c r="I31" i="47" s="1"/>
  <c r="M44" i="47"/>
  <c r="G44" i="47" s="1"/>
  <c r="M64" i="47"/>
  <c r="G64" i="47" s="1"/>
  <c r="M92" i="47"/>
  <c r="G92" i="47" s="1"/>
  <c r="M100" i="47"/>
  <c r="G100" i="47" s="1"/>
  <c r="M108" i="47"/>
  <c r="G108" i="47" s="1"/>
  <c r="M158" i="47"/>
  <c r="G158" i="47" s="1"/>
  <c r="M166" i="47"/>
  <c r="G166" i="47" s="1"/>
  <c r="M174" i="47"/>
  <c r="AA174" i="4" s="1"/>
  <c r="Y174" i="8" s="1"/>
  <c r="M25" i="47"/>
  <c r="G25" i="47" s="1"/>
  <c r="M52" i="47"/>
  <c r="G52" i="47" s="1"/>
  <c r="M60" i="47"/>
  <c r="G60" i="47" s="1"/>
  <c r="M73" i="47"/>
  <c r="G73" i="47" s="1"/>
  <c r="M116" i="47"/>
  <c r="AA116" i="4" s="1"/>
  <c r="Y116" i="8" s="1"/>
  <c r="M144" i="47"/>
  <c r="G144" i="47" s="1"/>
  <c r="M152" i="47"/>
  <c r="G152" i="47" s="1"/>
  <c r="M142" i="47"/>
  <c r="G142" i="47" s="1"/>
  <c r="M89" i="47"/>
  <c r="G89" i="47" s="1"/>
  <c r="M84" i="47"/>
  <c r="G84" i="47" s="1"/>
  <c r="M85" i="47"/>
  <c r="G85" i="47" s="1"/>
  <c r="M109" i="47"/>
  <c r="AA109" i="4" s="1"/>
  <c r="Y109" i="8" s="1"/>
  <c r="E103" i="21"/>
  <c r="E107" i="21"/>
  <c r="E99" i="21"/>
  <c r="E104" i="21"/>
  <c r="E108" i="21"/>
  <c r="E100" i="21"/>
  <c r="E105" i="21"/>
  <c r="E101" i="21"/>
  <c r="E106" i="21"/>
  <c r="E42" i="21"/>
  <c r="E40" i="21"/>
  <c r="E46" i="21"/>
  <c r="E36" i="21"/>
  <c r="E41" i="21"/>
  <c r="E37" i="21"/>
  <c r="E44" i="21"/>
  <c r="E38" i="21"/>
  <c r="E45" i="21"/>
  <c r="E65" i="21"/>
  <c r="E70" i="21"/>
  <c r="E74" i="21"/>
  <c r="E66" i="21"/>
  <c r="E73" i="21"/>
  <c r="E68" i="21"/>
  <c r="E72" i="21"/>
  <c r="E69" i="21"/>
  <c r="E64" i="21"/>
  <c r="E168" i="21"/>
  <c r="E165" i="21"/>
  <c r="E166" i="21"/>
  <c r="E167" i="21"/>
  <c r="Y43" i="22"/>
  <c r="Y109" i="22"/>
  <c r="V109" i="22" s="1"/>
  <c r="S109" i="22" s="1"/>
  <c r="Y177" i="22"/>
  <c r="Y173" i="22"/>
  <c r="Y169" i="22"/>
  <c r="Y165" i="22"/>
  <c r="Y161" i="22"/>
  <c r="Y157" i="22"/>
  <c r="Y153" i="22"/>
  <c r="Y149" i="22"/>
  <c r="Y145" i="22"/>
  <c r="Y141" i="22"/>
  <c r="Y133" i="22"/>
  <c r="Y129" i="22"/>
  <c r="Y125" i="22"/>
  <c r="Y117" i="22"/>
  <c r="V117" i="22" s="1"/>
  <c r="S117" i="22" s="1"/>
  <c r="Y113" i="22"/>
  <c r="Y44" i="22"/>
  <c r="Y54" i="22"/>
  <c r="Y56" i="22"/>
  <c r="Y58" i="22"/>
  <c r="Y12" i="22"/>
  <c r="Y14" i="22"/>
  <c r="Y23" i="22"/>
  <c r="Y25" i="22"/>
  <c r="Y27" i="22"/>
  <c r="Y29" i="22"/>
  <c r="Y31" i="22"/>
  <c r="Y178" i="22"/>
  <c r="Y172" i="22"/>
  <c r="Y167" i="22"/>
  <c r="Y162" i="22"/>
  <c r="Y156" i="22"/>
  <c r="Y151" i="22"/>
  <c r="Y146" i="22"/>
  <c r="Y140" i="22"/>
  <c r="V140" i="22" s="1"/>
  <c r="S140" i="22" s="1"/>
  <c r="Y131" i="22"/>
  <c r="Y126" i="22"/>
  <c r="Y115" i="22"/>
  <c r="Y110" i="22"/>
  <c r="V110" i="22" s="1"/>
  <c r="S110" i="22" s="1"/>
  <c r="Y37" i="22"/>
  <c r="Y39" i="22"/>
  <c r="Y45" i="22"/>
  <c r="Y53" i="22"/>
  <c r="Y15" i="22"/>
  <c r="Y26" i="22"/>
  <c r="Y32" i="22"/>
  <c r="Y9" i="22"/>
  <c r="V9" i="22" s="1"/>
  <c r="S9" i="22" s="1"/>
  <c r="Y46" i="22"/>
  <c r="V46" i="22" s="1"/>
  <c r="S46" i="22" s="1"/>
  <c r="Y180" i="22"/>
  <c r="Y175" i="22"/>
  <c r="Y170" i="22"/>
  <c r="Y164" i="22"/>
  <c r="Y159" i="22"/>
  <c r="V159" i="22" s="1"/>
  <c r="S159" i="22" s="1"/>
  <c r="Y154" i="22"/>
  <c r="Y148" i="22"/>
  <c r="Y143" i="22"/>
  <c r="Y128" i="22"/>
  <c r="Y123" i="22"/>
  <c r="Y118" i="22"/>
  <c r="V118" i="22" s="1"/>
  <c r="S118" i="22" s="1"/>
  <c r="Y112" i="22"/>
  <c r="Y36" i="22"/>
  <c r="Y38" i="22"/>
  <c r="Y49" i="22"/>
  <c r="Y52" i="22"/>
  <c r="Y55" i="22"/>
  <c r="Y13" i="22"/>
  <c r="Y16" i="22"/>
  <c r="Y19" i="22"/>
  <c r="V19" i="22" s="1"/>
  <c r="S19" i="22" s="1"/>
  <c r="Y22" i="22"/>
  <c r="Y30" i="22"/>
  <c r="V30" i="22" s="1"/>
  <c r="S30" i="22" s="1"/>
  <c r="Y33" i="22"/>
  <c r="Y171" i="22"/>
  <c r="Y160" i="22"/>
  <c r="V160" i="22" s="1"/>
  <c r="S160" i="22" s="1"/>
  <c r="Y150" i="22"/>
  <c r="Y124" i="22"/>
  <c r="Y114" i="22"/>
  <c r="Y50" i="22"/>
  <c r="Y17" i="22"/>
  <c r="Y28" i="22"/>
  <c r="Y174" i="22"/>
  <c r="Y163" i="22"/>
  <c r="Y152" i="22"/>
  <c r="Y142" i="22"/>
  <c r="Y127" i="22"/>
  <c r="Y116" i="22"/>
  <c r="Y42" i="22"/>
  <c r="Y48" i="22"/>
  <c r="Y60" i="22"/>
  <c r="Y21" i="22"/>
  <c r="Y168" i="22"/>
  <c r="Y147" i="22"/>
  <c r="Y122" i="22"/>
  <c r="Y176" i="22"/>
  <c r="Y155" i="22"/>
  <c r="Y130" i="22"/>
  <c r="Y35" i="22"/>
  <c r="Y41" i="22"/>
  <c r="Y51" i="22"/>
  <c r="Y24" i="22"/>
  <c r="Y158" i="22"/>
  <c r="Y111" i="22"/>
  <c r="V111" i="22" s="1"/>
  <c r="S111" i="22" s="1"/>
  <c r="Q111" i="22" s="1"/>
  <c r="Y144" i="22"/>
  <c r="Y57" i="22"/>
  <c r="Y179" i="22"/>
  <c r="Y132" i="22"/>
  <c r="Y40" i="22"/>
  <c r="Y59" i="22"/>
  <c r="Y166" i="22"/>
  <c r="Y18" i="22"/>
  <c r="Y96" i="22"/>
  <c r="Y95" i="22"/>
  <c r="Y94" i="22"/>
  <c r="Y93" i="22"/>
  <c r="Y92" i="22"/>
  <c r="Y91" i="22"/>
  <c r="Y90" i="22"/>
  <c r="Y86" i="22"/>
  <c r="Y85" i="22"/>
  <c r="Y74" i="22"/>
  <c r="Y73" i="22"/>
  <c r="Y72" i="22"/>
  <c r="Y71" i="22"/>
  <c r="Y70" i="22"/>
  <c r="Y69" i="22"/>
  <c r="Y68" i="22"/>
  <c r="Y67" i="22"/>
  <c r="Y66" i="22"/>
  <c r="Y65" i="22"/>
  <c r="Y64" i="22"/>
  <c r="Y63" i="22"/>
  <c r="Y108" i="22"/>
  <c r="Y107" i="22"/>
  <c r="Y106" i="22"/>
  <c r="Y105" i="22"/>
  <c r="Y104" i="22"/>
  <c r="Y103" i="22"/>
  <c r="Y102" i="22"/>
  <c r="Y101" i="22"/>
  <c r="V101" i="22" s="1"/>
  <c r="S101" i="22" s="1"/>
  <c r="Y100" i="22"/>
  <c r="Y99" i="22"/>
  <c r="Y98" i="22"/>
  <c r="Y89" i="22"/>
  <c r="Y84" i="22"/>
  <c r="Y83" i="22"/>
  <c r="Y82" i="22"/>
  <c r="Y81" i="22"/>
  <c r="Y80" i="22"/>
  <c r="Y79" i="22"/>
  <c r="Y78" i="22"/>
  <c r="Y77" i="22"/>
  <c r="Y76" i="22"/>
  <c r="Y88" i="22"/>
  <c r="Y87" i="22"/>
  <c r="Y61" i="22"/>
  <c r="V61" i="22" s="1"/>
  <c r="S61" i="22" s="1"/>
  <c r="M125" i="47"/>
  <c r="AA125" i="4" s="1"/>
  <c r="Y125" i="8" s="1"/>
  <c r="L125" i="8" s="1"/>
  <c r="M169" i="47"/>
  <c r="AA169" i="4" s="1"/>
  <c r="Y169" i="8" s="1"/>
  <c r="M19" i="47"/>
  <c r="G19" i="47" s="1"/>
  <c r="M74" i="47"/>
  <c r="G74" i="47" s="1"/>
  <c r="M155" i="47"/>
  <c r="AA155" i="4" s="1"/>
  <c r="Y155" i="8" s="1"/>
  <c r="M97" i="47"/>
  <c r="AA97" i="4" s="1"/>
  <c r="Y97" i="8" s="1"/>
  <c r="M165" i="47"/>
  <c r="G165" i="47" s="1"/>
  <c r="M34" i="47"/>
  <c r="AA34" i="4" s="1"/>
  <c r="Y34" i="8" s="1"/>
  <c r="M99" i="47"/>
  <c r="G99" i="47" s="1"/>
  <c r="M167" i="47"/>
  <c r="G167" i="47" s="1"/>
  <c r="M16" i="47"/>
  <c r="G16" i="47" s="1"/>
  <c r="M26" i="47"/>
  <c r="G26" i="47" s="1"/>
  <c r="M51" i="47"/>
  <c r="G51" i="47" s="1"/>
  <c r="M59" i="47"/>
  <c r="G59" i="47" s="1"/>
  <c r="M71" i="47"/>
  <c r="AA71" i="4" s="1"/>
  <c r="Y71" i="8" s="1"/>
  <c r="M86" i="47"/>
  <c r="AA86" i="4" s="1"/>
  <c r="Y86" i="8" s="1"/>
  <c r="M117" i="47"/>
  <c r="AA117" i="4" s="1"/>
  <c r="Y117" i="8" s="1"/>
  <c r="M145" i="47"/>
  <c r="G145" i="47" s="1"/>
  <c r="M153" i="47"/>
  <c r="AA153" i="4" s="1"/>
  <c r="Y153" i="8" s="1"/>
  <c r="M35" i="47"/>
  <c r="AA35" i="4" s="1"/>
  <c r="Y35" i="8" s="1"/>
  <c r="M46" i="47"/>
  <c r="G46" i="47" s="1"/>
  <c r="M68" i="47"/>
  <c r="G68" i="47" s="1"/>
  <c r="M94" i="47"/>
  <c r="G94" i="47" s="1"/>
  <c r="M102" i="47"/>
  <c r="AA102" i="4" s="1"/>
  <c r="Y102" i="8" s="1"/>
  <c r="M130" i="47"/>
  <c r="G130" i="47" s="1"/>
  <c r="M160" i="47"/>
  <c r="AA160" i="4" s="1"/>
  <c r="Y160" i="8" s="1"/>
  <c r="M168" i="47"/>
  <c r="G168" i="47" s="1"/>
  <c r="M177" i="47"/>
  <c r="G177" i="47" s="1"/>
  <c r="M18" i="47"/>
  <c r="G18" i="47" s="1"/>
  <c r="M27" i="47"/>
  <c r="G27" i="47" s="1"/>
  <c r="M54" i="47"/>
  <c r="G54" i="47" s="1"/>
  <c r="M62" i="47"/>
  <c r="AA62" i="4" s="1"/>
  <c r="Y62" i="8" s="1"/>
  <c r="M76" i="47"/>
  <c r="AA76" i="4" s="1"/>
  <c r="Y76" i="8" s="1"/>
  <c r="M146" i="47"/>
  <c r="AA146" i="4" s="1"/>
  <c r="Y146" i="8" s="1"/>
  <c r="M176" i="47"/>
  <c r="G176" i="47" s="1"/>
  <c r="M82" i="47"/>
  <c r="G82" i="47" s="1"/>
  <c r="M80" i="47"/>
  <c r="G80" i="47" s="1"/>
  <c r="M81" i="47"/>
  <c r="G81" i="47" s="1"/>
  <c r="M41" i="47"/>
  <c r="G41" i="47" s="1"/>
  <c r="AL6" i="8"/>
  <c r="AH6" i="8"/>
  <c r="E148" i="21"/>
  <c r="S148" i="22" s="1"/>
  <c r="E150" i="21"/>
  <c r="E151" i="21"/>
  <c r="E147" i="21"/>
  <c r="E152" i="21"/>
  <c r="E149" i="21"/>
  <c r="E123" i="21"/>
  <c r="E122" i="21"/>
  <c r="E145" i="21"/>
  <c r="E142" i="21"/>
  <c r="E144" i="21"/>
  <c r="E82" i="21"/>
  <c r="E85" i="21"/>
  <c r="E83" i="21"/>
  <c r="E81" i="21"/>
  <c r="E84" i="21"/>
  <c r="E78" i="21"/>
  <c r="E89" i="21"/>
  <c r="E94" i="21"/>
  <c r="E80" i="21"/>
  <c r="E91" i="21"/>
  <c r="E95" i="21"/>
  <c r="E87" i="21"/>
  <c r="E92" i="21"/>
  <c r="E88" i="21"/>
  <c r="E93" i="21"/>
  <c r="E77" i="21"/>
  <c r="U121" i="22" l="1"/>
  <c r="R121" i="22" s="1"/>
  <c r="U120" i="22"/>
  <c r="I98" i="47"/>
  <c r="AA11" i="4"/>
  <c r="Y11" i="8" s="1"/>
  <c r="E79" i="13"/>
  <c r="L94" i="54"/>
  <c r="J118" i="55" s="1"/>
  <c r="E10" i="21"/>
  <c r="L93" i="55"/>
  <c r="E14" i="12" s="1"/>
  <c r="O113" i="55"/>
  <c r="O134" i="55" s="1"/>
  <c r="D34" i="12" s="1"/>
  <c r="J43" i="47"/>
  <c r="E45" i="47" s="1"/>
  <c r="I58" i="47"/>
  <c r="D60" i="47" s="1"/>
  <c r="J76" i="47"/>
  <c r="E77" i="47" s="1"/>
  <c r="F84" i="55"/>
  <c r="F83" i="55"/>
  <c r="F85" i="55"/>
  <c r="F82" i="55"/>
  <c r="F81" i="55"/>
  <c r="E79" i="16"/>
  <c r="F54" i="55"/>
  <c r="F52" i="55"/>
  <c r="F53" i="55"/>
  <c r="F55" i="55"/>
  <c r="F51" i="55"/>
  <c r="F65" i="55"/>
  <c r="F63" i="55"/>
  <c r="F64" i="55"/>
  <c r="F66" i="55"/>
  <c r="F67" i="55"/>
  <c r="V135" i="22"/>
  <c r="V139" i="22"/>
  <c r="S139" i="22" s="1"/>
  <c r="V138" i="22"/>
  <c r="S138" i="22" s="1"/>
  <c r="V136" i="22"/>
  <c r="S136" i="22" s="1"/>
  <c r="F72" i="55"/>
  <c r="F70" i="55"/>
  <c r="F69" i="55"/>
  <c r="F73" i="55"/>
  <c r="F71" i="55"/>
  <c r="E119" i="21"/>
  <c r="D11" i="21"/>
  <c r="F91" i="55"/>
  <c r="F88" i="55"/>
  <c r="F89" i="55"/>
  <c r="F87" i="55"/>
  <c r="F90" i="55"/>
  <c r="F59" i="55"/>
  <c r="F57" i="55"/>
  <c r="F58" i="55"/>
  <c r="F61" i="55"/>
  <c r="F60" i="55"/>
  <c r="O93" i="55"/>
  <c r="D14" i="12" s="1"/>
  <c r="E124" i="21"/>
  <c r="V125" i="22"/>
  <c r="V126" i="22"/>
  <c r="S126" i="22" s="1"/>
  <c r="AH11" i="4"/>
  <c r="AC11" i="8" s="1"/>
  <c r="P11" i="8" s="1"/>
  <c r="F78" i="55"/>
  <c r="F79" i="55"/>
  <c r="F76" i="55"/>
  <c r="F77" i="55"/>
  <c r="F75" i="55"/>
  <c r="E133" i="21"/>
  <c r="V121" i="22"/>
  <c r="S121" i="22" s="1"/>
  <c r="V120" i="22"/>
  <c r="D121" i="21"/>
  <c r="D120" i="21"/>
  <c r="F48" i="55"/>
  <c r="F45" i="55"/>
  <c r="F46" i="55"/>
  <c r="F49" i="55"/>
  <c r="F47" i="55"/>
  <c r="U119" i="22"/>
  <c r="R120" i="22"/>
  <c r="J178" i="47"/>
  <c r="E180" i="47" s="1"/>
  <c r="J39" i="47"/>
  <c r="E42" i="47" s="1"/>
  <c r="G132" i="47"/>
  <c r="J98" i="47"/>
  <c r="E100" i="47" s="1"/>
  <c r="J112" i="47"/>
  <c r="E113" i="47" s="1"/>
  <c r="J53" i="47"/>
  <c r="E57" i="47" s="1"/>
  <c r="J170" i="47"/>
  <c r="E172" i="47" s="1"/>
  <c r="J35" i="47"/>
  <c r="E37" i="47" s="1"/>
  <c r="J63" i="47"/>
  <c r="E64" i="47" s="1"/>
  <c r="J71" i="47"/>
  <c r="E73" i="47" s="1"/>
  <c r="J86" i="47"/>
  <c r="D100" i="47"/>
  <c r="D99" i="47"/>
  <c r="AA134" i="4"/>
  <c r="Y134" i="8" s="1"/>
  <c r="I155" i="47"/>
  <c r="AA148" i="4"/>
  <c r="Y148" i="8" s="1"/>
  <c r="L148" i="8" s="1"/>
  <c r="G148" i="47"/>
  <c r="AA162" i="4"/>
  <c r="Y162" i="8" s="1"/>
  <c r="L162" i="8" s="1"/>
  <c r="G162" i="47"/>
  <c r="AA88" i="4"/>
  <c r="Y88" i="8" s="1"/>
  <c r="L88" i="8" s="1"/>
  <c r="G88" i="47"/>
  <c r="I86" i="47" s="1"/>
  <c r="AA12" i="4"/>
  <c r="Y12" i="8" s="1"/>
  <c r="L12" i="8" s="1"/>
  <c r="J21" i="47"/>
  <c r="J164" i="47"/>
  <c r="AA40" i="4"/>
  <c r="Y40" i="8" s="1"/>
  <c r="L40" i="8" s="1"/>
  <c r="G40" i="47"/>
  <c r="I39" i="47" s="1"/>
  <c r="AA175" i="4"/>
  <c r="Y175" i="8" s="1"/>
  <c r="L175" i="8" s="1"/>
  <c r="G175" i="47"/>
  <c r="I174" i="47" s="1"/>
  <c r="AA65" i="4"/>
  <c r="Y65" i="8" s="1"/>
  <c r="L65" i="8" s="1"/>
  <c r="G65" i="47"/>
  <c r="I63" i="47" s="1"/>
  <c r="AA127" i="4"/>
  <c r="Y127" i="8" s="1"/>
  <c r="L127" i="8" s="1"/>
  <c r="G127" i="47"/>
  <c r="O96" i="60"/>
  <c r="D17" i="15" s="1"/>
  <c r="L96" i="60"/>
  <c r="E17" i="15" s="1"/>
  <c r="H138" i="47"/>
  <c r="AH138" i="4"/>
  <c r="AC138" i="8" s="1"/>
  <c r="P138" i="8" s="1"/>
  <c r="I67" i="47"/>
  <c r="I164" i="47"/>
  <c r="D33" i="47"/>
  <c r="D32" i="47"/>
  <c r="I90" i="47"/>
  <c r="E144" i="47"/>
  <c r="E145" i="47"/>
  <c r="AH133" i="4"/>
  <c r="AC133" i="8" s="1"/>
  <c r="P133" i="8" s="1"/>
  <c r="J174" i="47"/>
  <c r="J48" i="47"/>
  <c r="J31" i="47"/>
  <c r="J67" i="47"/>
  <c r="J155" i="47"/>
  <c r="AA50" i="4"/>
  <c r="Y50" i="8" s="1"/>
  <c r="L50" i="8" s="1"/>
  <c r="G50" i="47"/>
  <c r="AA133" i="4"/>
  <c r="Y133" i="8" s="1"/>
  <c r="AA96" i="4"/>
  <c r="Y96" i="8" s="1"/>
  <c r="L96" i="8" s="1"/>
  <c r="G96" i="47"/>
  <c r="AA110" i="4"/>
  <c r="Y110" i="8" s="1"/>
  <c r="L110" i="8" s="1"/>
  <c r="G110" i="47"/>
  <c r="AA49" i="4"/>
  <c r="Y49" i="8" s="1"/>
  <c r="L49" i="8" s="1"/>
  <c r="G49" i="47"/>
  <c r="AA83" i="4"/>
  <c r="Y83" i="8" s="1"/>
  <c r="L83" i="8" s="1"/>
  <c r="G83" i="47"/>
  <c r="I79" i="47" s="1"/>
  <c r="AA72" i="4"/>
  <c r="Y72" i="8" s="1"/>
  <c r="L72" i="8" s="1"/>
  <c r="G72" i="47"/>
  <c r="I71" i="47" s="1"/>
  <c r="AA173" i="4"/>
  <c r="Y173" i="8" s="1"/>
  <c r="L173" i="8" s="1"/>
  <c r="G173" i="47"/>
  <c r="AA22" i="4"/>
  <c r="Y22" i="8" s="1"/>
  <c r="L22" i="8" s="1"/>
  <c r="G22" i="47"/>
  <c r="AA106" i="4"/>
  <c r="Y106" i="8" s="1"/>
  <c r="L106" i="8" s="1"/>
  <c r="G106" i="47"/>
  <c r="I76" i="47"/>
  <c r="O97" i="60"/>
  <c r="D18" i="15" s="1"/>
  <c r="L97" i="60"/>
  <c r="E18" i="15" s="1"/>
  <c r="O98" i="60"/>
  <c r="D19" i="15" s="1"/>
  <c r="L98" i="60"/>
  <c r="E19" i="15" s="1"/>
  <c r="H136" i="47"/>
  <c r="AH136" i="4"/>
  <c r="AC136" i="8" s="1"/>
  <c r="P136" i="8" s="1"/>
  <c r="H135" i="47"/>
  <c r="AH135" i="4"/>
  <c r="AC135" i="8" s="1"/>
  <c r="P135" i="8" s="1"/>
  <c r="G136" i="47"/>
  <c r="AA136" i="4"/>
  <c r="Y136" i="8" s="1"/>
  <c r="L136" i="8" s="1"/>
  <c r="AA111" i="4"/>
  <c r="Y111" i="8" s="1"/>
  <c r="L111" i="8" s="1"/>
  <c r="G111" i="47"/>
  <c r="AA28" i="4"/>
  <c r="Y28" i="8" s="1"/>
  <c r="L28" i="8" s="1"/>
  <c r="G28" i="47"/>
  <c r="AA38" i="4"/>
  <c r="Y38" i="8" s="1"/>
  <c r="L38" i="8" s="1"/>
  <c r="G38" i="47"/>
  <c r="I35" i="47" s="1"/>
  <c r="AA128" i="4"/>
  <c r="Y128" i="8" s="1"/>
  <c r="L128" i="8" s="1"/>
  <c r="G128" i="47"/>
  <c r="G138" i="47"/>
  <c r="AA138" i="4"/>
  <c r="Y138" i="8" s="1"/>
  <c r="L138" i="8" s="1"/>
  <c r="O94" i="60"/>
  <c r="D15" i="15" s="1"/>
  <c r="L94" i="60"/>
  <c r="E15" i="15" s="1"/>
  <c r="H139" i="47"/>
  <c r="AH139" i="4"/>
  <c r="AC139" i="8" s="1"/>
  <c r="P139" i="8" s="1"/>
  <c r="I53" i="47"/>
  <c r="AA147" i="4"/>
  <c r="Y147" i="8" s="1"/>
  <c r="L147" i="8" s="1"/>
  <c r="G147" i="47"/>
  <c r="AA104" i="4"/>
  <c r="Y104" i="8" s="1"/>
  <c r="L104" i="8" s="1"/>
  <c r="G104" i="47"/>
  <c r="AA107" i="4"/>
  <c r="Y107" i="8" s="1"/>
  <c r="L107" i="8" s="1"/>
  <c r="G107" i="47"/>
  <c r="AA171" i="4"/>
  <c r="Y171" i="8" s="1"/>
  <c r="L171" i="8" s="1"/>
  <c r="G171" i="47"/>
  <c r="AA114" i="4"/>
  <c r="Y114" i="8" s="1"/>
  <c r="L114" i="8" s="1"/>
  <c r="G114" i="47"/>
  <c r="I112" i="47" s="1"/>
  <c r="G139" i="47"/>
  <c r="AA139" i="4"/>
  <c r="Y139" i="8" s="1"/>
  <c r="L139" i="8" s="1"/>
  <c r="G135" i="47"/>
  <c r="AA135" i="4"/>
  <c r="Y135" i="8" s="1"/>
  <c r="L135" i="8" s="1"/>
  <c r="I143" i="47"/>
  <c r="I14" i="47"/>
  <c r="J90" i="47"/>
  <c r="J116" i="47"/>
  <c r="J58" i="47"/>
  <c r="J79" i="47"/>
  <c r="J146" i="47"/>
  <c r="J14" i="47"/>
  <c r="J102" i="47"/>
  <c r="AA150" i="4"/>
  <c r="Y150" i="8" s="1"/>
  <c r="L150" i="8" s="1"/>
  <c r="G150" i="47"/>
  <c r="AA172" i="4"/>
  <c r="Y172" i="8" s="1"/>
  <c r="L172" i="8" s="1"/>
  <c r="G172" i="47"/>
  <c r="AA179" i="4"/>
  <c r="Y179" i="8" s="1"/>
  <c r="L179" i="8" s="1"/>
  <c r="G179" i="47"/>
  <c r="I178" i="47" s="1"/>
  <c r="AA163" i="4"/>
  <c r="Y163" i="8" s="1"/>
  <c r="L163" i="8" s="1"/>
  <c r="G163" i="47"/>
  <c r="AA129" i="4"/>
  <c r="Y129" i="8" s="1"/>
  <c r="L129" i="8" s="1"/>
  <c r="G129" i="47"/>
  <c r="AA45" i="4"/>
  <c r="Y45" i="8" s="1"/>
  <c r="L45" i="8" s="1"/>
  <c r="G45" i="47"/>
  <c r="I43" i="47" s="1"/>
  <c r="AA131" i="4"/>
  <c r="Y131" i="8" s="1"/>
  <c r="L131" i="8" s="1"/>
  <c r="G131" i="47"/>
  <c r="L95" i="60"/>
  <c r="E16" i="15" s="1"/>
  <c r="O95" i="60"/>
  <c r="D16" i="15" s="1"/>
  <c r="AG124" i="8"/>
  <c r="AF124" i="8"/>
  <c r="L124" i="8" s="1"/>
  <c r="AA120" i="4"/>
  <c r="Y120" i="8" s="1"/>
  <c r="L120" i="8" s="1"/>
  <c r="AA137" i="4"/>
  <c r="Y137" i="8" s="1"/>
  <c r="L137" i="8" s="1"/>
  <c r="L94" i="59"/>
  <c r="J118" i="60" s="1"/>
  <c r="D61" i="15" s="1"/>
  <c r="S39" i="10"/>
  <c r="G71" i="21"/>
  <c r="G72" i="21"/>
  <c r="G177" i="21"/>
  <c r="G125" i="21"/>
  <c r="G168" i="21"/>
  <c r="G160" i="21"/>
  <c r="D160" i="21" s="1"/>
  <c r="G152" i="21"/>
  <c r="G144" i="21"/>
  <c r="G132" i="21"/>
  <c r="G122" i="21"/>
  <c r="G114" i="21"/>
  <c r="G93" i="21"/>
  <c r="G79" i="21"/>
  <c r="G42" i="21"/>
  <c r="G33" i="21"/>
  <c r="G25" i="21"/>
  <c r="G14" i="21"/>
  <c r="G176" i="21"/>
  <c r="G103" i="21"/>
  <c r="G81" i="21"/>
  <c r="G63" i="21"/>
  <c r="G54" i="21"/>
  <c r="G20" i="21"/>
  <c r="G165" i="21"/>
  <c r="G157" i="21"/>
  <c r="G149" i="21"/>
  <c r="G141" i="21"/>
  <c r="G129" i="21"/>
  <c r="G111" i="21"/>
  <c r="D111" i="21" s="1"/>
  <c r="G90" i="21"/>
  <c r="G76" i="21"/>
  <c r="G41" i="21"/>
  <c r="G32" i="21"/>
  <c r="G24" i="21"/>
  <c r="G13" i="21"/>
  <c r="G68" i="21"/>
  <c r="G100" i="21"/>
  <c r="G180" i="21"/>
  <c r="G61" i="21"/>
  <c r="D61" i="21" s="1"/>
  <c r="G59" i="21"/>
  <c r="G86" i="21"/>
  <c r="G74" i="21"/>
  <c r="G87" i="21"/>
  <c r="G110" i="21"/>
  <c r="D110" i="21" s="1"/>
  <c r="G166" i="21"/>
  <c r="G158" i="21"/>
  <c r="G150" i="21"/>
  <c r="G142" i="21"/>
  <c r="G130" i="21"/>
  <c r="G112" i="21"/>
  <c r="G91" i="21"/>
  <c r="G77" i="21"/>
  <c r="G40" i="21"/>
  <c r="G31" i="21"/>
  <c r="G23" i="21"/>
  <c r="G109" i="21"/>
  <c r="D109" i="21" s="1"/>
  <c r="G101" i="21"/>
  <c r="G69" i="21"/>
  <c r="G60" i="21"/>
  <c r="G52" i="21"/>
  <c r="G172" i="21"/>
  <c r="G163" i="21"/>
  <c r="G155" i="21"/>
  <c r="G147" i="21"/>
  <c r="G127" i="21"/>
  <c r="G117" i="21"/>
  <c r="D117" i="21" s="1"/>
  <c r="G96" i="21"/>
  <c r="G88" i="21"/>
  <c r="G47" i="21"/>
  <c r="G39" i="21"/>
  <c r="G30" i="21"/>
  <c r="G22" i="21"/>
  <c r="G57" i="21"/>
  <c r="G80" i="21"/>
  <c r="G106" i="21"/>
  <c r="G53" i="21"/>
  <c r="G178" i="21"/>
  <c r="G124" i="21"/>
  <c r="G169" i="21"/>
  <c r="G73" i="21"/>
  <c r="G162" i="21"/>
  <c r="G146" i="21"/>
  <c r="G95" i="21"/>
  <c r="G44" i="21"/>
  <c r="G27" i="21"/>
  <c r="G179" i="21"/>
  <c r="G85" i="21"/>
  <c r="G56" i="21"/>
  <c r="G167" i="21"/>
  <c r="G151" i="21"/>
  <c r="G131" i="21"/>
  <c r="G113" i="21"/>
  <c r="G78" i="21"/>
  <c r="G35" i="21"/>
  <c r="G15" i="21"/>
  <c r="G108" i="21"/>
  <c r="G64" i="21"/>
  <c r="G70" i="21"/>
  <c r="G175" i="21"/>
  <c r="G173" i="21"/>
  <c r="G156" i="21"/>
  <c r="G140" i="21"/>
  <c r="D140" i="21" s="1"/>
  <c r="G118" i="21"/>
  <c r="D118" i="21" s="1"/>
  <c r="G89" i="21"/>
  <c r="G38" i="21"/>
  <c r="G21" i="21"/>
  <c r="G107" i="21"/>
  <c r="G67" i="21"/>
  <c r="G50" i="21"/>
  <c r="G161" i="21"/>
  <c r="G145" i="21"/>
  <c r="G123" i="21"/>
  <c r="G94" i="21"/>
  <c r="G45" i="21"/>
  <c r="G28" i="21"/>
  <c r="G102" i="21"/>
  <c r="G66" i="21"/>
  <c r="G34" i="21"/>
  <c r="G75" i="21"/>
  <c r="G171" i="21"/>
  <c r="G154" i="21"/>
  <c r="G116" i="21"/>
  <c r="G82" i="21"/>
  <c r="G36" i="21"/>
  <c r="G16" i="21"/>
  <c r="G105" i="21"/>
  <c r="G65" i="21"/>
  <c r="G48" i="21"/>
  <c r="G159" i="21"/>
  <c r="D159" i="21" s="1"/>
  <c r="G143" i="21"/>
  <c r="G92" i="21"/>
  <c r="G43" i="21"/>
  <c r="G83" i="21"/>
  <c r="G55" i="21"/>
  <c r="G19" i="21"/>
  <c r="D19" i="21" s="1"/>
  <c r="G51" i="21"/>
  <c r="G174" i="21"/>
  <c r="G62" i="21"/>
  <c r="G164" i="21"/>
  <c r="G148" i="21"/>
  <c r="G128" i="21"/>
  <c r="G97" i="21"/>
  <c r="G46" i="21"/>
  <c r="G29" i="21"/>
  <c r="G18" i="21"/>
  <c r="G99" i="21"/>
  <c r="G58" i="21"/>
  <c r="G170" i="21"/>
  <c r="G153" i="21"/>
  <c r="G133" i="21"/>
  <c r="G115" i="21"/>
  <c r="G84" i="21"/>
  <c r="G37" i="21"/>
  <c r="G17" i="21"/>
  <c r="G49" i="21"/>
  <c r="G98" i="21"/>
  <c r="G104" i="21"/>
  <c r="X41" i="22"/>
  <c r="X39" i="22"/>
  <c r="X112" i="22"/>
  <c r="X122" i="22"/>
  <c r="X133" i="22"/>
  <c r="X132" i="22"/>
  <c r="X127" i="22"/>
  <c r="X164" i="22"/>
  <c r="X166" i="22"/>
  <c r="X12" i="22"/>
  <c r="X27" i="22"/>
  <c r="X48" i="22"/>
  <c r="X65" i="22"/>
  <c r="X76" i="22"/>
  <c r="X104" i="22"/>
  <c r="X144" i="22"/>
  <c r="X81" i="22"/>
  <c r="X178" i="22"/>
  <c r="X37" i="22"/>
  <c r="X53" i="22"/>
  <c r="X70" i="22"/>
  <c r="X97" i="22"/>
  <c r="X148" i="22"/>
  <c r="X156" i="22"/>
  <c r="X82" i="22"/>
  <c r="X167" i="22"/>
  <c r="X179" i="22"/>
  <c r="X21" i="22"/>
  <c r="X38" i="22"/>
  <c r="X58" i="22"/>
  <c r="X78" i="22"/>
  <c r="X103" i="22"/>
  <c r="X146" i="22"/>
  <c r="X168" i="22"/>
  <c r="X99" i="22"/>
  <c r="X20" i="22"/>
  <c r="X140" i="22"/>
  <c r="U140" i="22" s="1"/>
  <c r="R140" i="22" s="1"/>
  <c r="X40" i="22"/>
  <c r="X109" i="22"/>
  <c r="U109" i="22" s="1"/>
  <c r="R109" i="22" s="1"/>
  <c r="X46" i="22"/>
  <c r="X15" i="22"/>
  <c r="X114" i="22"/>
  <c r="X113" i="22"/>
  <c r="X123" i="22"/>
  <c r="X118" i="22"/>
  <c r="U118" i="22" s="1"/>
  <c r="R118" i="22" s="1"/>
  <c r="X129" i="22"/>
  <c r="X80" i="22"/>
  <c r="X171" i="22"/>
  <c r="X16" i="22"/>
  <c r="X31" i="22"/>
  <c r="X55" i="22"/>
  <c r="X67" i="22"/>
  <c r="X87" i="22"/>
  <c r="X106" i="22"/>
  <c r="X155" i="22"/>
  <c r="X85" i="22"/>
  <c r="X24" i="22"/>
  <c r="X44" i="22"/>
  <c r="X60" i="22"/>
  <c r="X77" i="22"/>
  <c r="X100" i="22"/>
  <c r="X150" i="22"/>
  <c r="X158" i="22"/>
  <c r="X75" i="22"/>
  <c r="X169" i="22"/>
  <c r="X13" i="22"/>
  <c r="X25" i="22"/>
  <c r="X45" i="22"/>
  <c r="X64" i="22"/>
  <c r="X89" i="22"/>
  <c r="X105" i="22"/>
  <c r="X154" i="22"/>
  <c r="X175" i="22"/>
  <c r="X143" i="22"/>
  <c r="X50" i="22"/>
  <c r="X177" i="22"/>
  <c r="X69" i="22"/>
  <c r="X30" i="22"/>
  <c r="X34" i="22"/>
  <c r="X43" i="22"/>
  <c r="X126" i="22"/>
  <c r="X84" i="22"/>
  <c r="X18" i="22"/>
  <c r="X57" i="22"/>
  <c r="X91" i="22"/>
  <c r="X117" i="22"/>
  <c r="U117" i="22" s="1"/>
  <c r="R117" i="22" s="1"/>
  <c r="X28" i="22"/>
  <c r="X63" i="22"/>
  <c r="X102" i="22"/>
  <c r="X9" i="22"/>
  <c r="U9" i="22" s="1"/>
  <c r="R9" i="22" s="1"/>
  <c r="X172" i="22"/>
  <c r="X29" i="22"/>
  <c r="X66" i="22"/>
  <c r="X107" i="22"/>
  <c r="X35" i="22"/>
  <c r="X94" i="22"/>
  <c r="X86" i="22"/>
  <c r="X170" i="22"/>
  <c r="X90" i="22"/>
  <c r="X157" i="22"/>
  <c r="X10" i="22"/>
  <c r="X111" i="22"/>
  <c r="U111" i="22" s="1"/>
  <c r="R111" i="22" s="1"/>
  <c r="P111" i="22" s="1"/>
  <c r="X125" i="22"/>
  <c r="X124" i="22"/>
  <c r="X163" i="22"/>
  <c r="X23" i="22"/>
  <c r="X62" i="22"/>
  <c r="X95" i="22"/>
  <c r="X61" i="22"/>
  <c r="U61" i="22" s="1"/>
  <c r="R61" i="22" s="1"/>
  <c r="X32" i="22"/>
  <c r="X68" i="22"/>
  <c r="X142" i="22"/>
  <c r="X161" i="22"/>
  <c r="X174" i="22"/>
  <c r="X33" i="22"/>
  <c r="X73" i="22"/>
  <c r="X145" i="22"/>
  <c r="X52" i="22"/>
  <c r="X149" i="22"/>
  <c r="X14" i="22"/>
  <c r="X128" i="22"/>
  <c r="X131" i="22"/>
  <c r="X173" i="22"/>
  <c r="X36" i="22"/>
  <c r="X72" i="22"/>
  <c r="X108" i="22"/>
  <c r="X49" i="22"/>
  <c r="X88" i="22"/>
  <c r="X152" i="22"/>
  <c r="X162" i="22"/>
  <c r="X17" i="22"/>
  <c r="X54" i="22"/>
  <c r="X93" i="22"/>
  <c r="X159" i="22"/>
  <c r="U159" i="22" s="1"/>
  <c r="R159" i="22" s="1"/>
  <c r="X151" i="22"/>
  <c r="X79" i="22"/>
  <c r="X47" i="22"/>
  <c r="X83" i="22"/>
  <c r="X110" i="22"/>
  <c r="U110" i="22" s="1"/>
  <c r="R110" i="22" s="1"/>
  <c r="P110" i="22" s="1"/>
  <c r="X130" i="22"/>
  <c r="X180" i="22"/>
  <c r="X42" i="22"/>
  <c r="X74" i="22"/>
  <c r="X141" i="22"/>
  <c r="X176" i="22"/>
  <c r="X51" i="22"/>
  <c r="X92" i="22"/>
  <c r="X153" i="22"/>
  <c r="X165" i="22"/>
  <c r="X19" i="22"/>
  <c r="X56" i="22"/>
  <c r="X98" i="22"/>
  <c r="X115" i="22"/>
  <c r="X116" i="22"/>
  <c r="X22" i="22"/>
  <c r="X71" i="22"/>
  <c r="X101" i="22"/>
  <c r="X147" i="22"/>
  <c r="X160" i="22"/>
  <c r="U160" i="22" s="1"/>
  <c r="X59" i="22"/>
  <c r="X26" i="22"/>
  <c r="X96" i="22"/>
  <c r="AA77" i="4"/>
  <c r="Y77" i="8" s="1"/>
  <c r="L77" i="8" s="1"/>
  <c r="AA69" i="4"/>
  <c r="Y69" i="8" s="1"/>
  <c r="L69" i="8" s="1"/>
  <c r="AA17" i="4"/>
  <c r="Y17" i="8" s="1"/>
  <c r="L17" i="8" s="1"/>
  <c r="AA180" i="4"/>
  <c r="Y180" i="8" s="1"/>
  <c r="L180" i="8" s="1"/>
  <c r="AA30" i="4"/>
  <c r="Y30" i="8" s="1"/>
  <c r="L30" i="8" s="1"/>
  <c r="AA29" i="4"/>
  <c r="Y29" i="8" s="1"/>
  <c r="L29" i="8" s="1"/>
  <c r="AA103" i="4"/>
  <c r="Y103" i="8" s="1"/>
  <c r="L103" i="8" s="1"/>
  <c r="AA56" i="4"/>
  <c r="Y56" i="8" s="1"/>
  <c r="L56" i="8" s="1"/>
  <c r="AA78" i="4"/>
  <c r="Y78" i="8" s="1"/>
  <c r="L78" i="8" s="1"/>
  <c r="AA23" i="4"/>
  <c r="Y23" i="8" s="1"/>
  <c r="L23" i="8" s="1"/>
  <c r="AA87" i="4"/>
  <c r="Y87" i="8" s="1"/>
  <c r="L87" i="8" s="1"/>
  <c r="AA149" i="4"/>
  <c r="Y149" i="8" s="1"/>
  <c r="L149" i="8" s="1"/>
  <c r="AA101" i="4"/>
  <c r="Y101" i="8" s="1"/>
  <c r="L101" i="8" s="1"/>
  <c r="AA105" i="4"/>
  <c r="Y105" i="8" s="1"/>
  <c r="L105" i="8" s="1"/>
  <c r="AA37" i="4"/>
  <c r="Y37" i="8" s="1"/>
  <c r="L37" i="8" s="1"/>
  <c r="AA36" i="4"/>
  <c r="Y36" i="8" s="1"/>
  <c r="L36" i="8" s="1"/>
  <c r="AA156" i="4"/>
  <c r="Y156" i="8" s="1"/>
  <c r="L156" i="8" s="1"/>
  <c r="AA55" i="4"/>
  <c r="Y55" i="8" s="1"/>
  <c r="L55" i="8" s="1"/>
  <c r="AA42" i="4"/>
  <c r="Y42" i="8" s="1"/>
  <c r="L42" i="8" s="1"/>
  <c r="AA113" i="4"/>
  <c r="Y113" i="8" s="1"/>
  <c r="L113" i="8" s="1"/>
  <c r="AA43" i="4"/>
  <c r="Y43" i="8" s="1"/>
  <c r="L43" i="8" s="1"/>
  <c r="AA95" i="4"/>
  <c r="Y95" i="8" s="1"/>
  <c r="L95" i="8" s="1"/>
  <c r="AA70" i="4"/>
  <c r="Y70" i="8" s="1"/>
  <c r="L70" i="8" s="1"/>
  <c r="E62" i="21"/>
  <c r="AA99" i="4"/>
  <c r="Y99" i="8" s="1"/>
  <c r="L99" i="8" s="1"/>
  <c r="E97" i="21"/>
  <c r="AA66" i="4"/>
  <c r="Y66" i="8" s="1"/>
  <c r="L66" i="8" s="1"/>
  <c r="AH60" i="4"/>
  <c r="AC60" i="8" s="1"/>
  <c r="P60" i="8" s="1"/>
  <c r="AH29" i="4"/>
  <c r="AC29" i="8" s="1"/>
  <c r="P29" i="8" s="1"/>
  <c r="AH118" i="4"/>
  <c r="AC118" i="8" s="1"/>
  <c r="P118" i="8" s="1"/>
  <c r="AH15" i="4"/>
  <c r="AC15" i="8" s="1"/>
  <c r="P15" i="8" s="1"/>
  <c r="AH45" i="4"/>
  <c r="AC45" i="8" s="1"/>
  <c r="P45" i="8" s="1"/>
  <c r="AH103" i="4"/>
  <c r="AC103" i="8" s="1"/>
  <c r="P103" i="8" s="1"/>
  <c r="AH158" i="4"/>
  <c r="AC158" i="8" s="1"/>
  <c r="P158" i="8" s="1"/>
  <c r="AH129" i="4"/>
  <c r="AC129" i="8" s="1"/>
  <c r="P129" i="8" s="1"/>
  <c r="AA54" i="4"/>
  <c r="Y54" i="8" s="1"/>
  <c r="L54" i="8" s="1"/>
  <c r="AA74" i="4"/>
  <c r="Y74" i="8" s="1"/>
  <c r="L74" i="8" s="1"/>
  <c r="V66" i="22"/>
  <c r="S66" i="22" s="1"/>
  <c r="V64" i="22"/>
  <c r="V65" i="22"/>
  <c r="S65" i="22" s="1"/>
  <c r="V68" i="22"/>
  <c r="S68" i="22" s="1"/>
  <c r="V70" i="22"/>
  <c r="S70" i="22" s="1"/>
  <c r="V69" i="22"/>
  <c r="S69" i="22" s="1"/>
  <c r="V73" i="22"/>
  <c r="S73" i="22" s="1"/>
  <c r="V72" i="22"/>
  <c r="S72" i="22" s="1"/>
  <c r="V74" i="22"/>
  <c r="S74" i="22" s="1"/>
  <c r="V49" i="22"/>
  <c r="V51" i="22"/>
  <c r="S51" i="22" s="1"/>
  <c r="V50" i="22"/>
  <c r="S50" i="22" s="1"/>
  <c r="V52" i="22"/>
  <c r="S52" i="22" s="1"/>
  <c r="S127" i="22"/>
  <c r="S129" i="22"/>
  <c r="S131" i="22"/>
  <c r="S128" i="22"/>
  <c r="S130" i="22"/>
  <c r="S132" i="22"/>
  <c r="V113" i="22"/>
  <c r="V114" i="22"/>
  <c r="S114" i="22" s="1"/>
  <c r="V33" i="22"/>
  <c r="S33" i="22" s="1"/>
  <c r="V32" i="22"/>
  <c r="S32" i="22" s="1"/>
  <c r="Q116" i="22"/>
  <c r="V158" i="22"/>
  <c r="S158" i="22" s="1"/>
  <c r="V157" i="22"/>
  <c r="S157" i="22" s="1"/>
  <c r="V154" i="22"/>
  <c r="V156" i="22"/>
  <c r="S156" i="22" s="1"/>
  <c r="V175" i="22"/>
  <c r="S175" i="22" s="1"/>
  <c r="V173" i="22"/>
  <c r="S173" i="22" s="1"/>
  <c r="V177" i="22"/>
  <c r="S177" i="22" s="1"/>
  <c r="V180" i="22"/>
  <c r="S180" i="22" s="1"/>
  <c r="V172" i="22"/>
  <c r="S172" i="22" s="1"/>
  <c r="V179" i="22"/>
  <c r="S179" i="22" s="1"/>
  <c r="V176" i="22"/>
  <c r="S176" i="22" s="1"/>
  <c r="V171" i="22"/>
  <c r="V43" i="22"/>
  <c r="S43" i="22" s="1"/>
  <c r="V45" i="22"/>
  <c r="S45" i="22" s="1"/>
  <c r="V44" i="22"/>
  <c r="S44" i="22" s="1"/>
  <c r="AA89" i="4"/>
  <c r="Y89" i="8" s="1"/>
  <c r="L89" i="8" s="1"/>
  <c r="AA25" i="4"/>
  <c r="Y25" i="8" s="1"/>
  <c r="L25" i="8" s="1"/>
  <c r="AA158" i="4"/>
  <c r="Y158" i="8" s="1"/>
  <c r="L158" i="8" s="1"/>
  <c r="AA64" i="4"/>
  <c r="Y64" i="8" s="1"/>
  <c r="L64" i="8" s="1"/>
  <c r="AA151" i="4"/>
  <c r="Y151" i="8" s="1"/>
  <c r="L151" i="8" s="1"/>
  <c r="AA13" i="4"/>
  <c r="Y13" i="8" s="1"/>
  <c r="L13" i="8" s="1"/>
  <c r="AA157" i="4"/>
  <c r="Y157" i="8" s="1"/>
  <c r="L157" i="8" s="1"/>
  <c r="AA123" i="4"/>
  <c r="Y123" i="8" s="1"/>
  <c r="L123" i="8" s="1"/>
  <c r="E161" i="21"/>
  <c r="AH144" i="4"/>
  <c r="AC144" i="8" s="1"/>
  <c r="P144" i="8" s="1"/>
  <c r="AH16" i="4"/>
  <c r="AC16" i="8" s="1"/>
  <c r="P16" i="8" s="1"/>
  <c r="AH85" i="4"/>
  <c r="AC85" i="8" s="1"/>
  <c r="P85" i="8" s="1"/>
  <c r="AH12" i="4"/>
  <c r="AC12" i="8" s="1"/>
  <c r="P12" i="8" s="1"/>
  <c r="AH150" i="4"/>
  <c r="AC150" i="8" s="1"/>
  <c r="P150" i="8" s="1"/>
  <c r="AH23" i="4"/>
  <c r="AC23" i="8" s="1"/>
  <c r="P23" i="8" s="1"/>
  <c r="AH95" i="4"/>
  <c r="AC95" i="8" s="1"/>
  <c r="P95" i="8" s="1"/>
  <c r="AH104" i="4"/>
  <c r="AC104" i="8" s="1"/>
  <c r="P104" i="8" s="1"/>
  <c r="AH157" i="4"/>
  <c r="AC157" i="8" s="1"/>
  <c r="P157" i="8" s="1"/>
  <c r="AH165" i="4"/>
  <c r="AC165" i="8" s="1"/>
  <c r="P165" i="8" s="1"/>
  <c r="AH173" i="4"/>
  <c r="AC173" i="8" s="1"/>
  <c r="P173" i="8" s="1"/>
  <c r="AH142" i="4"/>
  <c r="AC142" i="8" s="1"/>
  <c r="P142" i="8" s="1"/>
  <c r="AH38" i="4"/>
  <c r="AC38" i="8" s="1"/>
  <c r="P38" i="8" s="1"/>
  <c r="AH55" i="4"/>
  <c r="AC55" i="8" s="1"/>
  <c r="P55" i="8" s="1"/>
  <c r="AH84" i="4"/>
  <c r="AC84" i="8" s="1"/>
  <c r="P84" i="8" s="1"/>
  <c r="AH151" i="4"/>
  <c r="AC151" i="8" s="1"/>
  <c r="P151" i="8" s="1"/>
  <c r="AH122" i="4"/>
  <c r="AC122" i="8" s="1"/>
  <c r="P122" i="8" s="1"/>
  <c r="AH19" i="4"/>
  <c r="AC19" i="8" s="1"/>
  <c r="P19" i="8" s="1"/>
  <c r="AH28" i="4"/>
  <c r="AC28" i="8" s="1"/>
  <c r="P28" i="8" s="1"/>
  <c r="AH64" i="4"/>
  <c r="AC64" i="8" s="1"/>
  <c r="P64" i="8" s="1"/>
  <c r="AH72" i="4"/>
  <c r="AC72" i="8" s="1"/>
  <c r="P72" i="8" s="1"/>
  <c r="AH94" i="4"/>
  <c r="AC94" i="8" s="1"/>
  <c r="P94" i="8" s="1"/>
  <c r="AH105" i="4"/>
  <c r="AC105" i="8" s="1"/>
  <c r="P105" i="8" s="1"/>
  <c r="AH132" i="4"/>
  <c r="AC132" i="8" s="1"/>
  <c r="P132" i="8" s="1"/>
  <c r="AH160" i="4"/>
  <c r="AC160" i="8" s="1"/>
  <c r="P160" i="8" s="1"/>
  <c r="AH168" i="4"/>
  <c r="AC168" i="8" s="1"/>
  <c r="P168" i="8" s="1"/>
  <c r="AH176" i="4"/>
  <c r="AC176" i="8" s="1"/>
  <c r="P176" i="8" s="1"/>
  <c r="AH43" i="4"/>
  <c r="AC43" i="8" s="1"/>
  <c r="P43" i="8" s="1"/>
  <c r="AH87" i="4"/>
  <c r="AC87" i="8" s="1"/>
  <c r="P87" i="8" s="1"/>
  <c r="AH40" i="4"/>
  <c r="AC40" i="8" s="1"/>
  <c r="P40" i="8" s="1"/>
  <c r="AH130" i="4"/>
  <c r="AC130" i="8" s="1"/>
  <c r="P130" i="8" s="1"/>
  <c r="AA177" i="4"/>
  <c r="Y177" i="8" s="1"/>
  <c r="L177" i="8" s="1"/>
  <c r="Q110" i="22"/>
  <c r="AA84" i="4"/>
  <c r="Y84" i="8" s="1"/>
  <c r="L84" i="8" s="1"/>
  <c r="AA52" i="4"/>
  <c r="Y52" i="8" s="1"/>
  <c r="L52" i="8" s="1"/>
  <c r="AA154" i="4"/>
  <c r="Y154" i="8" s="1"/>
  <c r="L154" i="8" s="1"/>
  <c r="AA24" i="4"/>
  <c r="Y24" i="8" s="1"/>
  <c r="L24" i="8" s="1"/>
  <c r="AH77" i="4"/>
  <c r="AC77" i="8" s="1"/>
  <c r="P77" i="8" s="1"/>
  <c r="AH46" i="4"/>
  <c r="AC46" i="8" s="1"/>
  <c r="P46" i="8" s="1"/>
  <c r="AH93" i="4"/>
  <c r="AC93" i="8" s="1"/>
  <c r="P93" i="8" s="1"/>
  <c r="AH110" i="4"/>
  <c r="AC110" i="8" s="1"/>
  <c r="P110" i="8" s="1"/>
  <c r="AH163" i="4"/>
  <c r="AC163" i="8" s="1"/>
  <c r="P163" i="8" s="1"/>
  <c r="AH179" i="4"/>
  <c r="AC179" i="8" s="1"/>
  <c r="P179" i="8" s="1"/>
  <c r="AH61" i="4"/>
  <c r="AC61" i="8" s="1"/>
  <c r="AH149" i="4"/>
  <c r="AC149" i="8" s="1"/>
  <c r="P149" i="8" s="1"/>
  <c r="AH26" i="4"/>
  <c r="AC26" i="8" s="1"/>
  <c r="P26" i="8" s="1"/>
  <c r="AH92" i="4"/>
  <c r="AC92" i="8" s="1"/>
  <c r="P92" i="8" s="1"/>
  <c r="AH111" i="4"/>
  <c r="AC111" i="8" s="1"/>
  <c r="P111" i="8" s="1"/>
  <c r="AH166" i="4"/>
  <c r="AC166" i="8" s="1"/>
  <c r="P166" i="8" s="1"/>
  <c r="AA122" i="4"/>
  <c r="Y122" i="8" s="1"/>
  <c r="L122" i="8" s="1"/>
  <c r="E75" i="21"/>
  <c r="E141" i="21"/>
  <c r="AA80" i="4"/>
  <c r="Y80" i="8" s="1"/>
  <c r="L80" i="8" s="1"/>
  <c r="K10" i="60" s="1"/>
  <c r="AA27" i="4"/>
  <c r="Y27" i="8" s="1"/>
  <c r="L27" i="8" s="1"/>
  <c r="AA68" i="4"/>
  <c r="Y68" i="8" s="1"/>
  <c r="L68" i="8" s="1"/>
  <c r="AA16" i="4"/>
  <c r="Y16" i="8" s="1"/>
  <c r="L16" i="8" s="1"/>
  <c r="AA165" i="4"/>
  <c r="Y165" i="8" s="1"/>
  <c r="L165" i="8" s="1"/>
  <c r="AA19" i="4"/>
  <c r="Y19" i="8" s="1"/>
  <c r="L19" i="8" s="1"/>
  <c r="V100" i="22"/>
  <c r="S100" i="22" s="1"/>
  <c r="V99" i="22"/>
  <c r="V104" i="22"/>
  <c r="S104" i="22" s="1"/>
  <c r="V108" i="22"/>
  <c r="S108" i="22" s="1"/>
  <c r="V106" i="22"/>
  <c r="S106" i="22" s="1"/>
  <c r="V107" i="22"/>
  <c r="S107" i="22" s="1"/>
  <c r="V105" i="22"/>
  <c r="S105" i="22" s="1"/>
  <c r="V103" i="22"/>
  <c r="S103" i="22" s="1"/>
  <c r="V88" i="22"/>
  <c r="S88" i="22" s="1"/>
  <c r="V87" i="22"/>
  <c r="S87" i="22" s="1"/>
  <c r="V89" i="22"/>
  <c r="S89" i="22" s="1"/>
  <c r="V40" i="22"/>
  <c r="S40" i="22" s="1"/>
  <c r="V41" i="22"/>
  <c r="S41" i="22" s="1"/>
  <c r="V42" i="22"/>
  <c r="S42" i="22" s="1"/>
  <c r="V147" i="22"/>
  <c r="V151" i="22"/>
  <c r="S151" i="22" s="1"/>
  <c r="V150" i="22"/>
  <c r="S150" i="22" s="1"/>
  <c r="V149" i="22"/>
  <c r="S149" i="22" s="1"/>
  <c r="V152" i="22"/>
  <c r="S152" i="22" s="1"/>
  <c r="V148" i="22"/>
  <c r="V16" i="22"/>
  <c r="S16" i="22" s="1"/>
  <c r="V18" i="22"/>
  <c r="S18" i="22" s="1"/>
  <c r="V17" i="22"/>
  <c r="S17" i="22" s="1"/>
  <c r="V15" i="22"/>
  <c r="S15" i="22" s="1"/>
  <c r="V144" i="22"/>
  <c r="S144" i="22" s="1"/>
  <c r="V145" i="22"/>
  <c r="S145" i="22" s="1"/>
  <c r="V142" i="22"/>
  <c r="E34" i="21"/>
  <c r="AA142" i="4"/>
  <c r="Y142" i="8" s="1"/>
  <c r="L142" i="8" s="1"/>
  <c r="AA73" i="4"/>
  <c r="Y73" i="8" s="1"/>
  <c r="L73" i="8" s="1"/>
  <c r="AA108" i="4"/>
  <c r="Y108" i="8" s="1"/>
  <c r="L108" i="8" s="1"/>
  <c r="AA44" i="4"/>
  <c r="Y44" i="8" s="1"/>
  <c r="L44" i="8" s="1"/>
  <c r="AA57" i="4"/>
  <c r="Y57" i="8" s="1"/>
  <c r="L57" i="8" s="1"/>
  <c r="AA93" i="4"/>
  <c r="Y93" i="8" s="1"/>
  <c r="L93" i="8" s="1"/>
  <c r="E153" i="21"/>
  <c r="AH123" i="4"/>
  <c r="AC123" i="8" s="1"/>
  <c r="P123" i="8" s="1"/>
  <c r="AH152" i="4"/>
  <c r="AC152" i="8" s="1"/>
  <c r="P152" i="8" s="1"/>
  <c r="AH37" i="4"/>
  <c r="AC37" i="8" s="1"/>
  <c r="P37" i="8" s="1"/>
  <c r="AH117" i="4"/>
  <c r="AC117" i="8" s="1"/>
  <c r="AH50" i="4"/>
  <c r="AC50" i="8" s="1"/>
  <c r="P50" i="8" s="1"/>
  <c r="AH13" i="4"/>
  <c r="AC13" i="8" s="1"/>
  <c r="P13" i="8" s="1"/>
  <c r="AH25" i="4"/>
  <c r="AC25" i="8" s="1"/>
  <c r="P25" i="8" s="1"/>
  <c r="AH33" i="4"/>
  <c r="AC33" i="8" s="1"/>
  <c r="P33" i="8" s="1"/>
  <c r="AH65" i="4"/>
  <c r="AC65" i="8" s="1"/>
  <c r="P65" i="8" s="1"/>
  <c r="AH73" i="4"/>
  <c r="AC73" i="8" s="1"/>
  <c r="P73" i="8" s="1"/>
  <c r="AH106" i="4"/>
  <c r="AC106" i="8" s="1"/>
  <c r="P106" i="8" s="1"/>
  <c r="AH159" i="4"/>
  <c r="AC159" i="8" s="1"/>
  <c r="AH167" i="4"/>
  <c r="AC167" i="8" s="1"/>
  <c r="P167" i="8" s="1"/>
  <c r="AH175" i="4"/>
  <c r="AC175" i="8" s="1"/>
  <c r="P175" i="8" s="1"/>
  <c r="AH49" i="4"/>
  <c r="AC49" i="8" s="1"/>
  <c r="P49" i="8" s="1"/>
  <c r="AH57" i="4"/>
  <c r="AC57" i="8" s="1"/>
  <c r="P57" i="8" s="1"/>
  <c r="AH78" i="4"/>
  <c r="AC78" i="8" s="1"/>
  <c r="P78" i="8" s="1"/>
  <c r="AH145" i="4"/>
  <c r="AC145" i="8" s="1"/>
  <c r="P145" i="8" s="1"/>
  <c r="AC134" i="8"/>
  <c r="P134" i="8" s="1"/>
  <c r="AH22" i="4"/>
  <c r="AC22" i="8" s="1"/>
  <c r="P22" i="8" s="1"/>
  <c r="AH30" i="4"/>
  <c r="AC30" i="8" s="1"/>
  <c r="P30" i="8" s="1"/>
  <c r="AH66" i="4"/>
  <c r="AC66" i="8" s="1"/>
  <c r="P66" i="8" s="1"/>
  <c r="AH74" i="4"/>
  <c r="AC74" i="8" s="1"/>
  <c r="P74" i="8" s="1"/>
  <c r="AH99" i="4"/>
  <c r="AC99" i="8" s="1"/>
  <c r="P99" i="8" s="1"/>
  <c r="AH107" i="4"/>
  <c r="AC107" i="8" s="1"/>
  <c r="P107" i="8" s="1"/>
  <c r="AH162" i="4"/>
  <c r="AC162" i="8" s="1"/>
  <c r="P162" i="8" s="1"/>
  <c r="AH89" i="4"/>
  <c r="AC89" i="8" s="1"/>
  <c r="P89" i="8" s="1"/>
  <c r="AH131" i="4"/>
  <c r="AC131" i="8" s="1"/>
  <c r="P131" i="8" s="1"/>
  <c r="AH127" i="4"/>
  <c r="AC127" i="8" s="1"/>
  <c r="P127" i="8" s="1"/>
  <c r="AH128" i="4"/>
  <c r="AC128" i="8" s="1"/>
  <c r="P128" i="8" s="1"/>
  <c r="AA41" i="4"/>
  <c r="Y41" i="8" s="1"/>
  <c r="L41" i="8" s="1"/>
  <c r="AA176" i="4"/>
  <c r="Y176" i="8" s="1"/>
  <c r="L176" i="8" s="1"/>
  <c r="AA51" i="4"/>
  <c r="Y51" i="8" s="1"/>
  <c r="L51" i="8" s="1"/>
  <c r="V78" i="22"/>
  <c r="S78" i="22" s="1"/>
  <c r="V77" i="22"/>
  <c r="V36" i="22"/>
  <c r="V37" i="22"/>
  <c r="S37" i="22" s="1"/>
  <c r="V38" i="22"/>
  <c r="S38" i="22" s="1"/>
  <c r="V56" i="22"/>
  <c r="S56" i="22" s="1"/>
  <c r="V57" i="22"/>
  <c r="S57" i="22" s="1"/>
  <c r="V55" i="22"/>
  <c r="S55" i="22" s="1"/>
  <c r="V54" i="22"/>
  <c r="S54" i="22" s="1"/>
  <c r="V60" i="22"/>
  <c r="S60" i="22" s="1"/>
  <c r="V59" i="22"/>
  <c r="S59" i="22" s="1"/>
  <c r="AA144" i="4"/>
  <c r="Y144" i="8" s="1"/>
  <c r="L144" i="8" s="1"/>
  <c r="AA166" i="4"/>
  <c r="Y166" i="8" s="1"/>
  <c r="L166" i="8" s="1"/>
  <c r="AA92" i="4"/>
  <c r="Y92" i="8" s="1"/>
  <c r="L92" i="8" s="1"/>
  <c r="AA15" i="4"/>
  <c r="Y15" i="8" s="1"/>
  <c r="L15" i="8" s="1"/>
  <c r="AH52" i="4"/>
  <c r="AC52" i="8" s="1"/>
  <c r="P52" i="8" s="1"/>
  <c r="AC137" i="8"/>
  <c r="P137" i="8" s="1"/>
  <c r="AH56" i="4"/>
  <c r="AC56" i="8" s="1"/>
  <c r="P56" i="8" s="1"/>
  <c r="AH81" i="4"/>
  <c r="AC81" i="8" s="1"/>
  <c r="P81" i="8" s="1"/>
  <c r="AH69" i="4"/>
  <c r="AC69" i="8" s="1"/>
  <c r="P69" i="8" s="1"/>
  <c r="AH171" i="4"/>
  <c r="AC171" i="8" s="1"/>
  <c r="P171" i="8" s="1"/>
  <c r="AH36" i="4"/>
  <c r="AC36" i="8" s="1"/>
  <c r="P36" i="8" s="1"/>
  <c r="AH82" i="4"/>
  <c r="AC82" i="8" s="1"/>
  <c r="P82" i="8" s="1"/>
  <c r="AH120" i="4"/>
  <c r="AC120" i="8" s="1"/>
  <c r="P120" i="8" s="1"/>
  <c r="AH70" i="4"/>
  <c r="AC70" i="8" s="1"/>
  <c r="P70" i="8" s="1"/>
  <c r="AH154" i="4"/>
  <c r="AC154" i="8" s="1"/>
  <c r="P154" i="8" s="1"/>
  <c r="E146" i="21"/>
  <c r="AA81" i="4"/>
  <c r="Y81" i="8" s="1"/>
  <c r="L81" i="8" s="1"/>
  <c r="AA168" i="4"/>
  <c r="Y168" i="8" s="1"/>
  <c r="L168" i="8" s="1"/>
  <c r="AA94" i="4"/>
  <c r="Y94" i="8" s="1"/>
  <c r="L94" i="8" s="1"/>
  <c r="AA26" i="4"/>
  <c r="Y26" i="8" s="1"/>
  <c r="L26" i="8" s="1"/>
  <c r="AA82" i="4"/>
  <c r="Y82" i="8" s="1"/>
  <c r="L82" i="8" s="1"/>
  <c r="T39" i="10"/>
  <c r="AA18" i="4"/>
  <c r="Y18" i="8" s="1"/>
  <c r="L18" i="8" s="1"/>
  <c r="AA130" i="4"/>
  <c r="Y130" i="8" s="1"/>
  <c r="L130" i="8" s="1"/>
  <c r="AA46" i="4"/>
  <c r="Y46" i="8" s="1"/>
  <c r="L46" i="8" s="1"/>
  <c r="AA145" i="4"/>
  <c r="Y145" i="8" s="1"/>
  <c r="L145" i="8" s="1"/>
  <c r="AA59" i="4"/>
  <c r="Y59" i="8" s="1"/>
  <c r="L59" i="8" s="1"/>
  <c r="AA167" i="4"/>
  <c r="Y167" i="8" s="1"/>
  <c r="L167" i="8" s="1"/>
  <c r="V82" i="22"/>
  <c r="S82" i="22" s="1"/>
  <c r="V85" i="22"/>
  <c r="S85" i="22" s="1"/>
  <c r="V80" i="22"/>
  <c r="S80" i="22" s="1"/>
  <c r="V83" i="22"/>
  <c r="S83" i="22" s="1"/>
  <c r="V91" i="22"/>
  <c r="S91" i="22" s="1"/>
  <c r="V95" i="22"/>
  <c r="S95" i="22" s="1"/>
  <c r="V93" i="22"/>
  <c r="S93" i="22" s="1"/>
  <c r="V92" i="22"/>
  <c r="S92" i="22" s="1"/>
  <c r="V94" i="22"/>
  <c r="S94" i="22" s="1"/>
  <c r="S123" i="22"/>
  <c r="V23" i="22"/>
  <c r="S23" i="22" s="1"/>
  <c r="V28" i="22"/>
  <c r="S28" i="22" s="1"/>
  <c r="V24" i="22"/>
  <c r="S24" i="22" s="1"/>
  <c r="V27" i="22"/>
  <c r="S27" i="22" s="1"/>
  <c r="V22" i="22"/>
  <c r="V26" i="22"/>
  <c r="S26" i="22" s="1"/>
  <c r="V25" i="22"/>
  <c r="S25" i="22" s="1"/>
  <c r="V29" i="22"/>
  <c r="S29" i="22" s="1"/>
  <c r="V167" i="22"/>
  <c r="S167" i="22" s="1"/>
  <c r="V166" i="22"/>
  <c r="S166" i="22" s="1"/>
  <c r="V168" i="22"/>
  <c r="S168" i="22" s="1"/>
  <c r="V165" i="22"/>
  <c r="S165" i="22" s="1"/>
  <c r="Q8" i="22"/>
  <c r="S13" i="22"/>
  <c r="V163" i="22"/>
  <c r="S163" i="22" s="1"/>
  <c r="V162" i="22"/>
  <c r="AA85" i="4"/>
  <c r="Y85" i="8" s="1"/>
  <c r="L85" i="8" s="1"/>
  <c r="AA152" i="4"/>
  <c r="Y152" i="8" s="1"/>
  <c r="L152" i="8" s="1"/>
  <c r="AA60" i="4"/>
  <c r="Y60" i="8" s="1"/>
  <c r="L60" i="8" s="1"/>
  <c r="AA100" i="4"/>
  <c r="Y100" i="8" s="1"/>
  <c r="L100" i="8" s="1"/>
  <c r="AA32" i="4"/>
  <c r="Y32" i="8" s="1"/>
  <c r="L32" i="8" s="1"/>
  <c r="AA115" i="4"/>
  <c r="Y115" i="8" s="1"/>
  <c r="L115" i="8" s="1"/>
  <c r="AA33" i="4"/>
  <c r="Y33" i="8" s="1"/>
  <c r="L33" i="8" s="1"/>
  <c r="AA91" i="4"/>
  <c r="Y91" i="8" s="1"/>
  <c r="L91" i="8" s="1"/>
  <c r="AA132" i="4"/>
  <c r="Y132" i="8" s="1"/>
  <c r="L132" i="8" s="1"/>
  <c r="E57" i="16"/>
  <c r="E47" i="21"/>
  <c r="E112" i="21"/>
  <c r="E169" i="21"/>
  <c r="E20" i="21"/>
  <c r="AH83" i="4"/>
  <c r="AC83" i="8" s="1"/>
  <c r="P83" i="8" s="1"/>
  <c r="AH113" i="4"/>
  <c r="AC113" i="8" s="1"/>
  <c r="P113" i="8" s="1"/>
  <c r="AH54" i="4"/>
  <c r="AC54" i="8" s="1"/>
  <c r="P54" i="8" s="1"/>
  <c r="AH148" i="4"/>
  <c r="AC148" i="8" s="1"/>
  <c r="P148" i="8" s="1"/>
  <c r="AH17" i="4"/>
  <c r="AC17" i="8" s="1"/>
  <c r="P17" i="8" s="1"/>
  <c r="AH27" i="4"/>
  <c r="AC27" i="8" s="1"/>
  <c r="P27" i="8" s="1"/>
  <c r="AH44" i="4"/>
  <c r="AC44" i="8" s="1"/>
  <c r="P44" i="8" s="1"/>
  <c r="AH91" i="4"/>
  <c r="AC91" i="8" s="1"/>
  <c r="P91" i="8" s="1"/>
  <c r="AH100" i="4"/>
  <c r="AC100" i="8" s="1"/>
  <c r="P100" i="8" s="1"/>
  <c r="AH108" i="4"/>
  <c r="AC108" i="8" s="1"/>
  <c r="P108" i="8" s="1"/>
  <c r="AH140" i="4"/>
  <c r="AC140" i="8" s="1"/>
  <c r="AH177" i="4"/>
  <c r="AC177" i="8" s="1"/>
  <c r="P177" i="8" s="1"/>
  <c r="AH18" i="4"/>
  <c r="AC18" i="8" s="1"/>
  <c r="P18" i="8" s="1"/>
  <c r="AH51" i="4"/>
  <c r="AC51" i="8" s="1"/>
  <c r="P51" i="8" s="1"/>
  <c r="AH59" i="4"/>
  <c r="AC59" i="8" s="1"/>
  <c r="P59" i="8" s="1"/>
  <c r="AH80" i="4"/>
  <c r="AC80" i="8" s="1"/>
  <c r="P80" i="8" s="1"/>
  <c r="AH116" i="4"/>
  <c r="AC116" i="8" s="1"/>
  <c r="AH147" i="4"/>
  <c r="AC147" i="8" s="1"/>
  <c r="P147" i="8" s="1"/>
  <c r="AH114" i="4"/>
  <c r="AC114" i="8" s="1"/>
  <c r="P114" i="8" s="1"/>
  <c r="AH24" i="4"/>
  <c r="AC24" i="8" s="1"/>
  <c r="P24" i="8" s="1"/>
  <c r="AH32" i="4"/>
  <c r="AC32" i="8" s="1"/>
  <c r="P32" i="8" s="1"/>
  <c r="AH68" i="4"/>
  <c r="AC68" i="8" s="1"/>
  <c r="P68" i="8" s="1"/>
  <c r="AH101" i="4"/>
  <c r="AC101" i="8" s="1"/>
  <c r="P101" i="8" s="1"/>
  <c r="AH109" i="4"/>
  <c r="AC109" i="8" s="1"/>
  <c r="AH156" i="4"/>
  <c r="AC156" i="8" s="1"/>
  <c r="P156" i="8" s="1"/>
  <c r="AH172" i="4"/>
  <c r="AC172" i="8" s="1"/>
  <c r="P172" i="8" s="1"/>
  <c r="AH180" i="4"/>
  <c r="AC180" i="8" s="1"/>
  <c r="P180" i="8" s="1"/>
  <c r="AH88" i="4"/>
  <c r="AC88" i="8" s="1"/>
  <c r="P88" i="8" s="1"/>
  <c r="AH42" i="4"/>
  <c r="AC42" i="8" s="1"/>
  <c r="P42" i="8" s="1"/>
  <c r="AH41" i="4"/>
  <c r="AC41" i="8" s="1"/>
  <c r="P41" i="8" s="1"/>
  <c r="AH125" i="4"/>
  <c r="AC125" i="8" s="1"/>
  <c r="P125" i="8" s="1"/>
  <c r="P119" i="22" l="1"/>
  <c r="N120" i="22" s="1"/>
  <c r="G120" i="22" s="1"/>
  <c r="R160" i="22"/>
  <c r="D119" i="21"/>
  <c r="U136" i="22"/>
  <c r="R136" i="22" s="1"/>
  <c r="U138" i="22"/>
  <c r="R138" i="22" s="1"/>
  <c r="U139" i="22"/>
  <c r="D18" i="21"/>
  <c r="E78" i="47"/>
  <c r="Q137" i="22"/>
  <c r="O139" i="22" s="1"/>
  <c r="E99" i="47"/>
  <c r="E38" i="47"/>
  <c r="E40" i="47"/>
  <c r="E44" i="47"/>
  <c r="AJ44" i="4" s="1"/>
  <c r="D59" i="47"/>
  <c r="L96" i="55"/>
  <c r="E17" i="12" s="1"/>
  <c r="O94" i="55"/>
  <c r="D15" i="12" s="1"/>
  <c r="L97" i="55"/>
  <c r="E18" i="12" s="1"/>
  <c r="O98" i="55"/>
  <c r="D19" i="12" s="1"/>
  <c r="L98" i="55"/>
  <c r="E19" i="12" s="1"/>
  <c r="L95" i="55"/>
  <c r="E16" i="12" s="1"/>
  <c r="O95" i="55"/>
  <c r="D16" i="12" s="1"/>
  <c r="I134" i="47"/>
  <c r="D136" i="47" s="1"/>
  <c r="AC136" i="4" s="1"/>
  <c r="E36" i="47"/>
  <c r="E179" i="47"/>
  <c r="E74" i="47"/>
  <c r="U15" i="22"/>
  <c r="R15" i="22" s="1"/>
  <c r="U19" i="22"/>
  <c r="R19" i="22" s="1"/>
  <c r="U11" i="22"/>
  <c r="D139" i="21"/>
  <c r="D138" i="21"/>
  <c r="D135" i="21"/>
  <c r="D136" i="21"/>
  <c r="D125" i="21"/>
  <c r="D126" i="21"/>
  <c r="V119" i="22"/>
  <c r="S119" i="22" s="1"/>
  <c r="S120" i="22"/>
  <c r="Q119" i="22" s="1"/>
  <c r="U125" i="22"/>
  <c r="U126" i="22"/>
  <c r="R126" i="22" s="1"/>
  <c r="O96" i="55"/>
  <c r="D17" i="12" s="1"/>
  <c r="V133" i="22"/>
  <c r="S133" i="22" s="1"/>
  <c r="S135" i="22"/>
  <c r="Q134" i="22" s="1"/>
  <c r="O97" i="55"/>
  <c r="D18" i="12" s="1"/>
  <c r="L94" i="55"/>
  <c r="E15" i="12" s="1"/>
  <c r="U135" i="22"/>
  <c r="E171" i="47"/>
  <c r="E41" i="47"/>
  <c r="N121" i="22"/>
  <c r="R139" i="22"/>
  <c r="E72" i="47"/>
  <c r="J125" i="55"/>
  <c r="D61" i="12"/>
  <c r="E54" i="47"/>
  <c r="E56" i="47"/>
  <c r="AJ56" i="4" s="1"/>
  <c r="E55" i="47"/>
  <c r="E66" i="47"/>
  <c r="E114" i="47"/>
  <c r="E173" i="47"/>
  <c r="AJ173" i="4" s="1"/>
  <c r="I48" i="47"/>
  <c r="D49" i="47" s="1"/>
  <c r="E65" i="47"/>
  <c r="I102" i="47"/>
  <c r="D103" i="47" s="1"/>
  <c r="I170" i="47"/>
  <c r="D173" i="47" s="1"/>
  <c r="J134" i="47"/>
  <c r="E136" i="47" s="1"/>
  <c r="AJ136" i="4" s="1"/>
  <c r="I21" i="47"/>
  <c r="D25" i="47" s="1"/>
  <c r="D36" i="47"/>
  <c r="AC36" i="4" s="1"/>
  <c r="D38" i="47"/>
  <c r="AC38" i="4" s="1"/>
  <c r="D37" i="47"/>
  <c r="AC37" i="4" s="1"/>
  <c r="D44" i="47"/>
  <c r="AC44" i="4" s="1"/>
  <c r="D45" i="47"/>
  <c r="D66" i="47"/>
  <c r="AC66" i="4" s="1"/>
  <c r="D65" i="47"/>
  <c r="D64" i="47"/>
  <c r="E92" i="47"/>
  <c r="E93" i="47"/>
  <c r="E95" i="47"/>
  <c r="AJ95" i="4" s="1"/>
  <c r="E94" i="47"/>
  <c r="E91" i="47"/>
  <c r="I146" i="47"/>
  <c r="E135" i="47"/>
  <c r="AJ135" i="4" s="1"/>
  <c r="D73" i="47"/>
  <c r="AC73" i="4" s="1"/>
  <c r="D72" i="47"/>
  <c r="D74" i="47"/>
  <c r="E69" i="47"/>
  <c r="E70" i="47"/>
  <c r="E68" i="47"/>
  <c r="D93" i="47"/>
  <c r="D94" i="47"/>
  <c r="D95" i="47"/>
  <c r="D92" i="47"/>
  <c r="D91" i="47"/>
  <c r="D68" i="47"/>
  <c r="AC68" i="4" s="1"/>
  <c r="D70" i="47"/>
  <c r="AC70" i="4" s="1"/>
  <c r="D69" i="47"/>
  <c r="AC69" i="4" s="1"/>
  <c r="D42" i="47"/>
  <c r="D41" i="47"/>
  <c r="AC41" i="4" s="1"/>
  <c r="D40" i="47"/>
  <c r="D158" i="47"/>
  <c r="AC158" i="4" s="1"/>
  <c r="D157" i="47"/>
  <c r="AC157" i="4" s="1"/>
  <c r="D156" i="47"/>
  <c r="AC156" i="4" s="1"/>
  <c r="D78" i="47"/>
  <c r="AC78" i="4" s="1"/>
  <c r="AH78" i="8" s="1"/>
  <c r="D77" i="47"/>
  <c r="AC77" i="4" s="1"/>
  <c r="N77" i="8" s="1"/>
  <c r="E27" i="47"/>
  <c r="E23" i="47"/>
  <c r="E25" i="47"/>
  <c r="E24" i="47"/>
  <c r="E26" i="47"/>
  <c r="E22" i="47"/>
  <c r="E29" i="47"/>
  <c r="E28" i="47"/>
  <c r="D179" i="47"/>
  <c r="AC179" i="4" s="1"/>
  <c r="D180" i="47"/>
  <c r="AC180" i="4" s="1"/>
  <c r="E108" i="47"/>
  <c r="E104" i="47"/>
  <c r="E107" i="47"/>
  <c r="E105" i="47"/>
  <c r="E103" i="47"/>
  <c r="E106" i="47"/>
  <c r="E59" i="47"/>
  <c r="AJ59" i="4" s="1"/>
  <c r="E60" i="47"/>
  <c r="I137" i="47"/>
  <c r="E49" i="47"/>
  <c r="E50" i="47"/>
  <c r="E52" i="47"/>
  <c r="E51" i="47"/>
  <c r="D176" i="47"/>
  <c r="D175" i="47"/>
  <c r="AC175" i="4" s="1"/>
  <c r="D177" i="47"/>
  <c r="E148" i="47"/>
  <c r="E150" i="47"/>
  <c r="E149" i="47"/>
  <c r="E151" i="47"/>
  <c r="E152" i="47"/>
  <c r="AJ152" i="4" s="1"/>
  <c r="E147" i="47"/>
  <c r="D145" i="47"/>
  <c r="D144" i="47"/>
  <c r="E165" i="47"/>
  <c r="E167" i="47"/>
  <c r="E168" i="47"/>
  <c r="E166" i="47"/>
  <c r="D114" i="47"/>
  <c r="AC114" i="4" s="1"/>
  <c r="D113" i="47"/>
  <c r="AC113" i="4" s="1"/>
  <c r="E80" i="47"/>
  <c r="E82" i="47"/>
  <c r="E83" i="47"/>
  <c r="E85" i="47"/>
  <c r="E87" i="47"/>
  <c r="E84" i="47"/>
  <c r="E81" i="47"/>
  <c r="E89" i="47"/>
  <c r="E88" i="47"/>
  <c r="E32" i="47"/>
  <c r="AJ32" i="4" s="1"/>
  <c r="E33" i="47"/>
  <c r="D80" i="47"/>
  <c r="D84" i="47"/>
  <c r="D85" i="47"/>
  <c r="D87" i="47"/>
  <c r="D89" i="47"/>
  <c r="D83" i="47"/>
  <c r="D88" i="47"/>
  <c r="AC88" i="4" s="1"/>
  <c r="D82" i="47"/>
  <c r="D81" i="47"/>
  <c r="E16" i="47"/>
  <c r="AJ16" i="4" s="1"/>
  <c r="E17" i="47"/>
  <c r="E15" i="47"/>
  <c r="E18" i="47"/>
  <c r="E140" i="47"/>
  <c r="E159" i="47"/>
  <c r="E117" i="47"/>
  <c r="D17" i="47"/>
  <c r="D18" i="47"/>
  <c r="AC18" i="4" s="1"/>
  <c r="D15" i="47"/>
  <c r="D16" i="47"/>
  <c r="D57" i="47"/>
  <c r="D56" i="47"/>
  <c r="D54" i="47"/>
  <c r="D55" i="47"/>
  <c r="E157" i="47"/>
  <c r="E158" i="47"/>
  <c r="AJ158" i="4" s="1"/>
  <c r="E156" i="47"/>
  <c r="E177" i="47"/>
  <c r="E175" i="47"/>
  <c r="E176" i="47"/>
  <c r="D165" i="47"/>
  <c r="D168" i="47"/>
  <c r="D167" i="47"/>
  <c r="D166" i="47"/>
  <c r="J137" i="47"/>
  <c r="S122" i="22"/>
  <c r="K103" i="60"/>
  <c r="O118" i="55"/>
  <c r="O116" i="55" s="1"/>
  <c r="O135" i="55" s="1"/>
  <c r="O136" i="55" s="1"/>
  <c r="J125" i="60"/>
  <c r="O118" i="60"/>
  <c r="O116" i="60" s="1"/>
  <c r="O135" i="60" s="1"/>
  <c r="O136" i="60" s="1"/>
  <c r="U166" i="22"/>
  <c r="R166" i="22" s="1"/>
  <c r="U165" i="22"/>
  <c r="R165" i="22" s="1"/>
  <c r="U168" i="22"/>
  <c r="R168" i="22" s="1"/>
  <c r="U162" i="22"/>
  <c r="U163" i="22"/>
  <c r="R163" i="22" s="1"/>
  <c r="U167" i="22"/>
  <c r="R167" i="22" s="1"/>
  <c r="R13" i="22"/>
  <c r="U16" i="22"/>
  <c r="R16" i="22" s="1"/>
  <c r="U17" i="22"/>
  <c r="R17" i="22" s="1"/>
  <c r="U18" i="22"/>
  <c r="R18" i="22" s="1"/>
  <c r="U113" i="22"/>
  <c r="U114" i="22"/>
  <c r="R114" i="22" s="1"/>
  <c r="D156" i="21"/>
  <c r="D157" i="21"/>
  <c r="D158" i="21"/>
  <c r="D154" i="21"/>
  <c r="D147" i="21"/>
  <c r="D151" i="21"/>
  <c r="D152" i="21"/>
  <c r="D149" i="21"/>
  <c r="D148" i="21"/>
  <c r="R148" i="22" s="1"/>
  <c r="D150" i="21"/>
  <c r="U157" i="22"/>
  <c r="R157" i="22" s="1"/>
  <c r="U156" i="22"/>
  <c r="R156" i="22" s="1"/>
  <c r="U158" i="22"/>
  <c r="R158" i="22" s="1"/>
  <c r="U154" i="22"/>
  <c r="U144" i="22"/>
  <c r="R144" i="22" s="1"/>
  <c r="U142" i="22"/>
  <c r="U145" i="22"/>
  <c r="R145" i="22" s="1"/>
  <c r="R127" i="22"/>
  <c r="R128" i="22"/>
  <c r="R129" i="22"/>
  <c r="R130" i="22"/>
  <c r="R131" i="22"/>
  <c r="R132" i="22"/>
  <c r="U177" i="22"/>
  <c r="R177" i="22" s="1"/>
  <c r="U176" i="22"/>
  <c r="R176" i="22" s="1"/>
  <c r="U171" i="22"/>
  <c r="U172" i="22"/>
  <c r="R172" i="22" s="1"/>
  <c r="U173" i="22"/>
  <c r="R173" i="22" s="1"/>
  <c r="U179" i="22"/>
  <c r="R179" i="22" s="1"/>
  <c r="U175" i="22"/>
  <c r="R175" i="22" s="1"/>
  <c r="U180" i="22"/>
  <c r="R180" i="22" s="1"/>
  <c r="U106" i="22"/>
  <c r="R106" i="22" s="1"/>
  <c r="U105" i="22"/>
  <c r="R105" i="22" s="1"/>
  <c r="U99" i="22"/>
  <c r="U108" i="22"/>
  <c r="R108" i="22" s="1"/>
  <c r="U103" i="22"/>
  <c r="R103" i="22" s="1"/>
  <c r="U101" i="22"/>
  <c r="R101" i="22" s="1"/>
  <c r="U100" i="22"/>
  <c r="R100" i="22" s="1"/>
  <c r="U104" i="22"/>
  <c r="R104" i="22" s="1"/>
  <c r="U107" i="22"/>
  <c r="R107" i="22" s="1"/>
  <c r="D91" i="21"/>
  <c r="D81" i="21"/>
  <c r="D93" i="21"/>
  <c r="D89" i="21"/>
  <c r="D87" i="21"/>
  <c r="D95" i="21"/>
  <c r="D77" i="21"/>
  <c r="D94" i="21"/>
  <c r="D80" i="21"/>
  <c r="D85" i="21"/>
  <c r="D82" i="21"/>
  <c r="D78" i="21"/>
  <c r="D84" i="21"/>
  <c r="D92" i="21"/>
  <c r="D88" i="21"/>
  <c r="D83" i="21"/>
  <c r="D142" i="21"/>
  <c r="D144" i="21"/>
  <c r="D145" i="21"/>
  <c r="D28" i="21"/>
  <c r="D26" i="21"/>
  <c r="D27" i="21"/>
  <c r="D33" i="21"/>
  <c r="D30" i="21"/>
  <c r="D22" i="21"/>
  <c r="D25" i="21"/>
  <c r="D32" i="21"/>
  <c r="D24" i="21"/>
  <c r="D29" i="21"/>
  <c r="D23" i="21"/>
  <c r="U50" i="22"/>
  <c r="R50" i="22" s="1"/>
  <c r="U57" i="22"/>
  <c r="U54" i="22"/>
  <c r="R54" i="22" s="1"/>
  <c r="U52" i="22"/>
  <c r="U49" i="22"/>
  <c r="U56" i="22"/>
  <c r="R56" i="22" s="1"/>
  <c r="U59" i="22"/>
  <c r="R59" i="22" s="1"/>
  <c r="U51" i="22"/>
  <c r="U55" i="22"/>
  <c r="R55" i="22" s="1"/>
  <c r="U60" i="22"/>
  <c r="R60" i="22" s="1"/>
  <c r="U65" i="22"/>
  <c r="R65" i="22" s="1"/>
  <c r="U70" i="22"/>
  <c r="R70" i="22" s="1"/>
  <c r="U72" i="22"/>
  <c r="R72" i="22" s="1"/>
  <c r="U66" i="22"/>
  <c r="R66" i="22" s="1"/>
  <c r="U74" i="22"/>
  <c r="R74" i="22" s="1"/>
  <c r="U64" i="22"/>
  <c r="U69" i="22"/>
  <c r="R69" i="22" s="1"/>
  <c r="U68" i="22"/>
  <c r="R68" i="22" s="1"/>
  <c r="U73" i="22"/>
  <c r="R73" i="22" s="1"/>
  <c r="U80" i="22"/>
  <c r="R80" i="22" s="1"/>
  <c r="U77" i="22"/>
  <c r="U78" i="22"/>
  <c r="R78" i="22" s="1"/>
  <c r="U92" i="22"/>
  <c r="R92" i="22" s="1"/>
  <c r="U81" i="22"/>
  <c r="R81" i="22" s="1"/>
  <c r="U88" i="22"/>
  <c r="R88" i="22" s="1"/>
  <c r="U89" i="22"/>
  <c r="R89" i="22" s="1"/>
  <c r="U91" i="22"/>
  <c r="R91" i="22" s="1"/>
  <c r="U83" i="22"/>
  <c r="R83" i="22" s="1"/>
  <c r="U93" i="22"/>
  <c r="R93" i="22" s="1"/>
  <c r="U94" i="22"/>
  <c r="R94" i="22" s="1"/>
  <c r="U95" i="22"/>
  <c r="R95" i="22" s="1"/>
  <c r="U85" i="22"/>
  <c r="R85" i="22" s="1"/>
  <c r="U82" i="22"/>
  <c r="R82" i="22" s="1"/>
  <c r="U84" i="22"/>
  <c r="R84" i="22" s="1"/>
  <c r="U87" i="22"/>
  <c r="R87" i="22" s="1"/>
  <c r="U149" i="22"/>
  <c r="R149" i="22" s="1"/>
  <c r="U152" i="22"/>
  <c r="R152" i="22" s="1"/>
  <c r="U151" i="22"/>
  <c r="R151" i="22" s="1"/>
  <c r="U148" i="22"/>
  <c r="U147" i="22"/>
  <c r="U150" i="22"/>
  <c r="R150" i="22" s="1"/>
  <c r="D44" i="21"/>
  <c r="D41" i="21"/>
  <c r="D40" i="21"/>
  <c r="D46" i="21"/>
  <c r="D38" i="21"/>
  <c r="D42" i="21"/>
  <c r="D45" i="21"/>
  <c r="D37" i="21"/>
  <c r="D36" i="21"/>
  <c r="D57" i="21"/>
  <c r="D60" i="21"/>
  <c r="D51" i="21"/>
  <c r="D49" i="21"/>
  <c r="D50" i="21"/>
  <c r="D56" i="21"/>
  <c r="D54" i="21"/>
  <c r="D55" i="21"/>
  <c r="D52" i="21"/>
  <c r="D59" i="21"/>
  <c r="R123" i="22"/>
  <c r="P8" i="22"/>
  <c r="P116" i="22"/>
  <c r="U43" i="22"/>
  <c r="R43" i="22" s="1"/>
  <c r="U40" i="22"/>
  <c r="R40" i="22" s="1"/>
  <c r="U44" i="22"/>
  <c r="R44" i="22" s="1"/>
  <c r="U41" i="22"/>
  <c r="R41" i="22" s="1"/>
  <c r="U36" i="22"/>
  <c r="U38" i="22"/>
  <c r="R38" i="22" s="1"/>
  <c r="U42" i="22"/>
  <c r="R42" i="22" s="1"/>
  <c r="U46" i="22"/>
  <c r="R46" i="22" s="1"/>
  <c r="U45" i="22"/>
  <c r="R45" i="22" s="1"/>
  <c r="U37" i="22"/>
  <c r="R37" i="22" s="1"/>
  <c r="U25" i="22"/>
  <c r="R25" i="22" s="1"/>
  <c r="U30" i="22"/>
  <c r="R30" i="22" s="1"/>
  <c r="U24" i="22"/>
  <c r="R24" i="22" s="1"/>
  <c r="U29" i="22"/>
  <c r="R29" i="22" s="1"/>
  <c r="U23" i="22"/>
  <c r="U33" i="22"/>
  <c r="R33" i="22" s="1"/>
  <c r="U26" i="22"/>
  <c r="U27" i="22"/>
  <c r="R27" i="22" s="1"/>
  <c r="U28" i="22"/>
  <c r="R28" i="22" s="1"/>
  <c r="U22" i="22"/>
  <c r="U32" i="22"/>
  <c r="R32" i="22" s="1"/>
  <c r="T39" i="9"/>
  <c r="S39" i="9"/>
  <c r="D105" i="21"/>
  <c r="D107" i="21"/>
  <c r="D101" i="21"/>
  <c r="D108" i="21"/>
  <c r="D103" i="21"/>
  <c r="D106" i="21"/>
  <c r="D104" i="21"/>
  <c r="D100" i="21"/>
  <c r="D99" i="21"/>
  <c r="D74" i="21"/>
  <c r="D69" i="21"/>
  <c r="D68" i="21"/>
  <c r="D73" i="21"/>
  <c r="D65" i="21"/>
  <c r="D64" i="21"/>
  <c r="D72" i="21"/>
  <c r="D70" i="21"/>
  <c r="D66" i="21"/>
  <c r="D16" i="21"/>
  <c r="D10" i="21" s="1"/>
  <c r="D15" i="21"/>
  <c r="D17" i="21"/>
  <c r="D163" i="21"/>
  <c r="D168" i="21"/>
  <c r="D165" i="21"/>
  <c r="D167" i="21"/>
  <c r="D162" i="21"/>
  <c r="D166" i="21"/>
  <c r="D179" i="21"/>
  <c r="D176" i="21"/>
  <c r="D175" i="21"/>
  <c r="D172" i="21"/>
  <c r="D177" i="21"/>
  <c r="D180" i="21"/>
  <c r="D171" i="21"/>
  <c r="D173" i="21"/>
  <c r="D114" i="21"/>
  <c r="D113" i="21"/>
  <c r="D123" i="21"/>
  <c r="D122" i="21"/>
  <c r="AC12" i="4"/>
  <c r="AC123" i="4"/>
  <c r="AC129" i="4"/>
  <c r="N129" i="8" s="1"/>
  <c r="AJ77" i="4"/>
  <c r="AJ37" i="4"/>
  <c r="Q31" i="22"/>
  <c r="O32" i="22" s="1"/>
  <c r="H32" i="22" s="1"/>
  <c r="AJ113" i="4"/>
  <c r="AC60" i="4"/>
  <c r="Q178" i="22"/>
  <c r="O179" i="22" s="1"/>
  <c r="H179" i="22" s="1"/>
  <c r="Q164" i="22"/>
  <c r="O167" i="22" s="1"/>
  <c r="H167" i="22" s="1"/>
  <c r="V112" i="22"/>
  <c r="S112" i="22" s="1"/>
  <c r="Q109" i="22" s="1"/>
  <c r="S113" i="22"/>
  <c r="Q112" i="22" s="1"/>
  <c r="V10" i="22"/>
  <c r="S10" i="22" s="1"/>
  <c r="S12" i="22"/>
  <c r="Q79" i="22"/>
  <c r="Q58" i="22"/>
  <c r="V34" i="22"/>
  <c r="S34" i="22" s="1"/>
  <c r="S36" i="22"/>
  <c r="Q143" i="22"/>
  <c r="Q86" i="22"/>
  <c r="S99" i="22"/>
  <c r="V97" i="22"/>
  <c r="S97" i="22" s="1"/>
  <c r="Q174" i="22"/>
  <c r="Q71" i="22"/>
  <c r="Q67" i="22"/>
  <c r="O117" i="22"/>
  <c r="H117" i="22" s="1"/>
  <c r="O140" i="22"/>
  <c r="H140" i="22" s="1"/>
  <c r="O159" i="22"/>
  <c r="H159" i="22" s="1"/>
  <c r="V124" i="22"/>
  <c r="S124" i="22" s="1"/>
  <c r="S125" i="22"/>
  <c r="Q124" i="22" s="1"/>
  <c r="O125" i="22" s="1"/>
  <c r="V75" i="22"/>
  <c r="S75" i="22" s="1"/>
  <c r="S77" i="22"/>
  <c r="Q14" i="22"/>
  <c r="Q39" i="22"/>
  <c r="S171" i="22"/>
  <c r="V169" i="22"/>
  <c r="S169" i="22" s="1"/>
  <c r="Q155" i="22"/>
  <c r="V161" i="22"/>
  <c r="S161" i="22" s="1"/>
  <c r="S162" i="22"/>
  <c r="Q161" i="22" s="1"/>
  <c r="O9" i="22"/>
  <c r="AI9" i="4" s="1"/>
  <c r="AD9" i="8" s="1"/>
  <c r="O109" i="22"/>
  <c r="H109" i="22" s="1"/>
  <c r="O61" i="22"/>
  <c r="H61" i="22" s="1"/>
  <c r="V20" i="22"/>
  <c r="S20" i="22" s="1"/>
  <c r="S22" i="22"/>
  <c r="Q90" i="22"/>
  <c r="Q53" i="22"/>
  <c r="V141" i="22"/>
  <c r="S141" i="22" s="1"/>
  <c r="S142" i="22"/>
  <c r="Q141" i="22" s="1"/>
  <c r="V146" i="22"/>
  <c r="S146" i="22" s="1"/>
  <c r="S147" i="22"/>
  <c r="Q146" i="22" s="1"/>
  <c r="Q102" i="22"/>
  <c r="V153" i="22"/>
  <c r="S153" i="22" s="1"/>
  <c r="S154" i="22"/>
  <c r="Q153" i="22" s="1"/>
  <c r="S134" i="22"/>
  <c r="V47" i="22"/>
  <c r="S47" i="22" s="1"/>
  <c r="S49" i="22"/>
  <c r="V62" i="22"/>
  <c r="S62" i="22" s="1"/>
  <c r="S64" i="22"/>
  <c r="O138" i="22" l="1"/>
  <c r="H138" i="22" s="1"/>
  <c r="Q133" i="22"/>
  <c r="O137" i="22" s="1"/>
  <c r="AI137" i="4" s="1"/>
  <c r="D135" i="47"/>
  <c r="AC135" i="4" s="1"/>
  <c r="N135" i="8" s="1"/>
  <c r="D171" i="47"/>
  <c r="AC171" i="4" s="1"/>
  <c r="N170" i="8" s="1"/>
  <c r="R26" i="22"/>
  <c r="R52" i="22"/>
  <c r="P137" i="22"/>
  <c r="N138" i="22" s="1"/>
  <c r="D172" i="47"/>
  <c r="AC172" i="4" s="1"/>
  <c r="AH172" i="8" s="1"/>
  <c r="AH77" i="8"/>
  <c r="AF76" i="8" s="1"/>
  <c r="U124" i="22"/>
  <c r="R124" i="22" s="1"/>
  <c r="R125" i="22"/>
  <c r="P124" i="22" s="1"/>
  <c r="N132" i="22" s="1"/>
  <c r="O120" i="22"/>
  <c r="H120" i="22" s="1"/>
  <c r="O121" i="22"/>
  <c r="AI121" i="4" s="1"/>
  <c r="AD121" i="8" s="1"/>
  <c r="Q121" i="8" s="1"/>
  <c r="U10" i="22"/>
  <c r="R10" i="22" s="1"/>
  <c r="R11" i="22"/>
  <c r="AI138" i="4"/>
  <c r="AD138" i="8" s="1"/>
  <c r="Q138" i="8" s="1"/>
  <c r="O135" i="22"/>
  <c r="O136" i="22"/>
  <c r="D133" i="21"/>
  <c r="D124" i="21"/>
  <c r="D132" i="21"/>
  <c r="R51" i="22"/>
  <c r="U133" i="22"/>
  <c r="R135" i="22"/>
  <c r="J116" i="22"/>
  <c r="R23" i="22"/>
  <c r="R57" i="22"/>
  <c r="P53" i="22" s="1"/>
  <c r="U141" i="22"/>
  <c r="R141" i="22" s="1"/>
  <c r="H139" i="22"/>
  <c r="AI139" i="4"/>
  <c r="AD139" i="8" s="1"/>
  <c r="Q139" i="8" s="1"/>
  <c r="D106" i="47"/>
  <c r="AC106" i="4" s="1"/>
  <c r="AH106" i="8" s="1"/>
  <c r="D107" i="47"/>
  <c r="AC107" i="4" s="1"/>
  <c r="N107" i="8" s="1"/>
  <c r="D104" i="47"/>
  <c r="AC104" i="4" s="1"/>
  <c r="AH104" i="8" s="1"/>
  <c r="D28" i="47"/>
  <c r="AC28" i="4" s="1"/>
  <c r="AH28" i="8" s="1"/>
  <c r="D27" i="47"/>
  <c r="AC27" i="4" s="1"/>
  <c r="N27" i="8" s="1"/>
  <c r="D24" i="47"/>
  <c r="AC24" i="4" s="1"/>
  <c r="AH24" i="8" s="1"/>
  <c r="D23" i="47"/>
  <c r="AC23" i="4" s="1"/>
  <c r="AH23" i="8" s="1"/>
  <c r="D22" i="47"/>
  <c r="AC22" i="4" s="1"/>
  <c r="N22" i="8" s="1"/>
  <c r="D29" i="47"/>
  <c r="AC29" i="4" s="1"/>
  <c r="N29" i="8" s="1"/>
  <c r="D26" i="47"/>
  <c r="AC26" i="4" s="1"/>
  <c r="N26" i="8" s="1"/>
  <c r="D52" i="47"/>
  <c r="AC52" i="4" s="1"/>
  <c r="N52" i="8" s="1"/>
  <c r="D50" i="47"/>
  <c r="AC50" i="4" s="1"/>
  <c r="AH50" i="8" s="1"/>
  <c r="O132" i="22"/>
  <c r="H132" i="22" s="1"/>
  <c r="D108" i="47"/>
  <c r="AC108" i="4" s="1"/>
  <c r="AH108" i="8" s="1"/>
  <c r="D105" i="47"/>
  <c r="AC105" i="4" s="1"/>
  <c r="N105" i="8" s="1"/>
  <c r="D51" i="47"/>
  <c r="AC51" i="4" s="1"/>
  <c r="AH51" i="8" s="1"/>
  <c r="E139" i="47"/>
  <c r="AJ139" i="4" s="1"/>
  <c r="E138" i="47"/>
  <c r="AJ138" i="4" s="1"/>
  <c r="R135" i="8"/>
  <c r="AL135" i="8"/>
  <c r="D148" i="47"/>
  <c r="AC148" i="4" s="1"/>
  <c r="AH148" i="8" s="1"/>
  <c r="D150" i="47"/>
  <c r="AC150" i="4" s="1"/>
  <c r="AH150" i="8" s="1"/>
  <c r="D151" i="47"/>
  <c r="AC151" i="4" s="1"/>
  <c r="AH151" i="8" s="1"/>
  <c r="D149" i="47"/>
  <c r="AC149" i="4" s="1"/>
  <c r="N149" i="8" s="1"/>
  <c r="D152" i="47"/>
  <c r="AC152" i="4" s="1"/>
  <c r="N152" i="8" s="1"/>
  <c r="D147" i="47"/>
  <c r="AC147" i="4" s="1"/>
  <c r="N147" i="8" s="1"/>
  <c r="AH136" i="8"/>
  <c r="N136" i="8"/>
  <c r="D139" i="47"/>
  <c r="AC139" i="4" s="1"/>
  <c r="D138" i="47"/>
  <c r="AC138" i="4" s="1"/>
  <c r="AL136" i="8"/>
  <c r="R136" i="8"/>
  <c r="O126" i="22"/>
  <c r="AI126" i="4" s="1"/>
  <c r="AD126" i="8" s="1"/>
  <c r="Q126" i="8" s="1"/>
  <c r="R119" i="22"/>
  <c r="R122" i="22"/>
  <c r="O134" i="22"/>
  <c r="K108" i="60"/>
  <c r="L108" i="60" s="1"/>
  <c r="K107" i="60"/>
  <c r="L107" i="60" s="1"/>
  <c r="K104" i="60"/>
  <c r="L104" i="60" s="1"/>
  <c r="K106" i="60"/>
  <c r="L106" i="60" s="1"/>
  <c r="K111" i="60"/>
  <c r="L111" i="60" s="1"/>
  <c r="K105" i="60"/>
  <c r="L105" i="60" s="1"/>
  <c r="K110" i="60"/>
  <c r="L110" i="60" s="1"/>
  <c r="K109" i="60"/>
  <c r="L109" i="60" s="1"/>
  <c r="L103" i="60"/>
  <c r="K12" i="60"/>
  <c r="K11" i="60"/>
  <c r="K17" i="60"/>
  <c r="K13" i="60"/>
  <c r="K16" i="60"/>
  <c r="L10" i="60"/>
  <c r="K15" i="60"/>
  <c r="K26" i="60"/>
  <c r="K18" i="60"/>
  <c r="K14" i="60"/>
  <c r="P31" i="22"/>
  <c r="P71" i="22"/>
  <c r="N73" i="22" s="1"/>
  <c r="P155" i="22"/>
  <c r="N157" i="22" s="1"/>
  <c r="P143" i="22"/>
  <c r="D112" i="21"/>
  <c r="D97" i="21"/>
  <c r="P58" i="22"/>
  <c r="N61" i="22"/>
  <c r="AB61" i="4" s="1"/>
  <c r="Z61" i="8" s="1"/>
  <c r="N9" i="22"/>
  <c r="AB9" i="4" s="1"/>
  <c r="Z9" i="8" s="1"/>
  <c r="N109" i="22"/>
  <c r="AB109" i="4" s="1"/>
  <c r="Z109" i="8" s="1"/>
  <c r="P86" i="22"/>
  <c r="P90" i="22"/>
  <c r="D20" i="21"/>
  <c r="D141" i="21"/>
  <c r="P178" i="22"/>
  <c r="R154" i="22"/>
  <c r="P153" i="22" s="1"/>
  <c r="U153" i="22"/>
  <c r="R153" i="22" s="1"/>
  <c r="D146" i="21"/>
  <c r="P14" i="22"/>
  <c r="R162" i="22"/>
  <c r="P161" i="22" s="1"/>
  <c r="U161" i="22"/>
  <c r="R161" i="22" s="1"/>
  <c r="P39" i="22"/>
  <c r="P67" i="22"/>
  <c r="P102" i="22"/>
  <c r="D153" i="21"/>
  <c r="R12" i="22"/>
  <c r="D62" i="21"/>
  <c r="U34" i="22"/>
  <c r="R34" i="22" s="1"/>
  <c r="R36" i="22"/>
  <c r="R77" i="22"/>
  <c r="U75" i="22"/>
  <c r="R75" i="22" s="1"/>
  <c r="R49" i="22"/>
  <c r="U47" i="22"/>
  <c r="R47" i="22" s="1"/>
  <c r="D75" i="21"/>
  <c r="R142" i="22"/>
  <c r="P141" i="22" s="1"/>
  <c r="U112" i="22"/>
  <c r="R112" i="22" s="1"/>
  <c r="P109" i="22" s="1"/>
  <c r="R113" i="22"/>
  <c r="P112" i="22" s="1"/>
  <c r="P164" i="22"/>
  <c r="D169" i="21"/>
  <c r="D161" i="21"/>
  <c r="R22" i="22"/>
  <c r="U20" i="22"/>
  <c r="R20" i="22" s="1"/>
  <c r="N140" i="22"/>
  <c r="AB140" i="4" s="1"/>
  <c r="Z140" i="8" s="1"/>
  <c r="N159" i="22"/>
  <c r="AB159" i="4" s="1"/>
  <c r="Z159" i="8" s="1"/>
  <c r="N117" i="22"/>
  <c r="AB117" i="4" s="1"/>
  <c r="Z117" i="8" s="1"/>
  <c r="D47" i="21"/>
  <c r="D34" i="21"/>
  <c r="R147" i="22"/>
  <c r="P146" i="22" s="1"/>
  <c r="U146" i="22"/>
  <c r="R146" i="22" s="1"/>
  <c r="P79" i="22"/>
  <c r="R64" i="22"/>
  <c r="U62" i="22"/>
  <c r="R62" i="22" s="1"/>
  <c r="U97" i="22"/>
  <c r="R97" i="22" s="1"/>
  <c r="R99" i="22"/>
  <c r="P174" i="22"/>
  <c r="R171" i="22"/>
  <c r="U169" i="22"/>
  <c r="R169" i="22" s="1"/>
  <c r="AC89" i="4"/>
  <c r="N89" i="8" s="1"/>
  <c r="AC122" i="4"/>
  <c r="N122" i="8" s="1"/>
  <c r="AC173" i="4"/>
  <c r="AH173" i="8" s="1"/>
  <c r="AC87" i="4"/>
  <c r="AH87" i="8" s="1"/>
  <c r="AC131" i="4"/>
  <c r="AJ78" i="4"/>
  <c r="AL78" i="8" s="1"/>
  <c r="N78" i="8"/>
  <c r="AC177" i="4"/>
  <c r="N177" i="8" s="1"/>
  <c r="AC72" i="4"/>
  <c r="N72" i="8" s="1"/>
  <c r="AC13" i="4"/>
  <c r="AH13" i="8" s="1"/>
  <c r="O168" i="22"/>
  <c r="AC103" i="4"/>
  <c r="AH103" i="8" s="1"/>
  <c r="AC45" i="4"/>
  <c r="N45" i="8" s="1"/>
  <c r="AC130" i="4"/>
  <c r="N130" i="8" s="1"/>
  <c r="AC128" i="4"/>
  <c r="AC127" i="4"/>
  <c r="AO118" i="8"/>
  <c r="AC59" i="4"/>
  <c r="N59" i="8" s="1"/>
  <c r="AJ94" i="4"/>
  <c r="AL94" i="8" s="1"/>
  <c r="AC49" i="4"/>
  <c r="N49" i="8" s="1"/>
  <c r="AJ57" i="4"/>
  <c r="AL57" i="8" s="1"/>
  <c r="AJ93" i="4"/>
  <c r="R93" i="8" s="1"/>
  <c r="AC42" i="4"/>
  <c r="AH42" i="8" s="1"/>
  <c r="AJ54" i="4"/>
  <c r="AL54" i="8" s="1"/>
  <c r="AC40" i="4"/>
  <c r="AH40" i="8" s="1"/>
  <c r="AC25" i="4"/>
  <c r="N25" i="8" s="1"/>
  <c r="AJ45" i="4"/>
  <c r="R45" i="8" s="1"/>
  <c r="AJ33" i="4"/>
  <c r="AL33" i="8" s="1"/>
  <c r="AC17" i="4"/>
  <c r="AH17" i="8" s="1"/>
  <c r="AC176" i="4"/>
  <c r="AH176" i="8" s="1"/>
  <c r="AC15" i="4"/>
  <c r="N15" i="8" s="1"/>
  <c r="O166" i="22"/>
  <c r="O180" i="22"/>
  <c r="H180" i="22" s="1"/>
  <c r="J178" i="22" s="1"/>
  <c r="AC74" i="4"/>
  <c r="AH74" i="8" s="1"/>
  <c r="AJ114" i="4"/>
  <c r="R114" i="8" s="1"/>
  <c r="AJ147" i="4"/>
  <c r="R147" i="8" s="1"/>
  <c r="AJ151" i="4"/>
  <c r="R151" i="8" s="1"/>
  <c r="AJ150" i="4"/>
  <c r="AL150" i="8" s="1"/>
  <c r="AJ171" i="4"/>
  <c r="R171" i="8" s="1"/>
  <c r="AJ18" i="4"/>
  <c r="AL18" i="8" s="1"/>
  <c r="AJ172" i="4"/>
  <c r="AL172" i="8" s="1"/>
  <c r="AJ60" i="4"/>
  <c r="AL60" i="8" s="1"/>
  <c r="O33" i="22"/>
  <c r="H33" i="22" s="1"/>
  <c r="J31" i="22" s="1"/>
  <c r="AJ36" i="4"/>
  <c r="R36" i="8" s="1"/>
  <c r="AJ156" i="4"/>
  <c r="AL156" i="8" s="1"/>
  <c r="AC64" i="4"/>
  <c r="AH64" i="8" s="1"/>
  <c r="AJ157" i="4"/>
  <c r="R157" i="8" s="1"/>
  <c r="AJ91" i="4"/>
  <c r="AL91" i="8" s="1"/>
  <c r="O165" i="22"/>
  <c r="AJ55" i="4"/>
  <c r="AL55" i="8" s="1"/>
  <c r="AC16" i="4"/>
  <c r="AH16" i="8" s="1"/>
  <c r="AJ92" i="4"/>
  <c r="AL92" i="8" s="1"/>
  <c r="AJ148" i="4"/>
  <c r="AL148" i="8" s="1"/>
  <c r="AJ38" i="4"/>
  <c r="R38" i="8" s="1"/>
  <c r="AJ15" i="4"/>
  <c r="R15" i="8" s="1"/>
  <c r="AJ17" i="4"/>
  <c r="R17" i="8" s="1"/>
  <c r="AJ149" i="4"/>
  <c r="AL149" i="8" s="1"/>
  <c r="Q159" i="22"/>
  <c r="O160" i="22" s="1"/>
  <c r="H160" i="22" s="1"/>
  <c r="AC65" i="4"/>
  <c r="N65" i="8" s="1"/>
  <c r="Q61" i="22"/>
  <c r="O75" i="22" s="1"/>
  <c r="AI75" i="4" s="1"/>
  <c r="AD75" i="8" s="1"/>
  <c r="Q75" i="8" s="1"/>
  <c r="Q117" i="22"/>
  <c r="O119" i="22" s="1"/>
  <c r="AJ167" i="4"/>
  <c r="AJ165" i="4"/>
  <c r="AJ168" i="4"/>
  <c r="AJ166" i="4"/>
  <c r="N60" i="8"/>
  <c r="AH60" i="8"/>
  <c r="N156" i="8"/>
  <c r="AH156" i="8"/>
  <c r="R44" i="8"/>
  <c r="AL44" i="8"/>
  <c r="N18" i="8"/>
  <c r="AH18" i="8"/>
  <c r="Q48" i="22"/>
  <c r="Q47" i="22"/>
  <c r="O57" i="22"/>
  <c r="H57" i="22" s="1"/>
  <c r="O55" i="22"/>
  <c r="H55" i="22" s="1"/>
  <c r="O56" i="22"/>
  <c r="H56" i="22" s="1"/>
  <c r="O54" i="22"/>
  <c r="H54" i="22" s="1"/>
  <c r="Q21" i="22"/>
  <c r="Q20" i="22"/>
  <c r="AL113" i="8"/>
  <c r="R113" i="8"/>
  <c r="AL152" i="8"/>
  <c r="R152" i="8"/>
  <c r="AI167" i="4"/>
  <c r="AD167" i="8" s="1"/>
  <c r="Q167" i="8" s="1"/>
  <c r="AH113" i="8"/>
  <c r="N113" i="8"/>
  <c r="O156" i="22"/>
  <c r="H156" i="22" s="1"/>
  <c r="O157" i="22"/>
  <c r="H157" i="22" s="1"/>
  <c r="O158" i="22"/>
  <c r="H158" i="22" s="1"/>
  <c r="O40" i="22"/>
  <c r="H40" i="22" s="1"/>
  <c r="O41" i="22"/>
  <c r="H41" i="22" s="1"/>
  <c r="O42" i="22"/>
  <c r="H42" i="22" s="1"/>
  <c r="Q76" i="22"/>
  <c r="Q75" i="22"/>
  <c r="AC144" i="4"/>
  <c r="AC145" i="4"/>
  <c r="AI32" i="4"/>
  <c r="AD32" i="8" s="1"/>
  <c r="Q32" i="8" s="1"/>
  <c r="AJ74" i="4"/>
  <c r="AJ72" i="4"/>
  <c r="AJ73" i="4"/>
  <c r="N70" i="8"/>
  <c r="AH70" i="8"/>
  <c r="Q98" i="22"/>
  <c r="Q97" i="22"/>
  <c r="AJ28" i="4"/>
  <c r="AJ26" i="4"/>
  <c r="AJ24" i="4"/>
  <c r="AJ22" i="4"/>
  <c r="AJ29" i="4"/>
  <c r="AJ27" i="4"/>
  <c r="AJ25" i="4"/>
  <c r="AJ23" i="4"/>
  <c r="Q10" i="22"/>
  <c r="O11" i="22" s="1"/>
  <c r="R32" i="8"/>
  <c r="AL32" i="8"/>
  <c r="N38" i="8"/>
  <c r="AH38" i="8"/>
  <c r="O114" i="22"/>
  <c r="H114" i="22" s="1"/>
  <c r="O113" i="22"/>
  <c r="H113" i="22" s="1"/>
  <c r="N66" i="8"/>
  <c r="AH66" i="8"/>
  <c r="N73" i="8"/>
  <c r="AH73" i="8"/>
  <c r="AI109" i="4"/>
  <c r="AD109" i="8" s="1"/>
  <c r="AL37" i="8"/>
  <c r="R37" i="8"/>
  <c r="AC91" i="4"/>
  <c r="AC92" i="4"/>
  <c r="AC93" i="4"/>
  <c r="AC94" i="4"/>
  <c r="AC95" i="4"/>
  <c r="H125" i="22"/>
  <c r="AI117" i="4"/>
  <c r="AD117" i="8" s="1"/>
  <c r="AJ123" i="4"/>
  <c r="AJ122" i="4"/>
  <c r="AC83" i="4"/>
  <c r="AC84" i="4"/>
  <c r="AC85" i="4"/>
  <c r="AC80" i="4"/>
  <c r="AC81" i="4"/>
  <c r="AC82" i="4"/>
  <c r="AJ177" i="4"/>
  <c r="AJ176" i="4"/>
  <c r="AJ175" i="4"/>
  <c r="AL56" i="8"/>
  <c r="R56" i="8"/>
  <c r="AJ108" i="4"/>
  <c r="AJ106" i="4"/>
  <c r="AJ104" i="4"/>
  <c r="AJ103" i="4"/>
  <c r="AJ107" i="4"/>
  <c r="AJ105" i="4"/>
  <c r="AI179" i="4"/>
  <c r="AD179" i="8" s="1"/>
  <c r="Q179" i="8" s="1"/>
  <c r="AH129" i="8"/>
  <c r="AH175" i="8"/>
  <c r="N175" i="8"/>
  <c r="AC99" i="4"/>
  <c r="AC100" i="4"/>
  <c r="O142" i="22"/>
  <c r="H142" i="22" s="1"/>
  <c r="O143" i="22"/>
  <c r="AI143" i="4" s="1"/>
  <c r="AD143" i="8" s="1"/>
  <c r="Q143" i="8" s="1"/>
  <c r="O103" i="22"/>
  <c r="H103" i="22" s="1"/>
  <c r="O107" i="22"/>
  <c r="H107" i="22" s="1"/>
  <c r="O105" i="22"/>
  <c r="H105" i="22" s="1"/>
  <c r="O106" i="22"/>
  <c r="H106" i="22" s="1"/>
  <c r="O108" i="22"/>
  <c r="H108" i="22" s="1"/>
  <c r="O104" i="22"/>
  <c r="H104" i="22" s="1"/>
  <c r="O162" i="22"/>
  <c r="H162" i="22" s="1"/>
  <c r="O163" i="22"/>
  <c r="H163" i="22" s="1"/>
  <c r="O164" i="22"/>
  <c r="AI164" i="4" s="1"/>
  <c r="AD164" i="8" s="1"/>
  <c r="Q164" i="8" s="1"/>
  <c r="AL95" i="8"/>
  <c r="R95" i="8"/>
  <c r="AJ70" i="4"/>
  <c r="AJ68" i="4"/>
  <c r="AJ69" i="4"/>
  <c r="AH123" i="8"/>
  <c r="N123" i="8"/>
  <c r="R173" i="8"/>
  <c r="AL173" i="8"/>
  <c r="AH114" i="8"/>
  <c r="N114" i="8"/>
  <c r="AH180" i="8"/>
  <c r="N180" i="8"/>
  <c r="O18" i="22"/>
  <c r="H18" i="22" s="1"/>
  <c r="O16" i="22"/>
  <c r="H16" i="22" s="1"/>
  <c r="O15" i="22"/>
  <c r="H15" i="22" s="1"/>
  <c r="O17" i="22"/>
  <c r="H17" i="22" s="1"/>
  <c r="AH44" i="8"/>
  <c r="N44" i="8"/>
  <c r="AI159" i="4"/>
  <c r="AD159" i="8" s="1"/>
  <c r="O70" i="22"/>
  <c r="H70" i="22" s="1"/>
  <c r="O68" i="22"/>
  <c r="H68" i="22" s="1"/>
  <c r="O69" i="22"/>
  <c r="H69" i="22" s="1"/>
  <c r="O177" i="22"/>
  <c r="H177" i="22" s="1"/>
  <c r="O175" i="22"/>
  <c r="H175" i="22" s="1"/>
  <c r="O176" i="22"/>
  <c r="H176" i="22" s="1"/>
  <c r="N88" i="8"/>
  <c r="AH88" i="8"/>
  <c r="N69" i="8"/>
  <c r="AH69" i="8"/>
  <c r="O88" i="22"/>
  <c r="H88" i="22" s="1"/>
  <c r="O87" i="22"/>
  <c r="H87" i="22" s="1"/>
  <c r="O89" i="22"/>
  <c r="H89" i="22" s="1"/>
  <c r="N158" i="8"/>
  <c r="AH158" i="8"/>
  <c r="AJ100" i="4"/>
  <c r="AJ99" i="4"/>
  <c r="O60" i="22"/>
  <c r="H60" i="22" s="1"/>
  <c r="O59" i="22"/>
  <c r="H59" i="22" s="1"/>
  <c r="O80" i="22"/>
  <c r="H80" i="22" s="1"/>
  <c r="O84" i="22"/>
  <c r="H84" i="22" s="1"/>
  <c r="O82" i="22"/>
  <c r="H82" i="22" s="1"/>
  <c r="O81" i="22"/>
  <c r="H81" i="22" s="1"/>
  <c r="O85" i="22"/>
  <c r="H85" i="22" s="1"/>
  <c r="O83" i="22"/>
  <c r="H83" i="22" s="1"/>
  <c r="Q9" i="22"/>
  <c r="N37" i="8"/>
  <c r="AH37" i="8"/>
  <c r="AL16" i="8"/>
  <c r="R16" i="8"/>
  <c r="O110" i="22"/>
  <c r="H110" i="22" s="1"/>
  <c r="O112" i="22"/>
  <c r="AI112" i="4" s="1"/>
  <c r="AD112" i="8" s="1"/>
  <c r="Q112" i="8" s="1"/>
  <c r="O111" i="22"/>
  <c r="H111" i="22" s="1"/>
  <c r="AC32" i="4"/>
  <c r="AC33" i="4"/>
  <c r="AJ128" i="4"/>
  <c r="R128" i="8" s="1"/>
  <c r="AJ130" i="4"/>
  <c r="R130" i="8" s="1"/>
  <c r="AJ127" i="4"/>
  <c r="R127" i="8" s="1"/>
  <c r="AJ129" i="4"/>
  <c r="R129" i="8" s="1"/>
  <c r="AJ131" i="4"/>
  <c r="R131" i="8" s="1"/>
  <c r="O91" i="22"/>
  <c r="H91" i="22" s="1"/>
  <c r="O95" i="22"/>
  <c r="H95" i="22" s="1"/>
  <c r="O93" i="22"/>
  <c r="H93" i="22" s="1"/>
  <c r="O92" i="22"/>
  <c r="H92" i="22" s="1"/>
  <c r="O94" i="22"/>
  <c r="H94" i="22" s="1"/>
  <c r="AJ179" i="4"/>
  <c r="AJ180" i="4"/>
  <c r="Q35" i="22"/>
  <c r="Q34" i="22"/>
  <c r="W118" i="8"/>
  <c r="AN118" i="8"/>
  <c r="AC54" i="4"/>
  <c r="AC56" i="4"/>
  <c r="AC55" i="4"/>
  <c r="AC57" i="4"/>
  <c r="O155" i="22"/>
  <c r="AI155" i="4" s="1"/>
  <c r="AD155" i="8" s="1"/>
  <c r="Q155" i="8" s="1"/>
  <c r="O154" i="22"/>
  <c r="H154" i="22" s="1"/>
  <c r="AJ66" i="4"/>
  <c r="AJ64" i="4"/>
  <c r="AJ65" i="4"/>
  <c r="Q140" i="22"/>
  <c r="AJ51" i="4"/>
  <c r="AJ49" i="4"/>
  <c r="AJ52" i="4"/>
  <c r="AJ50" i="4"/>
  <c r="Q63" i="22"/>
  <c r="Q62" i="22"/>
  <c r="O127" i="22"/>
  <c r="H127" i="22" s="1"/>
  <c r="O129" i="22"/>
  <c r="H129" i="22" s="1"/>
  <c r="O131" i="22"/>
  <c r="H131" i="22" s="1"/>
  <c r="O128" i="22"/>
  <c r="H128" i="22" s="1"/>
  <c r="O130" i="22"/>
  <c r="H130" i="22" s="1"/>
  <c r="AJ12" i="4"/>
  <c r="AJ13" i="4"/>
  <c r="AJ42" i="4"/>
  <c r="AJ40" i="4"/>
  <c r="AJ41" i="4"/>
  <c r="AC165" i="4"/>
  <c r="AC168" i="4"/>
  <c r="AC167" i="4"/>
  <c r="AC166" i="4"/>
  <c r="O148" i="22"/>
  <c r="H148" i="22" s="1"/>
  <c r="O152" i="22"/>
  <c r="H152" i="22" s="1"/>
  <c r="O149" i="22"/>
  <c r="H149" i="22" s="1"/>
  <c r="O150" i="22"/>
  <c r="H150" i="22" s="1"/>
  <c r="O151" i="22"/>
  <c r="H151" i="22" s="1"/>
  <c r="O147" i="22"/>
  <c r="H147" i="22" s="1"/>
  <c r="AI61" i="4"/>
  <c r="AD61" i="8" s="1"/>
  <c r="AJ84" i="4"/>
  <c r="AJ82" i="4"/>
  <c r="AJ80" i="4"/>
  <c r="AJ81" i="4"/>
  <c r="AJ85" i="4"/>
  <c r="AJ83" i="4"/>
  <c r="AL77" i="8"/>
  <c r="R77" i="8"/>
  <c r="Q170" i="22"/>
  <c r="Q169" i="22"/>
  <c r="AH179" i="8"/>
  <c r="N179" i="8"/>
  <c r="O123" i="22"/>
  <c r="H123" i="22" s="1"/>
  <c r="O122" i="22"/>
  <c r="H122" i="22" s="1"/>
  <c r="AI140" i="4"/>
  <c r="AD140" i="8" s="1"/>
  <c r="O73" i="22"/>
  <c r="H73" i="22" s="1"/>
  <c r="O72" i="22"/>
  <c r="H72" i="22" s="1"/>
  <c r="O74" i="22"/>
  <c r="H74" i="22" s="1"/>
  <c r="AJ144" i="4"/>
  <c r="AJ145" i="4"/>
  <c r="AJ87" i="4"/>
  <c r="AJ89" i="4"/>
  <c r="AJ88" i="4"/>
  <c r="N68" i="8"/>
  <c r="AH68" i="8"/>
  <c r="O144" i="22"/>
  <c r="H144" i="22" s="1"/>
  <c r="O145" i="22"/>
  <c r="H145" i="22" s="1"/>
  <c r="N157" i="8"/>
  <c r="AH157" i="8"/>
  <c r="AJ159" i="4"/>
  <c r="AL159" i="8" s="1"/>
  <c r="AJ140" i="4"/>
  <c r="AL140" i="8" s="1"/>
  <c r="AJ117" i="4"/>
  <c r="AL117" i="8" s="1"/>
  <c r="R59" i="8"/>
  <c r="AL59" i="8"/>
  <c r="AL158" i="8"/>
  <c r="R158" i="8"/>
  <c r="AH41" i="8"/>
  <c r="N41" i="8"/>
  <c r="N36" i="8"/>
  <c r="AH36" i="8"/>
  <c r="AH12" i="8"/>
  <c r="N12" i="8"/>
  <c r="K118" i="47" l="1"/>
  <c r="G118" i="47" s="1"/>
  <c r="K15" i="73"/>
  <c r="I15" i="73" s="1"/>
  <c r="AH135" i="8"/>
  <c r="AF134" i="8" s="1"/>
  <c r="N106" i="8"/>
  <c r="J112" i="22"/>
  <c r="E113" i="22" s="1"/>
  <c r="AI132" i="4"/>
  <c r="AD132" i="8" s="1"/>
  <c r="Q132" i="8" s="1"/>
  <c r="N172" i="8"/>
  <c r="N139" i="22"/>
  <c r="G139" i="22" s="1"/>
  <c r="J174" i="22"/>
  <c r="E177" i="22" s="1"/>
  <c r="J146" i="22"/>
  <c r="E148" i="22" s="1"/>
  <c r="E179" i="22"/>
  <c r="AL179" i="4" s="1"/>
  <c r="E180" i="22"/>
  <c r="AI165" i="4"/>
  <c r="AD165" i="8" s="1"/>
  <c r="Q165" i="8" s="1"/>
  <c r="H165" i="22"/>
  <c r="P134" i="22"/>
  <c r="P133" i="22"/>
  <c r="H135" i="22"/>
  <c r="AI135" i="4"/>
  <c r="AD135" i="8" s="1"/>
  <c r="Q135" i="8" s="1"/>
  <c r="J143" i="22"/>
  <c r="J79" i="22"/>
  <c r="J71" i="22"/>
  <c r="E72" i="22" s="1"/>
  <c r="J90" i="22"/>
  <c r="J58" i="22"/>
  <c r="AI166" i="4"/>
  <c r="AD166" i="8" s="1"/>
  <c r="Q166" i="8" s="1"/>
  <c r="H166" i="22"/>
  <c r="J137" i="22"/>
  <c r="J86" i="22"/>
  <c r="J14" i="22"/>
  <c r="J102" i="22"/>
  <c r="AB157" i="4"/>
  <c r="Z157" i="8" s="1"/>
  <c r="M157" i="8" s="1"/>
  <c r="G157" i="22"/>
  <c r="E33" i="22"/>
  <c r="E32" i="22"/>
  <c r="J67" i="22"/>
  <c r="J155" i="22"/>
  <c r="AI168" i="4"/>
  <c r="AD168" i="8" s="1"/>
  <c r="Q168" i="8" s="1"/>
  <c r="H168" i="22"/>
  <c r="E117" i="22"/>
  <c r="E159" i="22"/>
  <c r="E140" i="22"/>
  <c r="H136" i="22"/>
  <c r="AI136" i="4"/>
  <c r="AD136" i="8" s="1"/>
  <c r="Q136" i="8" s="1"/>
  <c r="G138" i="22"/>
  <c r="AB138" i="4"/>
  <c r="Z138" i="8" s="1"/>
  <c r="M138" i="8" s="1"/>
  <c r="N143" i="22"/>
  <c r="AB143" i="4" s="1"/>
  <c r="Z143" i="8" s="1"/>
  <c r="AH22" i="8"/>
  <c r="N51" i="8"/>
  <c r="J39" i="22"/>
  <c r="AB73" i="4"/>
  <c r="Z73" i="8" s="1"/>
  <c r="M73" i="8" s="1"/>
  <c r="G73" i="22"/>
  <c r="J53" i="22"/>
  <c r="AH149" i="8"/>
  <c r="L26" i="60"/>
  <c r="AH139" i="8"/>
  <c r="N139" i="8"/>
  <c r="AJ134" i="8"/>
  <c r="AA134" i="8" s="1"/>
  <c r="L134" i="47" s="1"/>
  <c r="H134" i="47" s="1"/>
  <c r="AL138" i="8"/>
  <c r="R138" i="8"/>
  <c r="AH138" i="8"/>
  <c r="N138" i="8"/>
  <c r="AL139" i="8"/>
  <c r="R139" i="8"/>
  <c r="N126" i="22"/>
  <c r="N125" i="22"/>
  <c r="AB132" i="4"/>
  <c r="Z132" i="8" s="1"/>
  <c r="M132" i="8" s="1"/>
  <c r="G132" i="22"/>
  <c r="J126" i="22"/>
  <c r="O124" i="22"/>
  <c r="AI124" i="4" s="1"/>
  <c r="AD124" i="8" s="1"/>
  <c r="Q124" i="8" s="1"/>
  <c r="AH128" i="8"/>
  <c r="N128" i="8"/>
  <c r="AH127" i="8"/>
  <c r="N127" i="8"/>
  <c r="AH131" i="8"/>
  <c r="N131" i="8"/>
  <c r="AI134" i="4"/>
  <c r="AD134" i="8" s="1"/>
  <c r="Q134" i="8" s="1"/>
  <c r="K30" i="60"/>
  <c r="L14" i="60"/>
  <c r="K27" i="60"/>
  <c r="L11" i="60"/>
  <c r="L18" i="60"/>
  <c r="K34" i="60"/>
  <c r="L16" i="60"/>
  <c r="K32" i="60"/>
  <c r="K28" i="60"/>
  <c r="L12" i="60"/>
  <c r="K29" i="60"/>
  <c r="L29" i="60" s="1"/>
  <c r="R29" i="60" s="1"/>
  <c r="L13" i="60"/>
  <c r="L15" i="60"/>
  <c r="K31" i="60"/>
  <c r="L31" i="60" s="1"/>
  <c r="R31" i="60" s="1"/>
  <c r="L17" i="60"/>
  <c r="K33" i="60"/>
  <c r="L33" i="60" s="1"/>
  <c r="L113" i="60"/>
  <c r="L134" i="60" s="1"/>
  <c r="E34" i="15" s="1"/>
  <c r="T40" i="10" s="1"/>
  <c r="N156" i="22"/>
  <c r="G156" i="22" s="1"/>
  <c r="AH89" i="8"/>
  <c r="AF86" i="8" s="1"/>
  <c r="AH122" i="8"/>
  <c r="N74" i="22"/>
  <c r="G74" i="22" s="1"/>
  <c r="N72" i="22"/>
  <c r="G72" i="22" s="1"/>
  <c r="N158" i="22"/>
  <c r="G158" i="22" s="1"/>
  <c r="N33" i="22"/>
  <c r="G33" i="22" s="1"/>
  <c r="N32" i="22"/>
  <c r="G32" i="22" s="1"/>
  <c r="N145" i="22"/>
  <c r="G145" i="22" s="1"/>
  <c r="N144" i="22"/>
  <c r="G144" i="22" s="1"/>
  <c r="N60" i="22"/>
  <c r="G60" i="22" s="1"/>
  <c r="N59" i="22"/>
  <c r="G59" i="22" s="1"/>
  <c r="N108" i="8"/>
  <c r="N122" i="22"/>
  <c r="G122" i="22" s="1"/>
  <c r="N177" i="22"/>
  <c r="G177" i="22" s="1"/>
  <c r="N176" i="22"/>
  <c r="G176" i="22" s="1"/>
  <c r="N175" i="22"/>
  <c r="G175" i="22" s="1"/>
  <c r="P62" i="22"/>
  <c r="P63" i="22"/>
  <c r="N167" i="22"/>
  <c r="G167" i="22" s="1"/>
  <c r="N165" i="22"/>
  <c r="G165" i="22" s="1"/>
  <c r="N166" i="22"/>
  <c r="G166" i="22" s="1"/>
  <c r="N168" i="22"/>
  <c r="G168" i="22" s="1"/>
  <c r="P140" i="22"/>
  <c r="P159" i="22"/>
  <c r="N87" i="22"/>
  <c r="G87" i="22" s="1"/>
  <c r="N89" i="22"/>
  <c r="G89" i="22" s="1"/>
  <c r="N88" i="22"/>
  <c r="G88" i="22" s="1"/>
  <c r="N87" i="8"/>
  <c r="P98" i="22"/>
  <c r="P97" i="22"/>
  <c r="N81" i="22"/>
  <c r="G81" i="22" s="1"/>
  <c r="N85" i="22"/>
  <c r="G85" i="22" s="1"/>
  <c r="N83" i="22"/>
  <c r="G83" i="22" s="1"/>
  <c r="N84" i="22"/>
  <c r="G84" i="22" s="1"/>
  <c r="N80" i="22"/>
  <c r="G80" i="22" s="1"/>
  <c r="N82" i="22"/>
  <c r="G82" i="22" s="1"/>
  <c r="N114" i="22"/>
  <c r="G114" i="22" s="1"/>
  <c r="N113" i="22"/>
  <c r="G113" i="22" s="1"/>
  <c r="P48" i="22"/>
  <c r="P47" i="22"/>
  <c r="P10" i="22"/>
  <c r="N11" i="22" s="1"/>
  <c r="N106" i="22"/>
  <c r="G106" i="22" s="1"/>
  <c r="N107" i="22"/>
  <c r="G107" i="22" s="1"/>
  <c r="N104" i="22"/>
  <c r="G104" i="22" s="1"/>
  <c r="N108" i="22"/>
  <c r="G108" i="22" s="1"/>
  <c r="N103" i="22"/>
  <c r="G103" i="22" s="1"/>
  <c r="N105" i="22"/>
  <c r="G105" i="22" s="1"/>
  <c r="N42" i="22"/>
  <c r="G42" i="22" s="1"/>
  <c r="N40" i="22"/>
  <c r="G40" i="22" s="1"/>
  <c r="N41" i="22"/>
  <c r="G41" i="22" s="1"/>
  <c r="N162" i="22"/>
  <c r="G162" i="22" s="1"/>
  <c r="N164" i="22"/>
  <c r="AB164" i="4" s="1"/>
  <c r="Z164" i="8" s="1"/>
  <c r="N163" i="22"/>
  <c r="G163" i="22" s="1"/>
  <c r="N155" i="22"/>
  <c r="AB155" i="4" s="1"/>
  <c r="Z155" i="8" s="1"/>
  <c r="N154" i="22"/>
  <c r="G154" i="22" s="1"/>
  <c r="P20" i="22"/>
  <c r="P21" i="22"/>
  <c r="N111" i="22"/>
  <c r="G111" i="22" s="1"/>
  <c r="N112" i="22"/>
  <c r="AB112" i="4" s="1"/>
  <c r="Z112" i="8" s="1"/>
  <c r="N110" i="22"/>
  <c r="G110" i="22" s="1"/>
  <c r="P35" i="22"/>
  <c r="P34" i="22"/>
  <c r="P9" i="22"/>
  <c r="N70" i="22"/>
  <c r="G70" i="22" s="1"/>
  <c r="N68" i="22"/>
  <c r="G68" i="22" s="1"/>
  <c r="N69" i="22"/>
  <c r="G69" i="22" s="1"/>
  <c r="N17" i="22"/>
  <c r="G17" i="22" s="1"/>
  <c r="N18" i="22"/>
  <c r="G18" i="22" s="1"/>
  <c r="N15" i="22"/>
  <c r="G15" i="22" s="1"/>
  <c r="N16" i="22"/>
  <c r="G16" i="22" s="1"/>
  <c r="N131" i="22"/>
  <c r="G131" i="22" s="1"/>
  <c r="N128" i="22"/>
  <c r="G128" i="22" s="1"/>
  <c r="N127" i="22"/>
  <c r="G127" i="22" s="1"/>
  <c r="N130" i="22"/>
  <c r="G130" i="22" s="1"/>
  <c r="N129" i="22"/>
  <c r="G129" i="22" s="1"/>
  <c r="N56" i="22"/>
  <c r="G56" i="22" s="1"/>
  <c r="N57" i="22"/>
  <c r="G57" i="22" s="1"/>
  <c r="N54" i="22"/>
  <c r="G54" i="22" s="1"/>
  <c r="N55" i="22"/>
  <c r="G55" i="22" s="1"/>
  <c r="P169" i="22"/>
  <c r="P170" i="22"/>
  <c r="P61" i="22"/>
  <c r="N148" i="22"/>
  <c r="G148" i="22" s="1"/>
  <c r="N151" i="22"/>
  <c r="G151" i="22" s="1"/>
  <c r="N150" i="22"/>
  <c r="G150" i="22" s="1"/>
  <c r="N147" i="22"/>
  <c r="G147" i="22" s="1"/>
  <c r="N152" i="22"/>
  <c r="G152" i="22" s="1"/>
  <c r="N149" i="22"/>
  <c r="G149" i="22" s="1"/>
  <c r="N142" i="22"/>
  <c r="G142" i="22" s="1"/>
  <c r="P75" i="22"/>
  <c r="P76" i="22"/>
  <c r="N179" i="22"/>
  <c r="G179" i="22" s="1"/>
  <c r="N180" i="22"/>
  <c r="G180" i="22" s="1"/>
  <c r="N94" i="22"/>
  <c r="G94" i="22" s="1"/>
  <c r="N95" i="22"/>
  <c r="G95" i="22" s="1"/>
  <c r="N93" i="22"/>
  <c r="G93" i="22" s="1"/>
  <c r="N92" i="22"/>
  <c r="G92" i="22" s="1"/>
  <c r="N91" i="22"/>
  <c r="G91" i="22" s="1"/>
  <c r="N173" i="8"/>
  <c r="N171" i="8"/>
  <c r="AH171" i="8"/>
  <c r="AF170" i="8" s="1"/>
  <c r="N13" i="8"/>
  <c r="N24" i="8"/>
  <c r="AH105" i="8"/>
  <c r="R78" i="8"/>
  <c r="AH72" i="8"/>
  <c r="AF71" i="8" s="1"/>
  <c r="W71" i="8" s="1"/>
  <c r="K71" i="47" s="1"/>
  <c r="G71" i="47" s="1"/>
  <c r="AH177" i="8"/>
  <c r="AF174" i="8" s="1"/>
  <c r="N104" i="8"/>
  <c r="AH130" i="8"/>
  <c r="R33" i="8"/>
  <c r="AH107" i="8"/>
  <c r="R54" i="8"/>
  <c r="N103" i="8"/>
  <c r="AH27" i="8"/>
  <c r="AH52" i="8"/>
  <c r="AH45" i="8"/>
  <c r="AH15" i="8"/>
  <c r="AF14" i="8" s="1"/>
  <c r="W14" i="8" s="1"/>
  <c r="K14" i="47" s="1"/>
  <c r="G14" i="47" s="1"/>
  <c r="I10" i="47" s="1"/>
  <c r="D11" i="47" s="1"/>
  <c r="N40" i="8"/>
  <c r="AI180" i="4"/>
  <c r="AD180" i="8" s="1"/>
  <c r="Q180" i="8" s="1"/>
  <c r="AH49" i="8"/>
  <c r="R172" i="8"/>
  <c r="R57" i="8"/>
  <c r="N74" i="8"/>
  <c r="N42" i="8"/>
  <c r="X118" i="8"/>
  <c r="R94" i="8"/>
  <c r="N50" i="8"/>
  <c r="AH59" i="8"/>
  <c r="AF58" i="8" s="1"/>
  <c r="W58" i="8" s="1"/>
  <c r="K58" i="47" s="1"/>
  <c r="G58" i="47" s="1"/>
  <c r="N17" i="8"/>
  <c r="N23" i="8"/>
  <c r="AL93" i="8"/>
  <c r="AJ90" i="8" s="1"/>
  <c r="AA90" i="8" s="1"/>
  <c r="L90" i="47" s="1"/>
  <c r="H90" i="47" s="1"/>
  <c r="AH29" i="8"/>
  <c r="AL147" i="8"/>
  <c r="AL151" i="8"/>
  <c r="AH26" i="8"/>
  <c r="N176" i="8"/>
  <c r="N28" i="8"/>
  <c r="AL45" i="8"/>
  <c r="AH25" i="8"/>
  <c r="R92" i="8"/>
  <c r="N151" i="8"/>
  <c r="AL114" i="8"/>
  <c r="AJ112" i="8" s="1"/>
  <c r="O169" i="22"/>
  <c r="AI169" i="4" s="1"/>
  <c r="AD169" i="8" s="1"/>
  <c r="Q169" i="8" s="1"/>
  <c r="N150" i="8"/>
  <c r="AI33" i="4"/>
  <c r="AD33" i="8" s="1"/>
  <c r="Q33" i="8" s="1"/>
  <c r="R18" i="8"/>
  <c r="N16" i="8"/>
  <c r="R156" i="8"/>
  <c r="AI119" i="4"/>
  <c r="AD119" i="8" s="1"/>
  <c r="Q119" i="8" s="1"/>
  <c r="R170" i="8"/>
  <c r="O97" i="22"/>
  <c r="AI97" i="4" s="1"/>
  <c r="AD97" i="8" s="1"/>
  <c r="AL36" i="8"/>
  <c r="AL171" i="8"/>
  <c r="AJ170" i="8" s="1"/>
  <c r="AL157" i="8"/>
  <c r="AJ155" i="8" s="1"/>
  <c r="AA155" i="8" s="1"/>
  <c r="L155" i="47" s="1"/>
  <c r="H155" i="47" s="1"/>
  <c r="J153" i="47" s="1"/>
  <c r="R149" i="8"/>
  <c r="R55" i="8"/>
  <c r="R150" i="8"/>
  <c r="N64" i="8"/>
  <c r="R60" i="8"/>
  <c r="AH152" i="8"/>
  <c r="O161" i="22"/>
  <c r="AI161" i="4" s="1"/>
  <c r="AD161" i="8" s="1"/>
  <c r="Q161" i="8" s="1"/>
  <c r="AL17" i="8"/>
  <c r="AF67" i="8"/>
  <c r="L67" i="8" s="1"/>
  <c r="R91" i="8"/>
  <c r="O118" i="22"/>
  <c r="N148" i="8"/>
  <c r="AH65" i="8"/>
  <c r="AF63" i="8" s="1"/>
  <c r="L63" i="8" s="1"/>
  <c r="AL15" i="8"/>
  <c r="AF178" i="8"/>
  <c r="L178" i="8" s="1"/>
  <c r="AJ76" i="8"/>
  <c r="AA76" i="8" s="1"/>
  <c r="L76" i="47" s="1"/>
  <c r="H76" i="47" s="1"/>
  <c r="R148" i="8"/>
  <c r="AL38" i="8"/>
  <c r="AH147" i="8"/>
  <c r="AF35" i="8"/>
  <c r="L35" i="8" s="1"/>
  <c r="O133" i="22"/>
  <c r="AJ58" i="8"/>
  <c r="AA58" i="8" s="1"/>
  <c r="L58" i="47" s="1"/>
  <c r="H58" i="47" s="1"/>
  <c r="O62" i="22"/>
  <c r="AI62" i="4" s="1"/>
  <c r="AD62" i="8" s="1"/>
  <c r="AI120" i="4"/>
  <c r="AD120" i="8" s="1"/>
  <c r="Q120" i="8" s="1"/>
  <c r="AI144" i="4"/>
  <c r="AD144" i="8" s="1"/>
  <c r="Q144" i="8" s="1"/>
  <c r="N167" i="8"/>
  <c r="AH167" i="8"/>
  <c r="O38" i="22"/>
  <c r="H38" i="22" s="1"/>
  <c r="O37" i="22"/>
  <c r="H37" i="22" s="1"/>
  <c r="O36" i="22"/>
  <c r="H36" i="22" s="1"/>
  <c r="AI93" i="4"/>
  <c r="AD93" i="8" s="1"/>
  <c r="Q93" i="8" s="1"/>
  <c r="AL128" i="8"/>
  <c r="O10" i="22"/>
  <c r="AI10" i="4" s="1"/>
  <c r="AD10" i="8" s="1"/>
  <c r="O20" i="22"/>
  <c r="AI20" i="4" s="1"/>
  <c r="AD20" i="8" s="1"/>
  <c r="O34" i="22"/>
  <c r="AI34" i="4" s="1"/>
  <c r="AD34" i="8" s="1"/>
  <c r="O47" i="22"/>
  <c r="AI47" i="4" s="1"/>
  <c r="AD47" i="8" s="1"/>
  <c r="AI82" i="4"/>
  <c r="AD82" i="8" s="1"/>
  <c r="Q82" i="8" s="1"/>
  <c r="AI60" i="4"/>
  <c r="AD60" i="8" s="1"/>
  <c r="Q60" i="8" s="1"/>
  <c r="AI16" i="4"/>
  <c r="AD16" i="8" s="1"/>
  <c r="Q16" i="8" s="1"/>
  <c r="AI163" i="4"/>
  <c r="AD163" i="8" s="1"/>
  <c r="Q163" i="8" s="1"/>
  <c r="AI108" i="4"/>
  <c r="AD108" i="8" s="1"/>
  <c r="Q108" i="8" s="1"/>
  <c r="R177" i="8"/>
  <c r="AL177" i="8"/>
  <c r="AI114" i="4"/>
  <c r="AD114" i="8" s="1"/>
  <c r="Q114" i="8" s="1"/>
  <c r="AL23" i="8"/>
  <c r="R23" i="8"/>
  <c r="O79" i="22"/>
  <c r="AI79" i="4" s="1"/>
  <c r="AD79" i="8" s="1"/>
  <c r="Q79" i="8" s="1"/>
  <c r="O90" i="22"/>
  <c r="AI90" i="4" s="1"/>
  <c r="AD90" i="8" s="1"/>
  <c r="Q90" i="8" s="1"/>
  <c r="O76" i="22"/>
  <c r="AI76" i="4" s="1"/>
  <c r="AD76" i="8" s="1"/>
  <c r="Q76" i="8" s="1"/>
  <c r="O86" i="22"/>
  <c r="AI86" i="4" s="1"/>
  <c r="AD86" i="8" s="1"/>
  <c r="Q86" i="8" s="1"/>
  <c r="AI158" i="4"/>
  <c r="AD158" i="8" s="1"/>
  <c r="Q158" i="8" s="1"/>
  <c r="O50" i="22"/>
  <c r="H50" i="22" s="1"/>
  <c r="O52" i="22"/>
  <c r="H52" i="22" s="1"/>
  <c r="O51" i="22"/>
  <c r="H51" i="22" s="1"/>
  <c r="O49" i="22"/>
  <c r="H49" i="22" s="1"/>
  <c r="R166" i="8"/>
  <c r="AL166" i="8"/>
  <c r="AL145" i="8"/>
  <c r="R145" i="8"/>
  <c r="AI73" i="4"/>
  <c r="AD73" i="8" s="1"/>
  <c r="Q73" i="8" s="1"/>
  <c r="AI122" i="4"/>
  <c r="AD122" i="8" s="1"/>
  <c r="Q122" i="8" s="1"/>
  <c r="R80" i="8"/>
  <c r="AL80" i="8"/>
  <c r="AI160" i="4"/>
  <c r="AD160" i="8" s="1"/>
  <c r="Q160" i="8" s="1"/>
  <c r="AI150" i="4"/>
  <c r="AD150" i="8" s="1"/>
  <c r="Q150" i="8" s="1"/>
  <c r="N168" i="8"/>
  <c r="AH168" i="8"/>
  <c r="AL13" i="8"/>
  <c r="R13" i="8"/>
  <c r="AI130" i="4"/>
  <c r="AD130" i="8" s="1"/>
  <c r="Q130" i="8" s="1"/>
  <c r="AI127" i="4"/>
  <c r="AD127" i="8" s="1"/>
  <c r="Q127" i="8" s="1"/>
  <c r="AL52" i="8"/>
  <c r="R52" i="8"/>
  <c r="R65" i="8"/>
  <c r="AL65" i="8"/>
  <c r="N55" i="8"/>
  <c r="AH55" i="8"/>
  <c r="AL179" i="8"/>
  <c r="R179" i="8"/>
  <c r="AI95" i="4"/>
  <c r="AD95" i="8" s="1"/>
  <c r="Q95" i="8" s="1"/>
  <c r="AL129" i="8"/>
  <c r="N32" i="8"/>
  <c r="AH32" i="8"/>
  <c r="AI83" i="4"/>
  <c r="AD83" i="8" s="1"/>
  <c r="Q83" i="8" s="1"/>
  <c r="AI84" i="4"/>
  <c r="AD84" i="8" s="1"/>
  <c r="Q84" i="8" s="1"/>
  <c r="AL99" i="8"/>
  <c r="R99" i="8"/>
  <c r="AI177" i="4"/>
  <c r="AD177" i="8" s="1"/>
  <c r="Q177" i="8" s="1"/>
  <c r="AI18" i="4"/>
  <c r="AD18" i="8" s="1"/>
  <c r="Q18" i="8" s="1"/>
  <c r="AL70" i="8"/>
  <c r="R70" i="8"/>
  <c r="AI162" i="4"/>
  <c r="AD162" i="8" s="1"/>
  <c r="Q162" i="8" s="1"/>
  <c r="AI106" i="4"/>
  <c r="AD106" i="8" s="1"/>
  <c r="Q106" i="8" s="1"/>
  <c r="AI142" i="4"/>
  <c r="AD142" i="8" s="1"/>
  <c r="Q142" i="8" s="1"/>
  <c r="AL104" i="8"/>
  <c r="R104" i="8"/>
  <c r="AH85" i="8"/>
  <c r="N85" i="8"/>
  <c r="AL122" i="8"/>
  <c r="R122" i="8"/>
  <c r="N95" i="8"/>
  <c r="AH95" i="8"/>
  <c r="N91" i="8"/>
  <c r="AH91" i="8"/>
  <c r="AJ31" i="8"/>
  <c r="AA31" i="8" s="1"/>
  <c r="L31" i="47" s="1"/>
  <c r="H31" i="47" s="1"/>
  <c r="AL25" i="8"/>
  <c r="R25" i="8"/>
  <c r="R24" i="8"/>
  <c r="AL24" i="8"/>
  <c r="R73" i="8"/>
  <c r="AL73" i="8"/>
  <c r="O77" i="22"/>
  <c r="H77" i="22" s="1"/>
  <c r="O78" i="22"/>
  <c r="H78" i="22" s="1"/>
  <c r="AI41" i="4"/>
  <c r="AD41" i="8" s="1"/>
  <c r="Q41" i="8" s="1"/>
  <c r="AI157" i="4"/>
  <c r="AD157" i="8" s="1"/>
  <c r="Q157" i="8" s="1"/>
  <c r="AF112" i="8"/>
  <c r="O31" i="22"/>
  <c r="AI31" i="4" s="1"/>
  <c r="AD31" i="8" s="1"/>
  <c r="O21" i="22"/>
  <c r="AI21" i="4" s="1"/>
  <c r="AD21" i="8" s="1"/>
  <c r="O30" i="22"/>
  <c r="H30" i="22" s="1"/>
  <c r="AI55" i="4"/>
  <c r="AD55" i="8" s="1"/>
  <c r="Q55" i="8" s="1"/>
  <c r="R168" i="8"/>
  <c r="AL168" i="8"/>
  <c r="W76" i="8"/>
  <c r="K76" i="47" s="1"/>
  <c r="G76" i="47" s="1"/>
  <c r="L76" i="8"/>
  <c r="R87" i="8"/>
  <c r="AL87" i="8"/>
  <c r="O171" i="22"/>
  <c r="H171" i="22" s="1"/>
  <c r="O172" i="22"/>
  <c r="H172" i="22" s="1"/>
  <c r="O173" i="22"/>
  <c r="H173" i="22" s="1"/>
  <c r="AL81" i="8"/>
  <c r="R81" i="8"/>
  <c r="AL50" i="8"/>
  <c r="R50" i="8"/>
  <c r="O146" i="22"/>
  <c r="AI146" i="4" s="1"/>
  <c r="AD146" i="8" s="1"/>
  <c r="Q146" i="8" s="1"/>
  <c r="O141" i="22"/>
  <c r="AI141" i="4" s="1"/>
  <c r="AD141" i="8" s="1"/>
  <c r="Q141" i="8" s="1"/>
  <c r="O153" i="22"/>
  <c r="AI153" i="4" s="1"/>
  <c r="AD153" i="8" s="1"/>
  <c r="Q153" i="8" s="1"/>
  <c r="AL131" i="8"/>
  <c r="N33" i="8"/>
  <c r="AH33" i="8"/>
  <c r="AI111" i="4"/>
  <c r="AD111" i="8" s="1"/>
  <c r="Q111" i="8" s="1"/>
  <c r="AI88" i="4"/>
  <c r="AD88" i="8" s="1"/>
  <c r="Q88" i="8" s="1"/>
  <c r="AI175" i="4"/>
  <c r="AD175" i="8" s="1"/>
  <c r="Q175" i="8" s="1"/>
  <c r="AI70" i="4"/>
  <c r="AD70" i="8" s="1"/>
  <c r="Q70" i="8" s="1"/>
  <c r="AL68" i="8"/>
  <c r="R68" i="8"/>
  <c r="AI103" i="4"/>
  <c r="AD103" i="8" s="1"/>
  <c r="Q103" i="8" s="1"/>
  <c r="AL103" i="8"/>
  <c r="R103" i="8"/>
  <c r="AH80" i="8"/>
  <c r="N80" i="8"/>
  <c r="AI125" i="4"/>
  <c r="AD125" i="8" s="1"/>
  <c r="Q125" i="8" s="1"/>
  <c r="N92" i="8"/>
  <c r="AH92" i="8"/>
  <c r="AL22" i="8"/>
  <c r="R22" i="8"/>
  <c r="AI42" i="4"/>
  <c r="AD42" i="8" s="1"/>
  <c r="Q42" i="8" s="1"/>
  <c r="AI56" i="4"/>
  <c r="AD56" i="8" s="1"/>
  <c r="Q56" i="8" s="1"/>
  <c r="AL88" i="8"/>
  <c r="R88" i="8"/>
  <c r="R144" i="8"/>
  <c r="AL144" i="8"/>
  <c r="AI123" i="4"/>
  <c r="AD123" i="8" s="1"/>
  <c r="Q123" i="8" s="1"/>
  <c r="AL83" i="8"/>
  <c r="R83" i="8"/>
  <c r="R82" i="8"/>
  <c r="AL82" i="8"/>
  <c r="AI149" i="4"/>
  <c r="AD149" i="8" s="1"/>
  <c r="Q149" i="8" s="1"/>
  <c r="N165" i="8"/>
  <c r="AH165" i="8"/>
  <c r="AL41" i="8"/>
  <c r="R41" i="8"/>
  <c r="R12" i="8"/>
  <c r="AL12" i="8"/>
  <c r="AI128" i="4"/>
  <c r="AD128" i="8" s="1"/>
  <c r="Q128" i="8" s="1"/>
  <c r="O71" i="22"/>
  <c r="AI71" i="4" s="1"/>
  <c r="AD71" i="8" s="1"/>
  <c r="Q71" i="8" s="1"/>
  <c r="O63" i="22"/>
  <c r="AI63" i="4" s="1"/>
  <c r="AD63" i="8" s="1"/>
  <c r="O67" i="22"/>
  <c r="AI67" i="4" s="1"/>
  <c r="AD67" i="8" s="1"/>
  <c r="R49" i="8"/>
  <c r="AL49" i="8"/>
  <c r="R64" i="8"/>
  <c r="AL64" i="8"/>
  <c r="AI154" i="4"/>
  <c r="AD154" i="8" s="1"/>
  <c r="Q154" i="8" s="1"/>
  <c r="N56" i="8"/>
  <c r="AH56" i="8"/>
  <c r="AI94" i="4"/>
  <c r="AD94" i="8" s="1"/>
  <c r="Q94" i="8" s="1"/>
  <c r="AI91" i="4"/>
  <c r="AD91" i="8" s="1"/>
  <c r="Q91" i="8" s="1"/>
  <c r="AL127" i="8"/>
  <c r="AI110" i="4"/>
  <c r="AD110" i="8" s="1"/>
  <c r="Q110" i="8" s="1"/>
  <c r="AI85" i="4"/>
  <c r="AD85" i="8" s="1"/>
  <c r="Q85" i="8" s="1"/>
  <c r="AI80" i="4"/>
  <c r="AD80" i="8" s="1"/>
  <c r="Q80" i="8" s="1"/>
  <c r="AL100" i="8"/>
  <c r="R100" i="8"/>
  <c r="AI89" i="4"/>
  <c r="AD89" i="8" s="1"/>
  <c r="Q89" i="8" s="1"/>
  <c r="AI69" i="4"/>
  <c r="AD69" i="8" s="1"/>
  <c r="Q69" i="8" s="1"/>
  <c r="AI17" i="4"/>
  <c r="AD17" i="8" s="1"/>
  <c r="Q17" i="8" s="1"/>
  <c r="AI105" i="4"/>
  <c r="AD105" i="8" s="1"/>
  <c r="Q105" i="8" s="1"/>
  <c r="AH100" i="8"/>
  <c r="N100" i="8"/>
  <c r="AL105" i="8"/>
  <c r="R105" i="8"/>
  <c r="R106" i="8"/>
  <c r="AL106" i="8"/>
  <c r="AL175" i="8"/>
  <c r="R175" i="8"/>
  <c r="AH82" i="8"/>
  <c r="N82" i="8"/>
  <c r="N84" i="8"/>
  <c r="AH84" i="8"/>
  <c r="AL123" i="8"/>
  <c r="R123" i="8"/>
  <c r="N94" i="8"/>
  <c r="AH94" i="8"/>
  <c r="AD137" i="8"/>
  <c r="Q137" i="8" s="1"/>
  <c r="AJ53" i="8"/>
  <c r="O19" i="22"/>
  <c r="H19" i="22" s="1"/>
  <c r="AI11" i="4"/>
  <c r="AD11" i="8" s="1"/>
  <c r="Q11" i="8" s="1"/>
  <c r="O14" i="22"/>
  <c r="AI14" i="4" s="1"/>
  <c r="AD14" i="8" s="1"/>
  <c r="AL27" i="8"/>
  <c r="R27" i="8"/>
  <c r="AL26" i="8"/>
  <c r="R26" i="8"/>
  <c r="O101" i="22"/>
  <c r="H101" i="22" s="1"/>
  <c r="O102" i="22"/>
  <c r="AI102" i="4" s="1"/>
  <c r="AD102" i="8" s="1"/>
  <c r="Q102" i="8" s="1"/>
  <c r="O98" i="22"/>
  <c r="AI98" i="4" s="1"/>
  <c r="AD98" i="8" s="1"/>
  <c r="R72" i="8"/>
  <c r="AL72" i="8"/>
  <c r="N145" i="8"/>
  <c r="AH145" i="8"/>
  <c r="AI40" i="4"/>
  <c r="AD40" i="8" s="1"/>
  <c r="Q40" i="8" s="1"/>
  <c r="AI156" i="4"/>
  <c r="AD156" i="8" s="1"/>
  <c r="Q156" i="8" s="1"/>
  <c r="O22" i="22"/>
  <c r="H22" i="22" s="1"/>
  <c r="O24" i="22"/>
  <c r="H24" i="22" s="1"/>
  <c r="O28" i="22"/>
  <c r="H28" i="22" s="1"/>
  <c r="O25" i="22"/>
  <c r="H25" i="22" s="1"/>
  <c r="O29" i="22"/>
  <c r="H29" i="22" s="1"/>
  <c r="O26" i="22"/>
  <c r="H26" i="22" s="1"/>
  <c r="O23" i="22"/>
  <c r="H23" i="22" s="1"/>
  <c r="O27" i="22"/>
  <c r="H27" i="22" s="1"/>
  <c r="AI57" i="4"/>
  <c r="AD57" i="8" s="1"/>
  <c r="Q57" i="8" s="1"/>
  <c r="AL165" i="8"/>
  <c r="R165" i="8"/>
  <c r="AI72" i="4"/>
  <c r="AD72" i="8" s="1"/>
  <c r="Q72" i="8" s="1"/>
  <c r="AI151" i="4"/>
  <c r="AD151" i="8" s="1"/>
  <c r="Q151" i="8" s="1"/>
  <c r="AI148" i="4"/>
  <c r="AD148" i="8" s="1"/>
  <c r="Q148" i="8" s="1"/>
  <c r="AL42" i="8"/>
  <c r="R42" i="8"/>
  <c r="AI129" i="4"/>
  <c r="AD129" i="8" s="1"/>
  <c r="Q129" i="8" s="1"/>
  <c r="N57" i="8"/>
  <c r="AH57" i="8"/>
  <c r="R180" i="8"/>
  <c r="AL180" i="8"/>
  <c r="AI145" i="4"/>
  <c r="AD145" i="8" s="1"/>
  <c r="Q145" i="8" s="1"/>
  <c r="AL89" i="8"/>
  <c r="R89" i="8"/>
  <c r="AI74" i="4"/>
  <c r="AD74" i="8" s="1"/>
  <c r="Q74" i="8" s="1"/>
  <c r="O170" i="22"/>
  <c r="AI170" i="4" s="1"/>
  <c r="AD170" i="8" s="1"/>
  <c r="Q170" i="8" s="1"/>
  <c r="O174" i="22"/>
  <c r="AI174" i="4" s="1"/>
  <c r="AD174" i="8" s="1"/>
  <c r="Q174" i="8" s="1"/>
  <c r="O178" i="22"/>
  <c r="AI178" i="4" s="1"/>
  <c r="AD178" i="8" s="1"/>
  <c r="Q178" i="8" s="1"/>
  <c r="AL85" i="8"/>
  <c r="R85" i="8"/>
  <c r="R84" i="8"/>
  <c r="AL84" i="8"/>
  <c r="AI147" i="4"/>
  <c r="AD147" i="8" s="1"/>
  <c r="Q147" i="8" s="1"/>
  <c r="AI152" i="4"/>
  <c r="AD152" i="8" s="1"/>
  <c r="Q152" i="8" s="1"/>
  <c r="N166" i="8"/>
  <c r="AH166" i="8"/>
  <c r="AL40" i="8"/>
  <c r="R40" i="8"/>
  <c r="AI131" i="4"/>
  <c r="AD131" i="8" s="1"/>
  <c r="Q131" i="8" s="1"/>
  <c r="O64" i="22"/>
  <c r="H64" i="22" s="1"/>
  <c r="O66" i="22"/>
  <c r="H66" i="22" s="1"/>
  <c r="O65" i="22"/>
  <c r="H65" i="22" s="1"/>
  <c r="R51" i="8"/>
  <c r="AL51" i="8"/>
  <c r="AL66" i="8"/>
  <c r="R66" i="8"/>
  <c r="N54" i="8"/>
  <c r="AH54" i="8"/>
  <c r="T118" i="8"/>
  <c r="O46" i="22"/>
  <c r="H46" i="22" s="1"/>
  <c r="O43" i="22"/>
  <c r="H43" i="22" s="1"/>
  <c r="O39" i="22"/>
  <c r="AI39" i="4" s="1"/>
  <c r="AD39" i="8" s="1"/>
  <c r="O35" i="22"/>
  <c r="AI35" i="4" s="1"/>
  <c r="AD35" i="8" s="1"/>
  <c r="AI92" i="4"/>
  <c r="AD92" i="8" s="1"/>
  <c r="Q92" i="8" s="1"/>
  <c r="AL130" i="8"/>
  <c r="AI81" i="4"/>
  <c r="AD81" i="8" s="1"/>
  <c r="Q81" i="8" s="1"/>
  <c r="AI59" i="4"/>
  <c r="AD59" i="8" s="1"/>
  <c r="Q59" i="8" s="1"/>
  <c r="U118" i="8"/>
  <c r="AI87" i="4"/>
  <c r="AD87" i="8" s="1"/>
  <c r="Q87" i="8" s="1"/>
  <c r="AI176" i="4"/>
  <c r="AD176" i="8" s="1"/>
  <c r="Q176" i="8" s="1"/>
  <c r="AI68" i="4"/>
  <c r="AD68" i="8" s="1"/>
  <c r="Q68" i="8" s="1"/>
  <c r="AI15" i="4"/>
  <c r="AD15" i="8" s="1"/>
  <c r="Q15" i="8" s="1"/>
  <c r="AL69" i="8"/>
  <c r="R69" i="8"/>
  <c r="AI104" i="4"/>
  <c r="AD104" i="8" s="1"/>
  <c r="Q104" i="8" s="1"/>
  <c r="AI107" i="4"/>
  <c r="AD107" i="8" s="1"/>
  <c r="Q107" i="8" s="1"/>
  <c r="AH99" i="8"/>
  <c r="N99" i="8"/>
  <c r="AL107" i="8"/>
  <c r="R107" i="8"/>
  <c r="AL108" i="8"/>
  <c r="R108" i="8"/>
  <c r="AL176" i="8"/>
  <c r="R176" i="8"/>
  <c r="AH81" i="8"/>
  <c r="N81" i="8"/>
  <c r="AH83" i="8"/>
  <c r="N83" i="8"/>
  <c r="N93" i="8"/>
  <c r="AH93" i="8"/>
  <c r="AI113" i="4"/>
  <c r="AD113" i="8" s="1"/>
  <c r="Q113" i="8" s="1"/>
  <c r="O13" i="22"/>
  <c r="H13" i="22" s="1"/>
  <c r="O12" i="22"/>
  <c r="H12" i="22" s="1"/>
  <c r="AL29" i="8"/>
  <c r="R29" i="8"/>
  <c r="R28" i="8"/>
  <c r="AL28" i="8"/>
  <c r="O99" i="22"/>
  <c r="H99" i="22" s="1"/>
  <c r="O100" i="22"/>
  <c r="H100" i="22" s="1"/>
  <c r="AL74" i="8"/>
  <c r="R74" i="8"/>
  <c r="N144" i="8"/>
  <c r="AH144" i="8"/>
  <c r="AI54" i="4"/>
  <c r="AD54" i="8" s="1"/>
  <c r="Q54" i="8" s="1"/>
  <c r="O48" i="22"/>
  <c r="AI48" i="4" s="1"/>
  <c r="AD48" i="8" s="1"/>
  <c r="O58" i="22"/>
  <c r="AI58" i="4" s="1"/>
  <c r="AD58" i="8" s="1"/>
  <c r="Q58" i="8" s="1"/>
  <c r="O53" i="22"/>
  <c r="AI53" i="4" s="1"/>
  <c r="AD53" i="8" s="1"/>
  <c r="AF39" i="8"/>
  <c r="AF155" i="8"/>
  <c r="AL167" i="8"/>
  <c r="R167" i="8"/>
  <c r="K118" i="22" l="1"/>
  <c r="K15" i="72"/>
  <c r="I15" i="72" s="1"/>
  <c r="E150" i="22"/>
  <c r="E114" i="22"/>
  <c r="E175" i="22"/>
  <c r="E149" i="22"/>
  <c r="E151" i="22"/>
  <c r="E73" i="22"/>
  <c r="AB139" i="4"/>
  <c r="Z139" i="8" s="1"/>
  <c r="M139" i="8" s="1"/>
  <c r="E176" i="22"/>
  <c r="N134" i="22"/>
  <c r="AB134" i="4" s="1"/>
  <c r="E152" i="22"/>
  <c r="R26" i="60"/>
  <c r="L35" i="60" s="1"/>
  <c r="E8" i="15" s="1"/>
  <c r="I178" i="22"/>
  <c r="D180" i="22" s="1"/>
  <c r="J170" i="22"/>
  <c r="E171" i="22" s="1"/>
  <c r="I164" i="22"/>
  <c r="D168" i="22" s="1"/>
  <c r="I174" i="22"/>
  <c r="D175" i="22" s="1"/>
  <c r="I71" i="22"/>
  <c r="D73" i="22" s="1"/>
  <c r="I155" i="22"/>
  <c r="D156" i="22" s="1"/>
  <c r="E74" i="22"/>
  <c r="J76" i="22"/>
  <c r="E77" i="22" s="1"/>
  <c r="I58" i="22"/>
  <c r="D59" i="22" s="1"/>
  <c r="I31" i="22"/>
  <c r="D33" i="22" s="1"/>
  <c r="E147" i="22"/>
  <c r="E69" i="22"/>
  <c r="E70" i="22"/>
  <c r="E68" i="22"/>
  <c r="AL68" i="4" s="1"/>
  <c r="J98" i="22"/>
  <c r="J63" i="22"/>
  <c r="I90" i="22"/>
  <c r="I79" i="22"/>
  <c r="J35" i="22"/>
  <c r="I146" i="22"/>
  <c r="I102" i="22"/>
  <c r="I112" i="22"/>
  <c r="N137" i="22"/>
  <c r="I137" i="22"/>
  <c r="E15" i="22"/>
  <c r="E16" i="22"/>
  <c r="E17" i="22"/>
  <c r="AL17" i="4" s="1"/>
  <c r="E18" i="22"/>
  <c r="E138" i="22"/>
  <c r="AL138" i="4" s="1"/>
  <c r="E139" i="22"/>
  <c r="AL139" i="4" s="1"/>
  <c r="E95" i="22"/>
  <c r="E93" i="22"/>
  <c r="E91" i="22"/>
  <c r="E92" i="22"/>
  <c r="E94" i="22"/>
  <c r="J164" i="22"/>
  <c r="E89" i="22"/>
  <c r="E80" i="22"/>
  <c r="E88" i="22"/>
  <c r="E83" i="22"/>
  <c r="AL83" i="4" s="1"/>
  <c r="E87" i="22"/>
  <c r="AL87" i="4" s="1"/>
  <c r="E82" i="22"/>
  <c r="E85" i="22"/>
  <c r="E81" i="22"/>
  <c r="E84" i="22"/>
  <c r="E108" i="22"/>
  <c r="E104" i="22"/>
  <c r="E105" i="22"/>
  <c r="E107" i="22"/>
  <c r="E103" i="22"/>
  <c r="E106" i="22"/>
  <c r="E59" i="22"/>
  <c r="AL59" i="4" s="1"/>
  <c r="E60" i="22"/>
  <c r="E145" i="22"/>
  <c r="E144" i="22"/>
  <c r="N136" i="22"/>
  <c r="N135" i="22"/>
  <c r="I14" i="22"/>
  <c r="I67" i="22"/>
  <c r="I86" i="22"/>
  <c r="E158" i="22"/>
  <c r="E156" i="22"/>
  <c r="E157" i="22"/>
  <c r="J134" i="22"/>
  <c r="I39" i="22"/>
  <c r="E40" i="22"/>
  <c r="E41" i="22"/>
  <c r="E42" i="22"/>
  <c r="D74" i="22"/>
  <c r="AE74" i="4" s="1"/>
  <c r="AI74" i="8" s="1"/>
  <c r="I53" i="22"/>
  <c r="E55" i="22"/>
  <c r="E56" i="22"/>
  <c r="E57" i="22"/>
  <c r="E54" i="22"/>
  <c r="J48" i="22"/>
  <c r="J21" i="22"/>
  <c r="AJ137" i="8"/>
  <c r="AA137" i="8" s="1"/>
  <c r="L137" i="47" s="1"/>
  <c r="H137" i="47" s="1"/>
  <c r="J133" i="47" s="1"/>
  <c r="AF137" i="8"/>
  <c r="W137" i="8" s="1"/>
  <c r="K137" i="47" s="1"/>
  <c r="G137" i="47" s="1"/>
  <c r="W134" i="8"/>
  <c r="K134" i="47" s="1"/>
  <c r="G134" i="47" s="1"/>
  <c r="L134" i="8"/>
  <c r="M104" i="59" s="1"/>
  <c r="N104" i="59" s="1"/>
  <c r="L74" i="59" s="1"/>
  <c r="D19" i="47"/>
  <c r="I143" i="22"/>
  <c r="D145" i="22" s="1"/>
  <c r="AF146" i="8"/>
  <c r="L146" i="8" s="1"/>
  <c r="N123" i="22"/>
  <c r="G123" i="22" s="1"/>
  <c r="AB121" i="4"/>
  <c r="Z121" i="8" s="1"/>
  <c r="M121" i="8" s="1"/>
  <c r="E155" i="47"/>
  <c r="AJ155" i="4" s="1"/>
  <c r="E154" i="47"/>
  <c r="AJ154" i="4" s="1"/>
  <c r="D14" i="47"/>
  <c r="E131" i="22"/>
  <c r="E130" i="22"/>
  <c r="E129" i="22"/>
  <c r="E128" i="22"/>
  <c r="E127" i="22"/>
  <c r="I126" i="22"/>
  <c r="AB125" i="4"/>
  <c r="Z125" i="8" s="1"/>
  <c r="M125" i="8" s="1"/>
  <c r="AB126" i="4"/>
  <c r="Z126" i="8" s="1"/>
  <c r="M126" i="8" s="1"/>
  <c r="AI118" i="4"/>
  <c r="AD118" i="8" s="1"/>
  <c r="Q118" i="8" s="1"/>
  <c r="H118" i="22"/>
  <c r="J11" i="22"/>
  <c r="AI133" i="4"/>
  <c r="AD133" i="8" s="1"/>
  <c r="Q133" i="8" s="1"/>
  <c r="L24" i="60"/>
  <c r="L133" i="60" s="1"/>
  <c r="E9" i="15" s="1"/>
  <c r="AB156" i="4"/>
  <c r="Z156" i="8" s="1"/>
  <c r="M156" i="8" s="1"/>
  <c r="AB158" i="4"/>
  <c r="Z158" i="8" s="1"/>
  <c r="M158" i="8" s="1"/>
  <c r="AB74" i="4"/>
  <c r="Z74" i="8" s="1"/>
  <c r="M74" i="8" s="1"/>
  <c r="AB72" i="4"/>
  <c r="Z72" i="8" s="1"/>
  <c r="M72" i="8" s="1"/>
  <c r="AB32" i="4"/>
  <c r="Z32" i="8" s="1"/>
  <c r="M32" i="8" s="1"/>
  <c r="AB33" i="4"/>
  <c r="Z33" i="8" s="1"/>
  <c r="M33" i="8" s="1"/>
  <c r="AB144" i="4"/>
  <c r="Z144" i="8" s="1"/>
  <c r="M144" i="8" s="1"/>
  <c r="AB145" i="4"/>
  <c r="Z145" i="8" s="1"/>
  <c r="M145" i="8" s="1"/>
  <c r="AB122" i="4"/>
  <c r="Z122" i="8" s="1"/>
  <c r="AB59" i="4"/>
  <c r="Z59" i="8" s="1"/>
  <c r="M59" i="8" s="1"/>
  <c r="AB60" i="4"/>
  <c r="Z60" i="8" s="1"/>
  <c r="M60" i="8" s="1"/>
  <c r="AB180" i="4"/>
  <c r="Z180" i="8" s="1"/>
  <c r="M180" i="8" s="1"/>
  <c r="N62" i="22"/>
  <c r="AB62" i="4" s="1"/>
  <c r="Z62" i="8" s="1"/>
  <c r="N75" i="22"/>
  <c r="AB75" i="4" s="1"/>
  <c r="Z75" i="8" s="1"/>
  <c r="N97" i="22"/>
  <c r="AB97" i="4" s="1"/>
  <c r="Z97" i="8" s="1"/>
  <c r="AB42" i="4"/>
  <c r="Z42" i="8" s="1"/>
  <c r="M42" i="8" s="1"/>
  <c r="AB113" i="4"/>
  <c r="Z113" i="8" s="1"/>
  <c r="M113" i="8" s="1"/>
  <c r="AB120" i="4"/>
  <c r="Z120" i="8" s="1"/>
  <c r="M120" i="8" s="1"/>
  <c r="AB93" i="4"/>
  <c r="Z93" i="8" s="1"/>
  <c r="M93" i="8" s="1"/>
  <c r="AB179" i="4"/>
  <c r="Z179" i="8" s="1"/>
  <c r="M179" i="8" s="1"/>
  <c r="AB142" i="4"/>
  <c r="Z142" i="8" s="1"/>
  <c r="M142" i="8" s="1"/>
  <c r="AB150" i="4"/>
  <c r="Z150" i="8" s="1"/>
  <c r="M150" i="8" s="1"/>
  <c r="N172" i="22"/>
  <c r="G172" i="22" s="1"/>
  <c r="N173" i="22"/>
  <c r="G173" i="22" s="1"/>
  <c r="N171" i="22"/>
  <c r="G171" i="22" s="1"/>
  <c r="AB57" i="4"/>
  <c r="Z57" i="8" s="1"/>
  <c r="M57" i="8" s="1"/>
  <c r="AB127" i="4"/>
  <c r="Z127" i="8" s="1"/>
  <c r="M127" i="8" s="1"/>
  <c r="AB15" i="4"/>
  <c r="Z15" i="8" s="1"/>
  <c r="M15" i="8" s="1"/>
  <c r="N34" i="22"/>
  <c r="AB34" i="4" s="1"/>
  <c r="Z34" i="8" s="1"/>
  <c r="N20" i="22"/>
  <c r="AB20" i="4" s="1"/>
  <c r="Z20" i="8" s="1"/>
  <c r="N10" i="22"/>
  <c r="AB10" i="4" s="1"/>
  <c r="Z10" i="8" s="1"/>
  <c r="N47" i="22"/>
  <c r="AB47" i="4" s="1"/>
  <c r="Z47" i="8" s="1"/>
  <c r="N25" i="22"/>
  <c r="G25" i="22" s="1"/>
  <c r="N24" i="22"/>
  <c r="G24" i="22" s="1"/>
  <c r="N29" i="22"/>
  <c r="G29" i="22" s="1"/>
  <c r="N26" i="22"/>
  <c r="G26" i="22" s="1"/>
  <c r="N23" i="22"/>
  <c r="G23" i="22" s="1"/>
  <c r="N28" i="22"/>
  <c r="G28" i="22" s="1"/>
  <c r="N27" i="22"/>
  <c r="G27" i="22" s="1"/>
  <c r="N22" i="22"/>
  <c r="G22" i="22" s="1"/>
  <c r="AB163" i="4"/>
  <c r="Z163" i="8" s="1"/>
  <c r="M163" i="8" s="1"/>
  <c r="AB105" i="4"/>
  <c r="Z105" i="8" s="1"/>
  <c r="M105" i="8" s="1"/>
  <c r="AB107" i="4"/>
  <c r="Z107" i="8" s="1"/>
  <c r="M107" i="8" s="1"/>
  <c r="AB114" i="4"/>
  <c r="Z114" i="8" s="1"/>
  <c r="M114" i="8" s="1"/>
  <c r="AB83" i="4"/>
  <c r="Z83" i="8" s="1"/>
  <c r="M83" i="8" s="1"/>
  <c r="N100" i="22"/>
  <c r="G100" i="22" s="1"/>
  <c r="N99" i="22"/>
  <c r="G99" i="22" s="1"/>
  <c r="AB89" i="4"/>
  <c r="Z89" i="8" s="1"/>
  <c r="M89" i="8" s="1"/>
  <c r="AB165" i="4"/>
  <c r="Z165" i="8" s="1"/>
  <c r="M165" i="8" s="1"/>
  <c r="AB175" i="4"/>
  <c r="Z175" i="8" s="1"/>
  <c r="M175" i="8" s="1"/>
  <c r="AB92" i="4"/>
  <c r="Z92" i="8" s="1"/>
  <c r="M92" i="8" s="1"/>
  <c r="AB104" i="4"/>
  <c r="Z104" i="8" s="1"/>
  <c r="M104" i="8" s="1"/>
  <c r="N12" i="22"/>
  <c r="G12" i="22" s="1"/>
  <c r="N13" i="22"/>
  <c r="G13" i="22" s="1"/>
  <c r="AB84" i="4"/>
  <c r="Z84" i="8" s="1"/>
  <c r="M84" i="8" s="1"/>
  <c r="N102" i="22"/>
  <c r="AB102" i="4" s="1"/>
  <c r="Z102" i="8" s="1"/>
  <c r="N101" i="22"/>
  <c r="G101" i="22" s="1"/>
  <c r="N98" i="22"/>
  <c r="AB98" i="4" s="1"/>
  <c r="Z98" i="8" s="1"/>
  <c r="AB88" i="4"/>
  <c r="Z88" i="8" s="1"/>
  <c r="M88" i="8" s="1"/>
  <c r="N63" i="22"/>
  <c r="AB63" i="4" s="1"/>
  <c r="Z63" i="8" s="1"/>
  <c r="N67" i="22"/>
  <c r="AB67" i="4" s="1"/>
  <c r="Z67" i="8" s="1"/>
  <c r="N71" i="22"/>
  <c r="AB71" i="4" s="1"/>
  <c r="Z71" i="8" s="1"/>
  <c r="AB95" i="4"/>
  <c r="Z95" i="8" s="1"/>
  <c r="M95" i="8" s="1"/>
  <c r="N78" i="22"/>
  <c r="G78" i="22" s="1"/>
  <c r="N77" i="22"/>
  <c r="G77" i="22" s="1"/>
  <c r="AB149" i="4"/>
  <c r="Z149" i="8" s="1"/>
  <c r="M149" i="8" s="1"/>
  <c r="AB151" i="4"/>
  <c r="Z151" i="8" s="1"/>
  <c r="M151" i="8" s="1"/>
  <c r="N170" i="22"/>
  <c r="AB170" i="4" s="1"/>
  <c r="Z170" i="8" s="1"/>
  <c r="N174" i="22"/>
  <c r="AB174" i="4" s="1"/>
  <c r="Z174" i="8" s="1"/>
  <c r="N178" i="22"/>
  <c r="AB178" i="4" s="1"/>
  <c r="Z178" i="8" s="1"/>
  <c r="AB56" i="4"/>
  <c r="Z56" i="8" s="1"/>
  <c r="M56" i="8" s="1"/>
  <c r="AB128" i="4"/>
  <c r="Z128" i="8" s="1"/>
  <c r="M128" i="8" s="1"/>
  <c r="AB18" i="4"/>
  <c r="Z18" i="8" s="1"/>
  <c r="M18" i="8" s="1"/>
  <c r="AB69" i="4"/>
  <c r="Z69" i="8" s="1"/>
  <c r="M69" i="8" s="1"/>
  <c r="N35" i="22"/>
  <c r="AB35" i="4" s="1"/>
  <c r="Z35" i="8" s="1"/>
  <c r="N43" i="22"/>
  <c r="G43" i="22" s="1"/>
  <c r="N46" i="22"/>
  <c r="G46" i="22" s="1"/>
  <c r="N39" i="22"/>
  <c r="AB39" i="4" s="1"/>
  <c r="Z39" i="8" s="1"/>
  <c r="AB110" i="4"/>
  <c r="Z110" i="8" s="1"/>
  <c r="M110" i="8" s="1"/>
  <c r="N30" i="22"/>
  <c r="G30" i="22" s="1"/>
  <c r="N31" i="22"/>
  <c r="AB31" i="4" s="1"/>
  <c r="Z31" i="8" s="1"/>
  <c r="N21" i="22"/>
  <c r="AB21" i="4" s="1"/>
  <c r="Z21" i="8" s="1"/>
  <c r="AB41" i="4"/>
  <c r="Z41" i="8" s="1"/>
  <c r="M41" i="8" s="1"/>
  <c r="AB103" i="4"/>
  <c r="Z103" i="8" s="1"/>
  <c r="M103" i="8" s="1"/>
  <c r="AB106" i="4"/>
  <c r="Z106" i="8" s="1"/>
  <c r="M106" i="8" s="1"/>
  <c r="N53" i="22"/>
  <c r="AB53" i="4" s="1"/>
  <c r="Z53" i="8" s="1"/>
  <c r="N58" i="22"/>
  <c r="AB58" i="4" s="1"/>
  <c r="Z58" i="8" s="1"/>
  <c r="N48" i="22"/>
  <c r="AB48" i="4" s="1"/>
  <c r="Z48" i="8" s="1"/>
  <c r="AB82" i="4"/>
  <c r="Z82" i="8" s="1"/>
  <c r="M82" i="8" s="1"/>
  <c r="AB85" i="4"/>
  <c r="Z85" i="8" s="1"/>
  <c r="M85" i="8" s="1"/>
  <c r="AB87" i="4"/>
  <c r="Z87" i="8" s="1"/>
  <c r="M87" i="8" s="1"/>
  <c r="N141" i="22"/>
  <c r="AB141" i="4" s="1"/>
  <c r="Z141" i="8" s="1"/>
  <c r="N153" i="22"/>
  <c r="AB153" i="4" s="1"/>
  <c r="Z153" i="8" s="1"/>
  <c r="N146" i="22"/>
  <c r="AB146" i="4" s="1"/>
  <c r="Z146" i="8" s="1"/>
  <c r="AB167" i="4"/>
  <c r="Z167" i="8" s="1"/>
  <c r="M167" i="8" s="1"/>
  <c r="AB176" i="4"/>
  <c r="Z176" i="8" s="1"/>
  <c r="M176" i="8" s="1"/>
  <c r="AB147" i="4"/>
  <c r="Z147" i="8" s="1"/>
  <c r="M147" i="8" s="1"/>
  <c r="AB54" i="4"/>
  <c r="Z54" i="8" s="1"/>
  <c r="M54" i="8" s="1"/>
  <c r="AB130" i="4"/>
  <c r="Z130" i="8" s="1"/>
  <c r="M130" i="8" s="1"/>
  <c r="AB16" i="4"/>
  <c r="Z16" i="8" s="1"/>
  <c r="M16" i="8" s="1"/>
  <c r="AB70" i="4"/>
  <c r="Z70" i="8" s="1"/>
  <c r="M70" i="8" s="1"/>
  <c r="AB111" i="4"/>
  <c r="Z111" i="8" s="1"/>
  <c r="M111" i="8" s="1"/>
  <c r="AB166" i="4"/>
  <c r="Z166" i="8" s="1"/>
  <c r="M166" i="8" s="1"/>
  <c r="AB91" i="4"/>
  <c r="Z91" i="8" s="1"/>
  <c r="M91" i="8" s="1"/>
  <c r="AB94" i="4"/>
  <c r="Z94" i="8" s="1"/>
  <c r="M94" i="8" s="1"/>
  <c r="N90" i="22"/>
  <c r="AB90" i="4" s="1"/>
  <c r="Z90" i="8" s="1"/>
  <c r="N76" i="22"/>
  <c r="AB76" i="4" s="1"/>
  <c r="Z76" i="8" s="1"/>
  <c r="N86" i="22"/>
  <c r="AB86" i="4" s="1"/>
  <c r="Z86" i="8" s="1"/>
  <c r="M86" i="8" s="1"/>
  <c r="N79" i="22"/>
  <c r="AB79" i="4" s="1"/>
  <c r="Z79" i="8" s="1"/>
  <c r="AB152" i="4"/>
  <c r="Z152" i="8" s="1"/>
  <c r="M152" i="8" s="1"/>
  <c r="AB148" i="4"/>
  <c r="Z148" i="8" s="1"/>
  <c r="M148" i="8" s="1"/>
  <c r="AB55" i="4"/>
  <c r="Z55" i="8" s="1"/>
  <c r="M55" i="8" s="1"/>
  <c r="AB129" i="4"/>
  <c r="Z129" i="8" s="1"/>
  <c r="M129" i="8" s="1"/>
  <c r="AB131" i="4"/>
  <c r="Z131" i="8" s="1"/>
  <c r="M131" i="8" s="1"/>
  <c r="AB17" i="4"/>
  <c r="Z17" i="8" s="1"/>
  <c r="M17" i="8" s="1"/>
  <c r="AB68" i="4"/>
  <c r="Z68" i="8" s="1"/>
  <c r="M68" i="8" s="1"/>
  <c r="N37" i="22"/>
  <c r="G37" i="22" s="1"/>
  <c r="N38" i="22"/>
  <c r="G38" i="22" s="1"/>
  <c r="N36" i="22"/>
  <c r="G36" i="22" s="1"/>
  <c r="AB154" i="4"/>
  <c r="Z154" i="8" s="1"/>
  <c r="M154" i="8" s="1"/>
  <c r="AB162" i="4"/>
  <c r="Z162" i="8" s="1"/>
  <c r="M162" i="8" s="1"/>
  <c r="AB40" i="4"/>
  <c r="Z40" i="8" s="1"/>
  <c r="M40" i="8" s="1"/>
  <c r="AB108" i="4"/>
  <c r="Z108" i="8" s="1"/>
  <c r="M108" i="8" s="1"/>
  <c r="N14" i="22"/>
  <c r="AB14" i="4" s="1"/>
  <c r="Z14" i="8" s="1"/>
  <c r="N19" i="22"/>
  <c r="G19" i="22" s="1"/>
  <c r="AB11" i="4"/>
  <c r="Z11" i="8" s="1"/>
  <c r="M11" i="8" s="1"/>
  <c r="N51" i="22"/>
  <c r="G51" i="22" s="1"/>
  <c r="N49" i="22"/>
  <c r="G49" i="22" s="1"/>
  <c r="N50" i="22"/>
  <c r="G50" i="22" s="1"/>
  <c r="N52" i="22"/>
  <c r="G52" i="22" s="1"/>
  <c r="AB80" i="4"/>
  <c r="Z80" i="8" s="1"/>
  <c r="M80" i="8" s="1"/>
  <c r="AB81" i="4"/>
  <c r="Z81" i="8" s="1"/>
  <c r="M81" i="8" s="1"/>
  <c r="N169" i="22"/>
  <c r="AB169" i="4" s="1"/>
  <c r="Z169" i="8" s="1"/>
  <c r="N161" i="22"/>
  <c r="AB161" i="4" s="1"/>
  <c r="Z161" i="8" s="1"/>
  <c r="N160" i="22"/>
  <c r="AB168" i="4"/>
  <c r="Z168" i="8" s="1"/>
  <c r="M168" i="8" s="1"/>
  <c r="N64" i="22"/>
  <c r="G64" i="22" s="1"/>
  <c r="N65" i="22"/>
  <c r="G65" i="22" s="1"/>
  <c r="N66" i="22"/>
  <c r="G66" i="22" s="1"/>
  <c r="AB177" i="4"/>
  <c r="Z177" i="8" s="1"/>
  <c r="M177" i="8" s="1"/>
  <c r="W121" i="8"/>
  <c r="K121" i="47" s="1"/>
  <c r="G121" i="47" s="1"/>
  <c r="I119" i="47" s="1"/>
  <c r="AF48" i="8"/>
  <c r="L48" i="8" s="1"/>
  <c r="AA53" i="8"/>
  <c r="L53" i="47" s="1"/>
  <c r="H53" i="47" s="1"/>
  <c r="P53" i="8"/>
  <c r="AJ35" i="8"/>
  <c r="AF102" i="8"/>
  <c r="L102" i="8" s="1"/>
  <c r="AJ146" i="8"/>
  <c r="AA146" i="8" s="1"/>
  <c r="L146" i="47" s="1"/>
  <c r="H146" i="47" s="1"/>
  <c r="AF21" i="8"/>
  <c r="W21" i="8" s="1"/>
  <c r="K21" i="47" s="1"/>
  <c r="G21" i="47" s="1"/>
  <c r="W178" i="8"/>
  <c r="K178" i="47" s="1"/>
  <c r="G178" i="47" s="1"/>
  <c r="L14" i="8"/>
  <c r="L11" i="8"/>
  <c r="W67" i="8"/>
  <c r="K67" i="47" s="1"/>
  <c r="G67" i="47" s="1"/>
  <c r="AL113" i="4"/>
  <c r="L71" i="8"/>
  <c r="AJ14" i="8"/>
  <c r="W35" i="8"/>
  <c r="K35" i="47" s="1"/>
  <c r="G35" i="47" s="1"/>
  <c r="W63" i="8"/>
  <c r="K63" i="47" s="1"/>
  <c r="G63" i="47" s="1"/>
  <c r="L58" i="8"/>
  <c r="AJ98" i="8"/>
  <c r="AL180" i="4"/>
  <c r="S180" i="8" s="1"/>
  <c r="AJ39" i="8"/>
  <c r="AF143" i="8"/>
  <c r="AF98" i="8"/>
  <c r="W98" i="8" s="1"/>
  <c r="K98" i="47" s="1"/>
  <c r="G98" i="47" s="1"/>
  <c r="AF164" i="8"/>
  <c r="L164" i="8" s="1"/>
  <c r="AJ71" i="8"/>
  <c r="AA71" i="8" s="1"/>
  <c r="L71" i="47" s="1"/>
  <c r="H71" i="47" s="1"/>
  <c r="AJ143" i="8"/>
  <c r="AA143" i="8" s="1"/>
  <c r="L143" i="47" s="1"/>
  <c r="H143" i="47" s="1"/>
  <c r="J141" i="47" s="1"/>
  <c r="AL117" i="4"/>
  <c r="AM117" i="8" s="1"/>
  <c r="AL159" i="4"/>
  <c r="AM159" i="8" s="1"/>
  <c r="AL140" i="4"/>
  <c r="AM140" i="8" s="1"/>
  <c r="AI52" i="4"/>
  <c r="AD52" i="8" s="1"/>
  <c r="Q52" i="8" s="1"/>
  <c r="AI38" i="4"/>
  <c r="AD38" i="8" s="1"/>
  <c r="Q38" i="8" s="1"/>
  <c r="AI65" i="4"/>
  <c r="AD65" i="8" s="1"/>
  <c r="Q65" i="8" s="1"/>
  <c r="AJ164" i="8"/>
  <c r="AA164" i="8" s="1"/>
  <c r="L164" i="47" s="1"/>
  <c r="H164" i="47" s="1"/>
  <c r="J161" i="47" s="1"/>
  <c r="AI29" i="4"/>
  <c r="AD29" i="8" s="1"/>
  <c r="Q29" i="8" s="1"/>
  <c r="AI22" i="4"/>
  <c r="AD22" i="8" s="1"/>
  <c r="Q22" i="8" s="1"/>
  <c r="AI19" i="4"/>
  <c r="AD19" i="8" s="1"/>
  <c r="Q19" i="8" s="1"/>
  <c r="AJ174" i="8"/>
  <c r="AA174" i="8" s="1"/>
  <c r="L174" i="47" s="1"/>
  <c r="H174" i="47" s="1"/>
  <c r="AJ48" i="8"/>
  <c r="P48" i="8" s="1"/>
  <c r="AF79" i="8"/>
  <c r="AJ67" i="8"/>
  <c r="AI173" i="4"/>
  <c r="AD173" i="8" s="1"/>
  <c r="Q173" i="8" s="1"/>
  <c r="AJ86" i="8"/>
  <c r="AA86" i="8" s="1"/>
  <c r="L86" i="47" s="1"/>
  <c r="H86" i="47" s="1"/>
  <c r="AI30" i="4"/>
  <c r="AD30" i="8" s="1"/>
  <c r="Q30" i="8" s="1"/>
  <c r="AA112" i="8"/>
  <c r="L112" i="47" s="1"/>
  <c r="H112" i="47" s="1"/>
  <c r="J109" i="47" s="1"/>
  <c r="AN112" i="8"/>
  <c r="T112" i="8" s="1"/>
  <c r="W112" i="8"/>
  <c r="K112" i="47" s="1"/>
  <c r="G112" i="47" s="1"/>
  <c r="I109" i="47" s="1"/>
  <c r="L112" i="8"/>
  <c r="AL33" i="4"/>
  <c r="AL32" i="4"/>
  <c r="W86" i="8"/>
  <c r="K86" i="47" s="1"/>
  <c r="G86" i="47" s="1"/>
  <c r="L86" i="8"/>
  <c r="W174" i="8"/>
  <c r="K174" i="47" s="1"/>
  <c r="G174" i="47" s="1"/>
  <c r="L174" i="8"/>
  <c r="AJ178" i="8"/>
  <c r="AA178" i="8" s="1"/>
  <c r="L178" i="47" s="1"/>
  <c r="H178" i="47" s="1"/>
  <c r="AI50" i="4"/>
  <c r="AD50" i="8" s="1"/>
  <c r="Q50" i="8" s="1"/>
  <c r="AI26" i="4"/>
  <c r="AD26" i="8" s="1"/>
  <c r="Q26" i="8" s="1"/>
  <c r="AF90" i="8"/>
  <c r="AJ79" i="8"/>
  <c r="AA79" i="8" s="1"/>
  <c r="L79" i="47" s="1"/>
  <c r="H79" i="47" s="1"/>
  <c r="AI100" i="4"/>
  <c r="AD100" i="8" s="1"/>
  <c r="Q100" i="8" s="1"/>
  <c r="AI43" i="4"/>
  <c r="AD43" i="8" s="1"/>
  <c r="Q43" i="8" s="1"/>
  <c r="S62" i="11"/>
  <c r="T62" i="11" s="1"/>
  <c r="S59" i="10"/>
  <c r="T59" i="10" s="1"/>
  <c r="AI66" i="4"/>
  <c r="AD66" i="8" s="1"/>
  <c r="Q66" i="8" s="1"/>
  <c r="AI27" i="4"/>
  <c r="AD27" i="8" s="1"/>
  <c r="Q27" i="8" s="1"/>
  <c r="AI25" i="4"/>
  <c r="AD25" i="8" s="1"/>
  <c r="Q25" i="8" s="1"/>
  <c r="AI101" i="4"/>
  <c r="AD101" i="8" s="1"/>
  <c r="Q101" i="8" s="1"/>
  <c r="AI172" i="4"/>
  <c r="AD172" i="8" s="1"/>
  <c r="Q172" i="8" s="1"/>
  <c r="AI78" i="4"/>
  <c r="AD78" i="8" s="1"/>
  <c r="Q78" i="8" s="1"/>
  <c r="W170" i="8"/>
  <c r="K170" i="47" s="1"/>
  <c r="G170" i="47" s="1"/>
  <c r="L170" i="8"/>
  <c r="AF31" i="8"/>
  <c r="AI49" i="4"/>
  <c r="AD49" i="8" s="1"/>
  <c r="Q49" i="8" s="1"/>
  <c r="AM179" i="8"/>
  <c r="S179" i="8"/>
  <c r="AI36" i="4"/>
  <c r="AD36" i="8" s="1"/>
  <c r="Q36" i="8" s="1"/>
  <c r="W155" i="8"/>
  <c r="K155" i="47" s="1"/>
  <c r="G155" i="47" s="1"/>
  <c r="I153" i="47" s="1"/>
  <c r="L155" i="8"/>
  <c r="AI12" i="4"/>
  <c r="AD12" i="8" s="1"/>
  <c r="Q12" i="8" s="1"/>
  <c r="AI24" i="4"/>
  <c r="AD24" i="8" s="1"/>
  <c r="Q24" i="8" s="1"/>
  <c r="AA170" i="8"/>
  <c r="L170" i="47" s="1"/>
  <c r="H170" i="47" s="1"/>
  <c r="AJ21" i="8"/>
  <c r="P21" i="8" s="1"/>
  <c r="W39" i="8"/>
  <c r="K39" i="47" s="1"/>
  <c r="G39" i="47" s="1"/>
  <c r="L39" i="8"/>
  <c r="AI13" i="4"/>
  <c r="AD13" i="8" s="1"/>
  <c r="Q13" i="8" s="1"/>
  <c r="AI99" i="4"/>
  <c r="AD99" i="8" s="1"/>
  <c r="Q99" i="8" s="1"/>
  <c r="S59" i="9"/>
  <c r="T59" i="9" s="1"/>
  <c r="U62" i="11"/>
  <c r="V62" i="11" s="1"/>
  <c r="AI46" i="4"/>
  <c r="AD46" i="8" s="1"/>
  <c r="Q46" i="8" s="1"/>
  <c r="AF53" i="8"/>
  <c r="AI64" i="4"/>
  <c r="AD64" i="8" s="1"/>
  <c r="Q64" i="8" s="1"/>
  <c r="AI23" i="4"/>
  <c r="AD23" i="8" s="1"/>
  <c r="Q23" i="8" s="1"/>
  <c r="AI28" i="4"/>
  <c r="AD28" i="8" s="1"/>
  <c r="Q28" i="8" s="1"/>
  <c r="AJ63" i="8"/>
  <c r="P63" i="8" s="1"/>
  <c r="AJ102" i="8"/>
  <c r="AA102" i="8" s="1"/>
  <c r="L102" i="47" s="1"/>
  <c r="H102" i="47" s="1"/>
  <c r="AI171" i="4"/>
  <c r="AD171" i="8" s="1"/>
  <c r="Q171" i="8" s="1"/>
  <c r="AI77" i="4"/>
  <c r="AD77" i="8" s="1"/>
  <c r="Q77" i="8" s="1"/>
  <c r="AA121" i="8"/>
  <c r="L121" i="47" s="1"/>
  <c r="H121" i="47" s="1"/>
  <c r="J119" i="47" s="1"/>
  <c r="AI51" i="4"/>
  <c r="AD51" i="8" s="1"/>
  <c r="Q51" i="8" s="1"/>
  <c r="AI37" i="4"/>
  <c r="AD37" i="8" s="1"/>
  <c r="Q37" i="8" s="1"/>
  <c r="D158" i="22" l="1"/>
  <c r="D72" i="22"/>
  <c r="AE72" i="4" s="1"/>
  <c r="E172" i="22"/>
  <c r="D32" i="22"/>
  <c r="AE32" i="4" s="1"/>
  <c r="AI32" i="8" s="1"/>
  <c r="D179" i="22"/>
  <c r="AE179" i="4" s="1"/>
  <c r="O179" i="8" s="1"/>
  <c r="E173" i="22"/>
  <c r="D60" i="22"/>
  <c r="D177" i="22"/>
  <c r="I170" i="22"/>
  <c r="D171" i="22" s="1"/>
  <c r="D166" i="22"/>
  <c r="D167" i="22"/>
  <c r="D157" i="22"/>
  <c r="AE157" i="4" s="1"/>
  <c r="E78" i="22"/>
  <c r="I76" i="22"/>
  <c r="D77" i="22" s="1"/>
  <c r="D176" i="22"/>
  <c r="D165" i="22"/>
  <c r="E136" i="22"/>
  <c r="AL136" i="4" s="1"/>
  <c r="E135" i="22"/>
  <c r="AL135" i="4" s="1"/>
  <c r="AB136" i="4"/>
  <c r="Z136" i="8" s="1"/>
  <c r="M136" i="8" s="1"/>
  <c r="G136" i="22"/>
  <c r="AM138" i="8"/>
  <c r="S138" i="8"/>
  <c r="D103" i="22"/>
  <c r="D106" i="22"/>
  <c r="D105" i="22"/>
  <c r="D108" i="22"/>
  <c r="D104" i="22"/>
  <c r="D107" i="22"/>
  <c r="D91" i="22"/>
  <c r="D94" i="22"/>
  <c r="D93" i="22"/>
  <c r="D92" i="22"/>
  <c r="D95" i="22"/>
  <c r="D15" i="22"/>
  <c r="D18" i="22"/>
  <c r="D16" i="22"/>
  <c r="D17" i="22"/>
  <c r="E37" i="22"/>
  <c r="E38" i="22"/>
  <c r="E36" i="22"/>
  <c r="E100" i="22"/>
  <c r="E99" i="22"/>
  <c r="I63" i="22"/>
  <c r="AB137" i="4"/>
  <c r="Z137" i="8" s="1"/>
  <c r="M137" i="8" s="1"/>
  <c r="G135" i="22"/>
  <c r="AB135" i="4"/>
  <c r="Z135" i="8" s="1"/>
  <c r="M135" i="8" s="1"/>
  <c r="AM139" i="8"/>
  <c r="S139" i="8"/>
  <c r="D114" i="22"/>
  <c r="AE114" i="4" s="1"/>
  <c r="D113" i="22"/>
  <c r="D82" i="22"/>
  <c r="D89" i="22"/>
  <c r="D84" i="22"/>
  <c r="D81" i="22"/>
  <c r="D83" i="22"/>
  <c r="D87" i="22"/>
  <c r="D85" i="22"/>
  <c r="D88" i="22"/>
  <c r="D80" i="22"/>
  <c r="I35" i="22"/>
  <c r="I98" i="22"/>
  <c r="D69" i="22"/>
  <c r="D68" i="22"/>
  <c r="D70" i="22"/>
  <c r="E167" i="22"/>
  <c r="AL167" i="4" s="1"/>
  <c r="S167" i="8" s="1"/>
  <c r="E165" i="22"/>
  <c r="AL165" i="4" s="1"/>
  <c r="AM165" i="8" s="1"/>
  <c r="E168" i="22"/>
  <c r="AL168" i="4" s="1"/>
  <c r="AM168" i="8" s="1"/>
  <c r="E166" i="22"/>
  <c r="AL166" i="4" s="1"/>
  <c r="AM166" i="8" s="1"/>
  <c r="D138" i="22"/>
  <c r="AE138" i="4" s="1"/>
  <c r="D139" i="22"/>
  <c r="AE139" i="4" s="1"/>
  <c r="D150" i="22"/>
  <c r="D152" i="22"/>
  <c r="D148" i="22"/>
  <c r="D149" i="22"/>
  <c r="D151" i="22"/>
  <c r="D147" i="22"/>
  <c r="E65" i="22"/>
  <c r="E64" i="22"/>
  <c r="AL64" i="4" s="1"/>
  <c r="E66" i="22"/>
  <c r="N74" i="59"/>
  <c r="I118" i="60" s="1"/>
  <c r="Z134" i="8"/>
  <c r="D42" i="22"/>
  <c r="AE42" i="4" s="1"/>
  <c r="AI42" i="8" s="1"/>
  <c r="D40" i="22"/>
  <c r="D41" i="22"/>
  <c r="D56" i="22"/>
  <c r="D54" i="22"/>
  <c r="D57" i="22"/>
  <c r="D55" i="22"/>
  <c r="I48" i="22"/>
  <c r="E51" i="22"/>
  <c r="E50" i="22"/>
  <c r="E49" i="22"/>
  <c r="E52" i="22"/>
  <c r="I21" i="22"/>
  <c r="E27" i="22"/>
  <c r="E23" i="22"/>
  <c r="E25" i="22"/>
  <c r="E28" i="22"/>
  <c r="E22" i="22"/>
  <c r="E29" i="22"/>
  <c r="AL29" i="4" s="1"/>
  <c r="E24" i="22"/>
  <c r="E26" i="22"/>
  <c r="I133" i="47"/>
  <c r="E134" i="47"/>
  <c r="AJ134" i="4" s="1"/>
  <c r="E137" i="47"/>
  <c r="AJ137" i="4" s="1"/>
  <c r="J75" i="47"/>
  <c r="E90" i="47" s="1"/>
  <c r="D144" i="22"/>
  <c r="AE144" i="4" s="1"/>
  <c r="AB123" i="4"/>
  <c r="Z123" i="8" s="1"/>
  <c r="M123" i="8" s="1"/>
  <c r="D121" i="47"/>
  <c r="D120" i="47"/>
  <c r="I169" i="47"/>
  <c r="J169" i="47"/>
  <c r="D155" i="47"/>
  <c r="AC155" i="4" s="1"/>
  <c r="D154" i="47"/>
  <c r="AC154" i="4" s="1"/>
  <c r="E142" i="47"/>
  <c r="E143" i="47"/>
  <c r="I34" i="47"/>
  <c r="E111" i="47"/>
  <c r="AJ111" i="4" s="1"/>
  <c r="E112" i="47"/>
  <c r="AJ112" i="4" s="1"/>
  <c r="E110" i="47"/>
  <c r="AJ110" i="4" s="1"/>
  <c r="E164" i="47"/>
  <c r="AJ164" i="4" s="1"/>
  <c r="E162" i="47"/>
  <c r="AJ162" i="4" s="1"/>
  <c r="E163" i="47"/>
  <c r="AJ163" i="4" s="1"/>
  <c r="E120" i="47"/>
  <c r="AJ120" i="4" s="1"/>
  <c r="E121" i="47"/>
  <c r="AJ121" i="4" s="1"/>
  <c r="D112" i="47"/>
  <c r="AC112" i="4" s="1"/>
  <c r="D111" i="47"/>
  <c r="AC111" i="4" s="1"/>
  <c r="D110" i="47"/>
  <c r="AC110" i="4" s="1"/>
  <c r="I62" i="47"/>
  <c r="W143" i="8"/>
  <c r="K143" i="47" s="1"/>
  <c r="G143" i="47" s="1"/>
  <c r="I141" i="47" s="1"/>
  <c r="L143" i="8"/>
  <c r="D131" i="22"/>
  <c r="D130" i="22"/>
  <c r="D129" i="22"/>
  <c r="D128" i="22"/>
  <c r="D127" i="22"/>
  <c r="I11" i="22"/>
  <c r="E13" i="22"/>
  <c r="AL13" i="4" s="1"/>
  <c r="E12" i="22"/>
  <c r="K103" i="55"/>
  <c r="K10" i="55"/>
  <c r="AM167" i="8"/>
  <c r="AE73" i="4"/>
  <c r="O74" i="8"/>
  <c r="AE156" i="4"/>
  <c r="AE158" i="4"/>
  <c r="W102" i="8"/>
  <c r="K102" i="47" s="1"/>
  <c r="G102" i="47" s="1"/>
  <c r="I97" i="47" s="1"/>
  <c r="AB43" i="4"/>
  <c r="Z43" i="8" s="1"/>
  <c r="M43" i="8" s="1"/>
  <c r="AB27" i="4"/>
  <c r="Z27" i="8" s="1"/>
  <c r="M27" i="8" s="1"/>
  <c r="AB66" i="4"/>
  <c r="Z66" i="8" s="1"/>
  <c r="M66" i="8" s="1"/>
  <c r="AB52" i="4"/>
  <c r="Z52" i="8" s="1"/>
  <c r="M52" i="8" s="1"/>
  <c r="AB38" i="4"/>
  <c r="Z38" i="8" s="1"/>
  <c r="M38" i="8" s="1"/>
  <c r="AB77" i="4"/>
  <c r="Z77" i="8" s="1"/>
  <c r="M77" i="8" s="1"/>
  <c r="AB28" i="4"/>
  <c r="Z28" i="8" s="1"/>
  <c r="M28" i="8" s="1"/>
  <c r="AB24" i="4"/>
  <c r="Z24" i="8" s="1"/>
  <c r="M24" i="8" s="1"/>
  <c r="AB171" i="4"/>
  <c r="Z171" i="8" s="1"/>
  <c r="M171" i="8" s="1"/>
  <c r="AB29" i="4"/>
  <c r="Z29" i="8" s="1"/>
  <c r="M29" i="8" s="1"/>
  <c r="AB65" i="4"/>
  <c r="Z65" i="8" s="1"/>
  <c r="M65" i="8" s="1"/>
  <c r="AB160" i="4"/>
  <c r="Z160" i="8" s="1"/>
  <c r="AB50" i="4"/>
  <c r="Z50" i="8" s="1"/>
  <c r="M50" i="8" s="1"/>
  <c r="AB19" i="4"/>
  <c r="Z19" i="8" s="1"/>
  <c r="M19" i="8" s="1"/>
  <c r="AB37" i="4"/>
  <c r="Z37" i="8" s="1"/>
  <c r="M37" i="8" s="1"/>
  <c r="AB78" i="4"/>
  <c r="Z78" i="8" s="1"/>
  <c r="M78" i="8" s="1"/>
  <c r="AB23" i="4"/>
  <c r="Z23" i="8" s="1"/>
  <c r="M23" i="8" s="1"/>
  <c r="AB25" i="4"/>
  <c r="Z25" i="8" s="1"/>
  <c r="M25" i="8" s="1"/>
  <c r="AB173" i="4"/>
  <c r="Z173" i="8" s="1"/>
  <c r="M173" i="8" s="1"/>
  <c r="AB51" i="4"/>
  <c r="Z51" i="8" s="1"/>
  <c r="M51" i="8" s="1"/>
  <c r="AB36" i="4"/>
  <c r="Z36" i="8" s="1"/>
  <c r="M36" i="8" s="1"/>
  <c r="AB12" i="4"/>
  <c r="Z12" i="8" s="1"/>
  <c r="M12" i="8" s="1"/>
  <c r="AB100" i="4"/>
  <c r="Z100" i="8" s="1"/>
  <c r="M100" i="8" s="1"/>
  <c r="AB64" i="4"/>
  <c r="Z64" i="8" s="1"/>
  <c r="M64" i="8" s="1"/>
  <c r="AB49" i="4"/>
  <c r="Z49" i="8" s="1"/>
  <c r="M49" i="8" s="1"/>
  <c r="AB30" i="4"/>
  <c r="Z30" i="8" s="1"/>
  <c r="M30" i="8" s="1"/>
  <c r="AB46" i="4"/>
  <c r="Z46" i="8" s="1"/>
  <c r="M46" i="8" s="1"/>
  <c r="AB101" i="4"/>
  <c r="Z101" i="8" s="1"/>
  <c r="M101" i="8" s="1"/>
  <c r="AB13" i="4"/>
  <c r="Z13" i="8" s="1"/>
  <c r="M13" i="8" s="1"/>
  <c r="AB99" i="4"/>
  <c r="Z99" i="8" s="1"/>
  <c r="M99" i="8" s="1"/>
  <c r="AB22" i="4"/>
  <c r="Z22" i="8" s="1"/>
  <c r="M22" i="8" s="1"/>
  <c r="AB26" i="4"/>
  <c r="Z26" i="8" s="1"/>
  <c r="M26" i="8" s="1"/>
  <c r="AB172" i="4"/>
  <c r="Z172" i="8" s="1"/>
  <c r="M172" i="8" s="1"/>
  <c r="W146" i="8"/>
  <c r="K146" i="47" s="1"/>
  <c r="G146" i="47" s="1"/>
  <c r="W48" i="8"/>
  <c r="K48" i="47" s="1"/>
  <c r="G48" i="47" s="1"/>
  <c r="AA98" i="8"/>
  <c r="L98" i="47" s="1"/>
  <c r="H98" i="47" s="1"/>
  <c r="J97" i="47" s="1"/>
  <c r="P98" i="8"/>
  <c r="AA67" i="8"/>
  <c r="L67" i="47" s="1"/>
  <c r="H67" i="47" s="1"/>
  <c r="P67" i="8"/>
  <c r="AA39" i="8"/>
  <c r="L39" i="47" s="1"/>
  <c r="H39" i="47" s="1"/>
  <c r="P39" i="8"/>
  <c r="AA11" i="8"/>
  <c r="L11" i="47" s="1"/>
  <c r="H11" i="47" s="1"/>
  <c r="AA35" i="8"/>
  <c r="L35" i="47" s="1"/>
  <c r="H35" i="47" s="1"/>
  <c r="P35" i="8"/>
  <c r="AA14" i="8"/>
  <c r="L14" i="47" s="1"/>
  <c r="H14" i="47" s="1"/>
  <c r="P14" i="8"/>
  <c r="AN146" i="8"/>
  <c r="T146" i="8" s="1"/>
  <c r="X63" i="11" s="1"/>
  <c r="Y63" i="11" s="1"/>
  <c r="L21" i="8"/>
  <c r="AL114" i="4"/>
  <c r="AM114" i="8" s="1"/>
  <c r="AL81" i="4"/>
  <c r="AM81" i="8" s="1"/>
  <c r="L98" i="8"/>
  <c r="AL18" i="4"/>
  <c r="S18" i="8" s="1"/>
  <c r="AM180" i="8"/>
  <c r="AK178" i="8" s="1"/>
  <c r="AB178" i="8" s="1"/>
  <c r="L178" i="22" s="1"/>
  <c r="H178" i="22" s="1"/>
  <c r="AL60" i="4"/>
  <c r="AM60" i="8" s="1"/>
  <c r="AL89" i="4"/>
  <c r="AM89" i="8" s="1"/>
  <c r="AL171" i="4"/>
  <c r="W164" i="8"/>
  <c r="K164" i="47" s="1"/>
  <c r="G164" i="47" s="1"/>
  <c r="I161" i="47" s="1"/>
  <c r="AL88" i="4"/>
  <c r="AM88" i="8" s="1"/>
  <c r="AL69" i="4"/>
  <c r="AM69" i="8" s="1"/>
  <c r="AL70" i="4"/>
  <c r="S70" i="8" s="1"/>
  <c r="AL16" i="4"/>
  <c r="AM16" i="8" s="1"/>
  <c r="AL15" i="4"/>
  <c r="AM15" i="8" s="1"/>
  <c r="AL82" i="4"/>
  <c r="S82" i="8" s="1"/>
  <c r="AL77" i="4"/>
  <c r="AL80" i="4"/>
  <c r="AM80" i="8" s="1"/>
  <c r="AL85" i="4"/>
  <c r="S85" i="8" s="1"/>
  <c r="AL84" i="4"/>
  <c r="AM84" i="8" s="1"/>
  <c r="S32" i="8"/>
  <c r="AM32" i="8"/>
  <c r="AL108" i="4"/>
  <c r="AL104" i="4"/>
  <c r="AL106" i="4"/>
  <c r="AL103" i="4"/>
  <c r="AL105" i="4"/>
  <c r="AL107" i="4"/>
  <c r="S68" i="8"/>
  <c r="AM68" i="8"/>
  <c r="AL155" i="8"/>
  <c r="R155" i="8"/>
  <c r="AM33" i="8"/>
  <c r="S33" i="8"/>
  <c r="W79" i="8"/>
  <c r="K79" i="47" s="1"/>
  <c r="G79" i="47" s="1"/>
  <c r="L79" i="8"/>
  <c r="AM87" i="8"/>
  <c r="S87" i="8"/>
  <c r="W90" i="8"/>
  <c r="K90" i="47" s="1"/>
  <c r="G90" i="47" s="1"/>
  <c r="L90" i="8"/>
  <c r="AC53" i="11"/>
  <c r="AD53" i="11" s="1"/>
  <c r="Y50" i="10"/>
  <c r="Z50" i="10" s="1"/>
  <c r="AL177" i="4"/>
  <c r="AL175" i="4"/>
  <c r="AL176" i="4"/>
  <c r="W53" i="8"/>
  <c r="K53" i="47" s="1"/>
  <c r="G53" i="47" s="1"/>
  <c r="L53" i="8"/>
  <c r="AA21" i="8"/>
  <c r="L21" i="47" s="1"/>
  <c r="H21" i="47" s="1"/>
  <c r="J20" i="47" s="1"/>
  <c r="AL144" i="4"/>
  <c r="AL145" i="4"/>
  <c r="AL130" i="4"/>
  <c r="S130" i="8" s="1"/>
  <c r="AL128" i="4"/>
  <c r="S128" i="8" s="1"/>
  <c r="AL129" i="4"/>
  <c r="S129" i="8" s="1"/>
  <c r="AL131" i="4"/>
  <c r="S131" i="8" s="1"/>
  <c r="AL127" i="4"/>
  <c r="S127" i="8" s="1"/>
  <c r="AL92" i="4"/>
  <c r="AL94" i="4"/>
  <c r="AL91" i="4"/>
  <c r="AL93" i="4"/>
  <c r="AL95" i="4"/>
  <c r="R154" i="8"/>
  <c r="AL154" i="8"/>
  <c r="AC19" i="4"/>
  <c r="AC14" i="4"/>
  <c r="AC11" i="4"/>
  <c r="AH11" i="8" s="1"/>
  <c r="AL54" i="4"/>
  <c r="AL56" i="4"/>
  <c r="AL55" i="4"/>
  <c r="AL57" i="4"/>
  <c r="AL40" i="4"/>
  <c r="AL42" i="4"/>
  <c r="AL41" i="4"/>
  <c r="AL149" i="4"/>
  <c r="AL150" i="4"/>
  <c r="AL151" i="4"/>
  <c r="AL147" i="4"/>
  <c r="AL148" i="4"/>
  <c r="AL152" i="4"/>
  <c r="AA48" i="8"/>
  <c r="L48" i="47" s="1"/>
  <c r="H48" i="47" s="1"/>
  <c r="J47" i="47" s="1"/>
  <c r="AA63" i="8"/>
  <c r="L63" i="47" s="1"/>
  <c r="H63" i="47" s="1"/>
  <c r="AL72" i="4"/>
  <c r="AL74" i="4"/>
  <c r="AL73" i="4"/>
  <c r="AM113" i="8"/>
  <c r="S113" i="8"/>
  <c r="AM83" i="8"/>
  <c r="S83" i="8"/>
  <c r="AM59" i="8"/>
  <c r="S59" i="8"/>
  <c r="W31" i="8"/>
  <c r="K31" i="47" s="1"/>
  <c r="G31" i="47" s="1"/>
  <c r="I20" i="47" s="1"/>
  <c r="L31" i="8"/>
  <c r="S17" i="8"/>
  <c r="AM17" i="8"/>
  <c r="AL156" i="4"/>
  <c r="AL157" i="4"/>
  <c r="AL158" i="4"/>
  <c r="S40" i="10"/>
  <c r="D172" i="22" l="1"/>
  <c r="D173" i="22"/>
  <c r="D78" i="22"/>
  <c r="I134" i="22"/>
  <c r="D135" i="22" s="1"/>
  <c r="AE135" i="4" s="1"/>
  <c r="L133" i="4"/>
  <c r="Q133" i="4" s="1"/>
  <c r="D99" i="22"/>
  <c r="D100" i="22"/>
  <c r="AE100" i="4" s="1"/>
  <c r="O100" i="8" s="1"/>
  <c r="AM135" i="8"/>
  <c r="S135" i="8"/>
  <c r="J10" i="47"/>
  <c r="E11" i="47" s="1"/>
  <c r="D38" i="22"/>
  <c r="D36" i="22"/>
  <c r="D37" i="22"/>
  <c r="AK137" i="8"/>
  <c r="AB137" i="8" s="1"/>
  <c r="L137" i="22" s="1"/>
  <c r="H137" i="22" s="1"/>
  <c r="AM136" i="8"/>
  <c r="S136" i="8"/>
  <c r="O139" i="8"/>
  <c r="AI139" i="8"/>
  <c r="D65" i="22"/>
  <c r="D66" i="22"/>
  <c r="D64" i="22"/>
  <c r="AI138" i="8"/>
  <c r="AG137" i="8" s="1"/>
  <c r="X137" i="8" s="1"/>
  <c r="K137" i="22" s="1"/>
  <c r="G137" i="22" s="1"/>
  <c r="O138" i="8"/>
  <c r="I125" i="60"/>
  <c r="E85" i="16" s="1"/>
  <c r="E88" i="16" s="1"/>
  <c r="E89" i="16" s="1"/>
  <c r="L118" i="60"/>
  <c r="L116" i="60" s="1"/>
  <c r="E46" i="15" s="1"/>
  <c r="U40" i="10" s="1"/>
  <c r="Y40" i="10" s="1"/>
  <c r="E86" i="47"/>
  <c r="AJ86" i="4" s="1"/>
  <c r="AL86" i="8" s="1"/>
  <c r="R133" i="4"/>
  <c r="R133" i="22" s="1"/>
  <c r="P117" i="22" s="1"/>
  <c r="D51" i="22"/>
  <c r="D50" i="22"/>
  <c r="AE50" i="4" s="1"/>
  <c r="O50" i="8" s="1"/>
  <c r="D49" i="22"/>
  <c r="D52" i="22"/>
  <c r="D29" i="22"/>
  <c r="D22" i="22"/>
  <c r="D23" i="22"/>
  <c r="D24" i="22"/>
  <c r="D25" i="22"/>
  <c r="D26" i="22"/>
  <c r="D28" i="22"/>
  <c r="D27" i="22"/>
  <c r="E79" i="47"/>
  <c r="AJ79" i="4" s="1"/>
  <c r="AL79" i="8" s="1"/>
  <c r="AL134" i="8"/>
  <c r="R134" i="8"/>
  <c r="E76" i="47"/>
  <c r="AJ76" i="4" s="1"/>
  <c r="R76" i="8" s="1"/>
  <c r="D137" i="47"/>
  <c r="AC137" i="4" s="1"/>
  <c r="D134" i="47"/>
  <c r="AC134" i="4" s="1"/>
  <c r="AL137" i="8"/>
  <c r="R137" i="8"/>
  <c r="E59" i="15"/>
  <c r="I75" i="47"/>
  <c r="J34" i="47"/>
  <c r="E43" i="47" s="1"/>
  <c r="AL120" i="8"/>
  <c r="R120" i="8"/>
  <c r="AL121" i="8"/>
  <c r="R121" i="8"/>
  <c r="D123" i="22"/>
  <c r="AE123" i="4" s="1"/>
  <c r="D122" i="22"/>
  <c r="AE122" i="4" s="1"/>
  <c r="D102" i="47"/>
  <c r="AC102" i="4" s="1"/>
  <c r="D101" i="47"/>
  <c r="AC101" i="4" s="1"/>
  <c r="D98" i="47"/>
  <c r="AC98" i="4" s="1"/>
  <c r="D21" i="47"/>
  <c r="AC21" i="4" s="1"/>
  <c r="D31" i="47"/>
  <c r="AC31" i="4" s="1"/>
  <c r="D30" i="47"/>
  <c r="AC30" i="4" s="1"/>
  <c r="J62" i="47"/>
  <c r="E21" i="47"/>
  <c r="AJ21" i="4" s="1"/>
  <c r="E31" i="47"/>
  <c r="AJ31" i="4" s="1"/>
  <c r="E30" i="47"/>
  <c r="AJ30" i="4" s="1"/>
  <c r="D67" i="47"/>
  <c r="AC67" i="4" s="1"/>
  <c r="N67" i="8" s="1"/>
  <c r="D71" i="47"/>
  <c r="AC71" i="4" s="1"/>
  <c r="N71" i="8" s="1"/>
  <c r="D63" i="47"/>
  <c r="AC63" i="4" s="1"/>
  <c r="AH63" i="8" s="1"/>
  <c r="E174" i="47"/>
  <c r="AJ174" i="4" s="1"/>
  <c r="E178" i="47"/>
  <c r="AJ178" i="4" s="1"/>
  <c r="E170" i="47"/>
  <c r="AJ170" i="4" s="1"/>
  <c r="AL170" i="8" s="1"/>
  <c r="I47" i="47"/>
  <c r="E58" i="47"/>
  <c r="AJ58" i="4" s="1"/>
  <c r="E53" i="47"/>
  <c r="AJ53" i="4" s="1"/>
  <c r="E48" i="47"/>
  <c r="AJ48" i="4" s="1"/>
  <c r="D43" i="47"/>
  <c r="AC43" i="4" s="1"/>
  <c r="AH43" i="8" s="1"/>
  <c r="D39" i="47"/>
  <c r="AC39" i="4" s="1"/>
  <c r="AH39" i="8" s="1"/>
  <c r="D35" i="47"/>
  <c r="AC35" i="4" s="1"/>
  <c r="AH35" i="8" s="1"/>
  <c r="D46" i="47"/>
  <c r="AC46" i="4" s="1"/>
  <c r="N46" i="8" s="1"/>
  <c r="D164" i="47"/>
  <c r="D163" i="47"/>
  <c r="D162" i="47"/>
  <c r="E101" i="47"/>
  <c r="AJ101" i="4" s="1"/>
  <c r="E98" i="47"/>
  <c r="AJ98" i="4" s="1"/>
  <c r="E102" i="47"/>
  <c r="AJ102" i="4" s="1"/>
  <c r="D143" i="47"/>
  <c r="AC143" i="4" s="1"/>
  <c r="AH143" i="8" s="1"/>
  <c r="D142" i="47"/>
  <c r="AC142" i="4" s="1"/>
  <c r="N142" i="8" s="1"/>
  <c r="D178" i="47"/>
  <c r="AC178" i="4" s="1"/>
  <c r="AH178" i="8" s="1"/>
  <c r="D170" i="47"/>
  <c r="AC170" i="4" s="1"/>
  <c r="AH170" i="8" s="1"/>
  <c r="D174" i="47"/>
  <c r="AC174" i="4" s="1"/>
  <c r="AH174" i="8" s="1"/>
  <c r="AC121" i="4"/>
  <c r="AC120" i="4"/>
  <c r="N120" i="8" s="1"/>
  <c r="AJ143" i="4"/>
  <c r="R143" i="8" s="1"/>
  <c r="AJ142" i="4"/>
  <c r="D12" i="22"/>
  <c r="D13" i="22"/>
  <c r="K11" i="55"/>
  <c r="K17" i="55"/>
  <c r="K13" i="55"/>
  <c r="K26" i="55"/>
  <c r="L26" i="55" s="1"/>
  <c r="R26" i="55" s="1"/>
  <c r="K16" i="55"/>
  <c r="L10" i="55"/>
  <c r="K12" i="55"/>
  <c r="K15" i="55"/>
  <c r="K18" i="55"/>
  <c r="K14" i="55"/>
  <c r="K111" i="55"/>
  <c r="L111" i="55" s="1"/>
  <c r="K110" i="55"/>
  <c r="L110" i="55" s="1"/>
  <c r="K107" i="55"/>
  <c r="L107" i="55" s="1"/>
  <c r="K106" i="55"/>
  <c r="L106" i="55" s="1"/>
  <c r="K109" i="55"/>
  <c r="L109" i="55" s="1"/>
  <c r="K108" i="55"/>
  <c r="L108" i="55" s="1"/>
  <c r="K105" i="55"/>
  <c r="L105" i="55" s="1"/>
  <c r="K104" i="55"/>
  <c r="L104" i="55" s="1"/>
  <c r="L103" i="55"/>
  <c r="AK164" i="8"/>
  <c r="AB164" i="8" s="1"/>
  <c r="L164" i="22" s="1"/>
  <c r="H164" i="22" s="1"/>
  <c r="J161" i="22" s="1"/>
  <c r="S168" i="8"/>
  <c r="AE33" i="4"/>
  <c r="O33" i="8" s="1"/>
  <c r="O32" i="8"/>
  <c r="AE41" i="4"/>
  <c r="O41" i="8" s="1"/>
  <c r="O42" i="8"/>
  <c r="S165" i="8"/>
  <c r="AI179" i="8"/>
  <c r="AE180" i="4"/>
  <c r="AI180" i="8" s="1"/>
  <c r="AE40" i="4"/>
  <c r="AI40" i="8" s="1"/>
  <c r="O73" i="8"/>
  <c r="AI73" i="8"/>
  <c r="O72" i="8"/>
  <c r="AI72" i="8"/>
  <c r="AE145" i="4"/>
  <c r="AI145" i="8" s="1"/>
  <c r="O158" i="8"/>
  <c r="AI158" i="8"/>
  <c r="S166" i="8"/>
  <c r="AE113" i="4"/>
  <c r="O156" i="8"/>
  <c r="AI156" i="8"/>
  <c r="O157" i="8"/>
  <c r="AI157" i="8"/>
  <c r="AI144" i="8"/>
  <c r="O144" i="8"/>
  <c r="O114" i="8"/>
  <c r="AI114" i="8"/>
  <c r="AE59" i="4"/>
  <c r="AE60" i="4"/>
  <c r="AE54" i="4"/>
  <c r="AE55" i="4"/>
  <c r="AE57" i="4"/>
  <c r="AE56" i="4"/>
  <c r="AE83" i="4"/>
  <c r="AE85" i="4"/>
  <c r="AE84" i="4"/>
  <c r="AE82" i="4"/>
  <c r="AE81" i="4"/>
  <c r="AE80" i="4"/>
  <c r="AE150" i="4"/>
  <c r="AE151" i="4"/>
  <c r="AE149" i="4"/>
  <c r="AE147" i="4"/>
  <c r="AE152" i="4"/>
  <c r="AE148" i="4"/>
  <c r="AE89" i="4"/>
  <c r="AE87" i="4"/>
  <c r="AE88" i="4"/>
  <c r="AE175" i="4"/>
  <c r="AE176" i="4"/>
  <c r="AE177" i="4"/>
  <c r="AE18" i="4"/>
  <c r="AE17" i="4"/>
  <c r="AE16" i="4"/>
  <c r="AE15" i="4"/>
  <c r="AE69" i="4"/>
  <c r="AE70" i="4"/>
  <c r="AE68" i="4"/>
  <c r="AE128" i="4"/>
  <c r="O128" i="8" s="1"/>
  <c r="AE129" i="4"/>
  <c r="O129" i="8" s="1"/>
  <c r="AE127" i="4"/>
  <c r="O127" i="8" s="1"/>
  <c r="AE131" i="4"/>
  <c r="O131" i="8" s="1"/>
  <c r="AE130" i="4"/>
  <c r="O130" i="8" s="1"/>
  <c r="AE103" i="4"/>
  <c r="AE105" i="4"/>
  <c r="AE106" i="4"/>
  <c r="AE104" i="4"/>
  <c r="AE108" i="4"/>
  <c r="AE107" i="4"/>
  <c r="AE167" i="4"/>
  <c r="AE166" i="4"/>
  <c r="AE168" i="4"/>
  <c r="AE165" i="4"/>
  <c r="AE92" i="4"/>
  <c r="AE94" i="4"/>
  <c r="AE95" i="4"/>
  <c r="AE91" i="4"/>
  <c r="AE93" i="4"/>
  <c r="W126" i="8"/>
  <c r="V60" i="10"/>
  <c r="W60" i="10" s="1"/>
  <c r="S81" i="8"/>
  <c r="AL100" i="4"/>
  <c r="S100" i="8" s="1"/>
  <c r="S114" i="8"/>
  <c r="AL66" i="4"/>
  <c r="AM66" i="8" s="1"/>
  <c r="AM82" i="8"/>
  <c r="AJ90" i="4"/>
  <c r="AL90" i="8" s="1"/>
  <c r="W125" i="8"/>
  <c r="K125" i="47" s="1"/>
  <c r="G125" i="47" s="1"/>
  <c r="AM18" i="8"/>
  <c r="AK14" i="8" s="1"/>
  <c r="S16" i="8"/>
  <c r="S60" i="8"/>
  <c r="AM70" i="8"/>
  <c r="AK67" i="8" s="1"/>
  <c r="S80" i="8"/>
  <c r="AL28" i="4"/>
  <c r="S28" i="8" s="1"/>
  <c r="S69" i="8"/>
  <c r="AL27" i="4"/>
  <c r="S27" i="8" s="1"/>
  <c r="S89" i="8"/>
  <c r="S84" i="8"/>
  <c r="AL173" i="4"/>
  <c r="S173" i="8" s="1"/>
  <c r="AL12" i="4"/>
  <c r="AM12" i="8" s="1"/>
  <c r="AJ153" i="8"/>
  <c r="AA153" i="8" s="1"/>
  <c r="L153" i="47" s="1"/>
  <c r="H153" i="47" s="1"/>
  <c r="AL172" i="4"/>
  <c r="AM172" i="8" s="1"/>
  <c r="S88" i="8"/>
  <c r="S15" i="8"/>
  <c r="AM85" i="8"/>
  <c r="AK112" i="8"/>
  <c r="AL99" i="4"/>
  <c r="S99" i="8" s="1"/>
  <c r="AL65" i="4"/>
  <c r="AM65" i="8" s="1"/>
  <c r="AL78" i="4"/>
  <c r="S78" i="8" s="1"/>
  <c r="AK58" i="8"/>
  <c r="AB58" i="8" s="1"/>
  <c r="L58" i="22" s="1"/>
  <c r="H58" i="22" s="1"/>
  <c r="AL26" i="4"/>
  <c r="S26" i="8" s="1"/>
  <c r="AL24" i="4"/>
  <c r="S24" i="8" s="1"/>
  <c r="AL23" i="4"/>
  <c r="S23" i="8" s="1"/>
  <c r="AL25" i="4"/>
  <c r="AM25" i="8" s="1"/>
  <c r="AK31" i="8"/>
  <c r="AL22" i="4"/>
  <c r="AM22" i="8" s="1"/>
  <c r="AM156" i="8"/>
  <c r="S156" i="8"/>
  <c r="AM73" i="8"/>
  <c r="S73" i="8"/>
  <c r="AM152" i="8"/>
  <c r="S152" i="8"/>
  <c r="AM54" i="8"/>
  <c r="S54" i="8"/>
  <c r="AM91" i="8"/>
  <c r="S91" i="8"/>
  <c r="AM129" i="8"/>
  <c r="AK86" i="8"/>
  <c r="AB86" i="8" s="1"/>
  <c r="L86" i="22" s="1"/>
  <c r="H86" i="22" s="1"/>
  <c r="S103" i="8"/>
  <c r="AM103" i="8"/>
  <c r="N111" i="8"/>
  <c r="AH111" i="8"/>
  <c r="AL36" i="4"/>
  <c r="AL38" i="4"/>
  <c r="AL37" i="4"/>
  <c r="AM74" i="8"/>
  <c r="S74" i="8"/>
  <c r="AM148" i="8"/>
  <c r="S148" i="8"/>
  <c r="AM149" i="8"/>
  <c r="S149" i="8"/>
  <c r="S40" i="8"/>
  <c r="AM40" i="8"/>
  <c r="S57" i="8"/>
  <c r="AM57" i="8"/>
  <c r="R162" i="8"/>
  <c r="AL162" i="8"/>
  <c r="N19" i="8"/>
  <c r="AH19" i="8"/>
  <c r="AM94" i="8"/>
  <c r="S94" i="8"/>
  <c r="AM128" i="8"/>
  <c r="AM145" i="8"/>
  <c r="S145" i="8"/>
  <c r="AM77" i="8"/>
  <c r="S77" i="8"/>
  <c r="AM176" i="8"/>
  <c r="S176" i="8"/>
  <c r="AL110" i="8"/>
  <c r="R110" i="8"/>
  <c r="AH155" i="8"/>
  <c r="N155" i="8"/>
  <c r="AM106" i="8"/>
  <c r="S106" i="8"/>
  <c r="N112" i="8"/>
  <c r="AH112" i="8"/>
  <c r="S150" i="8"/>
  <c r="AM150" i="8"/>
  <c r="S42" i="8"/>
  <c r="AM42" i="8"/>
  <c r="S29" i="8"/>
  <c r="AM29" i="8"/>
  <c r="AM158" i="8"/>
  <c r="S158" i="8"/>
  <c r="AH110" i="8"/>
  <c r="N110" i="8"/>
  <c r="AM72" i="8"/>
  <c r="S72" i="8"/>
  <c r="AM147" i="8"/>
  <c r="S147" i="8"/>
  <c r="AM55" i="8"/>
  <c r="S55" i="8"/>
  <c r="R163" i="8"/>
  <c r="AL163" i="8"/>
  <c r="AM95" i="8"/>
  <c r="S95" i="8"/>
  <c r="AM92" i="8"/>
  <c r="S92" i="8"/>
  <c r="AM127" i="8"/>
  <c r="AM130" i="8"/>
  <c r="AM144" i="8"/>
  <c r="S144" i="8"/>
  <c r="S175" i="8"/>
  <c r="AM175" i="8"/>
  <c r="AM13" i="8"/>
  <c r="S13" i="8"/>
  <c r="AL112" i="8"/>
  <c r="R112" i="8"/>
  <c r="AH154" i="8"/>
  <c r="N154" i="8"/>
  <c r="S107" i="8"/>
  <c r="AM107" i="8"/>
  <c r="AM104" i="8"/>
  <c r="S104" i="8"/>
  <c r="AM171" i="8"/>
  <c r="S171" i="8"/>
  <c r="S170" i="8"/>
  <c r="AH14" i="8"/>
  <c r="N14" i="8"/>
  <c r="S157" i="8"/>
  <c r="AM157" i="8"/>
  <c r="AL50" i="4"/>
  <c r="AL52" i="4"/>
  <c r="AL49" i="4"/>
  <c r="AL51" i="4"/>
  <c r="AM151" i="8"/>
  <c r="S151" i="8"/>
  <c r="AM41" i="8"/>
  <c r="S41" i="8"/>
  <c r="AM56" i="8"/>
  <c r="S56" i="8"/>
  <c r="AL164" i="8"/>
  <c r="R164" i="8"/>
  <c r="N11" i="8"/>
  <c r="S93" i="8"/>
  <c r="AM93" i="8"/>
  <c r="AM131" i="8"/>
  <c r="AM177" i="8"/>
  <c r="S177" i="8"/>
  <c r="AM64" i="8"/>
  <c r="S64" i="8"/>
  <c r="AL111" i="8"/>
  <c r="R111" i="8"/>
  <c r="S105" i="8"/>
  <c r="AM105" i="8"/>
  <c r="AM108" i="8"/>
  <c r="S108" i="8"/>
  <c r="L125" i="60" l="1"/>
  <c r="L123" i="60" s="1"/>
  <c r="L135" i="60" s="1"/>
  <c r="L136" i="60" s="1"/>
  <c r="D136" i="22"/>
  <c r="AE136" i="4" s="1"/>
  <c r="O136" i="8" s="1"/>
  <c r="O135" i="8"/>
  <c r="AI135" i="8"/>
  <c r="AK134" i="8"/>
  <c r="AB134" i="8" s="1"/>
  <c r="L134" i="22" s="1"/>
  <c r="H134" i="22" s="1"/>
  <c r="J133" i="22" s="1"/>
  <c r="R79" i="8"/>
  <c r="N119" i="22"/>
  <c r="AB119" i="4" s="1"/>
  <c r="Z119" i="8" s="1"/>
  <c r="N118" i="22"/>
  <c r="N133" i="22"/>
  <c r="AB133" i="4" s="1"/>
  <c r="Z133" i="8" s="1"/>
  <c r="N124" i="22"/>
  <c r="AB124" i="4" s="1"/>
  <c r="Z124" i="8" s="1"/>
  <c r="M124" i="8" s="1"/>
  <c r="AH67" i="8"/>
  <c r="AJ119" i="8"/>
  <c r="AH134" i="8"/>
  <c r="N134" i="8"/>
  <c r="AJ133" i="8"/>
  <c r="AH137" i="8"/>
  <c r="N137" i="8"/>
  <c r="N174" i="8"/>
  <c r="E46" i="47"/>
  <c r="AJ46" i="4" s="1"/>
  <c r="E39" i="47"/>
  <c r="AJ39" i="4" s="1"/>
  <c r="N43" i="8"/>
  <c r="AG71" i="8"/>
  <c r="M71" i="8" s="1"/>
  <c r="E35" i="47"/>
  <c r="AJ35" i="4" s="1"/>
  <c r="AH121" i="8"/>
  <c r="N121" i="8"/>
  <c r="D59" i="15"/>
  <c r="D59" i="12"/>
  <c r="K126" i="47"/>
  <c r="G126" i="47" s="1"/>
  <c r="I124" i="47" s="1"/>
  <c r="AH120" i="8"/>
  <c r="AH142" i="8"/>
  <c r="AF141" i="8" s="1"/>
  <c r="AL143" i="8"/>
  <c r="D90" i="47"/>
  <c r="AC90" i="4" s="1"/>
  <c r="N90" i="8" s="1"/>
  <c r="D79" i="47"/>
  <c r="AC79" i="4" s="1"/>
  <c r="D86" i="47"/>
  <c r="AC86" i="4" s="1"/>
  <c r="N86" i="8" s="1"/>
  <c r="D76" i="47"/>
  <c r="AC76" i="4" s="1"/>
  <c r="AH76" i="8" s="1"/>
  <c r="E67" i="47"/>
  <c r="AJ67" i="4" s="1"/>
  <c r="R67" i="8" s="1"/>
  <c r="E63" i="47"/>
  <c r="AJ63" i="4" s="1"/>
  <c r="R63" i="8" s="1"/>
  <c r="E71" i="47"/>
  <c r="AJ71" i="4" s="1"/>
  <c r="E14" i="47"/>
  <c r="AJ14" i="4" s="1"/>
  <c r="AL14" i="8" s="1"/>
  <c r="E19" i="47"/>
  <c r="AJ19" i="4" s="1"/>
  <c r="AL19" i="8" s="1"/>
  <c r="AJ11" i="4"/>
  <c r="AL11" i="8" s="1"/>
  <c r="D58" i="47"/>
  <c r="AC58" i="4" s="1"/>
  <c r="N58" i="8" s="1"/>
  <c r="D48" i="47"/>
  <c r="AC48" i="4" s="1"/>
  <c r="AH48" i="8" s="1"/>
  <c r="D53" i="47"/>
  <c r="AC53" i="4" s="1"/>
  <c r="AH53" i="8" s="1"/>
  <c r="R142" i="8"/>
  <c r="AL142" i="8"/>
  <c r="N143" i="8"/>
  <c r="AC163" i="4"/>
  <c r="AC164" i="4"/>
  <c r="N164" i="8" s="1"/>
  <c r="AC162" i="4"/>
  <c r="N162" i="8" s="1"/>
  <c r="E164" i="22"/>
  <c r="E163" i="22"/>
  <c r="E162" i="22"/>
  <c r="AH71" i="8"/>
  <c r="AG178" i="8"/>
  <c r="M178" i="8" s="1"/>
  <c r="L14" i="55"/>
  <c r="K30" i="55"/>
  <c r="K33" i="55"/>
  <c r="L17" i="55"/>
  <c r="AE99" i="4"/>
  <c r="O99" i="8" s="1"/>
  <c r="L113" i="55"/>
  <c r="L134" i="55" s="1"/>
  <c r="E34" i="12" s="1"/>
  <c r="T40" i="9" s="1"/>
  <c r="K34" i="55"/>
  <c r="L18" i="55"/>
  <c r="K32" i="55"/>
  <c r="L16" i="55"/>
  <c r="K27" i="55"/>
  <c r="L11" i="55"/>
  <c r="AI100" i="8"/>
  <c r="K31" i="55"/>
  <c r="L31" i="55" s="1"/>
  <c r="R31" i="55" s="1"/>
  <c r="L35" i="55" s="1"/>
  <c r="E8" i="12" s="1"/>
  <c r="L15" i="55"/>
  <c r="L12" i="55"/>
  <c r="K28" i="55"/>
  <c r="L13" i="55"/>
  <c r="K29" i="55"/>
  <c r="AI33" i="8"/>
  <c r="AG31" i="8" s="1"/>
  <c r="X31" i="8" s="1"/>
  <c r="K31" i="22" s="1"/>
  <c r="G31" i="22" s="1"/>
  <c r="O180" i="8"/>
  <c r="AI41" i="8"/>
  <c r="AG39" i="8" s="1"/>
  <c r="N63" i="8"/>
  <c r="O40" i="8"/>
  <c r="AE51" i="4"/>
  <c r="O51" i="8" s="1"/>
  <c r="O145" i="8"/>
  <c r="AG143" i="8"/>
  <c r="X143" i="8" s="1"/>
  <c r="K143" i="22" s="1"/>
  <c r="AE52" i="4"/>
  <c r="AE49" i="4"/>
  <c r="AI50" i="8"/>
  <c r="AG155" i="8"/>
  <c r="AI113" i="8"/>
  <c r="AG112" i="8" s="1"/>
  <c r="O113" i="8"/>
  <c r="X126" i="8"/>
  <c r="K126" i="22" s="1"/>
  <c r="G126" i="22" s="1"/>
  <c r="AB31" i="8"/>
  <c r="L31" i="22" s="1"/>
  <c r="H31" i="22" s="1"/>
  <c r="Q31" i="8"/>
  <c r="AB67" i="8"/>
  <c r="L67" i="22" s="1"/>
  <c r="H67" i="22" s="1"/>
  <c r="Q67" i="8"/>
  <c r="AB14" i="8"/>
  <c r="L14" i="22" s="1"/>
  <c r="H14" i="22" s="1"/>
  <c r="Q14" i="8"/>
  <c r="AI122" i="8"/>
  <c r="O122" i="8"/>
  <c r="AI60" i="8"/>
  <c r="O60" i="8"/>
  <c r="AE13" i="4"/>
  <c r="AE12" i="4"/>
  <c r="AI59" i="8"/>
  <c r="O59" i="8"/>
  <c r="AE37" i="4"/>
  <c r="AE36" i="4"/>
  <c r="AE38" i="4"/>
  <c r="O123" i="8"/>
  <c r="AI123" i="8"/>
  <c r="AE66" i="4"/>
  <c r="AE65" i="4"/>
  <c r="AE64" i="4"/>
  <c r="AI166" i="8"/>
  <c r="O166" i="8"/>
  <c r="AE78" i="4"/>
  <c r="AE77" i="4"/>
  <c r="AI15" i="8"/>
  <c r="O15" i="8"/>
  <c r="O87" i="8"/>
  <c r="AI87" i="8"/>
  <c r="O152" i="8"/>
  <c r="AI152" i="8"/>
  <c r="AI84" i="8"/>
  <c r="O84" i="8"/>
  <c r="AI93" i="8"/>
  <c r="O93" i="8"/>
  <c r="AI92" i="8"/>
  <c r="O92" i="8"/>
  <c r="O167" i="8"/>
  <c r="AI167" i="8"/>
  <c r="AI106" i="8"/>
  <c r="O106" i="8"/>
  <c r="AI129" i="8"/>
  <c r="AE172" i="4"/>
  <c r="AE171" i="4"/>
  <c r="AE173" i="4"/>
  <c r="AE22" i="4"/>
  <c r="AE24" i="4"/>
  <c r="AE26" i="4"/>
  <c r="AE25" i="4"/>
  <c r="AE28" i="4"/>
  <c r="AE27" i="4"/>
  <c r="AE23" i="4"/>
  <c r="AE29" i="4"/>
  <c r="O16" i="8"/>
  <c r="AI16" i="8"/>
  <c r="O176" i="8"/>
  <c r="AI176" i="8"/>
  <c r="AI89" i="8"/>
  <c r="O89" i="8"/>
  <c r="O147" i="8"/>
  <c r="AI147" i="8"/>
  <c r="AI80" i="8"/>
  <c r="O80" i="8"/>
  <c r="O85" i="8"/>
  <c r="AI85" i="8"/>
  <c r="AI55" i="8"/>
  <c r="O55" i="8"/>
  <c r="AI94" i="8"/>
  <c r="O94" i="8"/>
  <c r="AI127" i="8"/>
  <c r="O69" i="8"/>
  <c r="AI69" i="8"/>
  <c r="O177" i="8"/>
  <c r="AI177" i="8"/>
  <c r="O57" i="8"/>
  <c r="AI57" i="8"/>
  <c r="O91" i="8"/>
  <c r="AI91" i="8"/>
  <c r="AI165" i="8"/>
  <c r="O165" i="8"/>
  <c r="O107" i="8"/>
  <c r="AI107" i="8"/>
  <c r="O105" i="8"/>
  <c r="AI105" i="8"/>
  <c r="AI130" i="8"/>
  <c r="AI128" i="8"/>
  <c r="O68" i="8"/>
  <c r="AI68" i="8"/>
  <c r="O17" i="8"/>
  <c r="AI17" i="8"/>
  <c r="O175" i="8"/>
  <c r="AI175" i="8"/>
  <c r="AI149" i="8"/>
  <c r="O149" i="8"/>
  <c r="O81" i="8"/>
  <c r="AI81" i="8"/>
  <c r="AI83" i="8"/>
  <c r="O83" i="8"/>
  <c r="O54" i="8"/>
  <c r="AI54" i="8"/>
  <c r="AI104" i="8"/>
  <c r="O104" i="8"/>
  <c r="AI150" i="8"/>
  <c r="O150" i="8"/>
  <c r="O95" i="8"/>
  <c r="AI95" i="8"/>
  <c r="AI168" i="8"/>
  <c r="O168" i="8"/>
  <c r="AI108" i="8"/>
  <c r="O108" i="8"/>
  <c r="O103" i="8"/>
  <c r="AI103" i="8"/>
  <c r="AI131" i="8"/>
  <c r="AI70" i="8"/>
  <c r="O70" i="8"/>
  <c r="AI18" i="8"/>
  <c r="O18" i="8"/>
  <c r="AI88" i="8"/>
  <c r="O88" i="8"/>
  <c r="O148" i="8"/>
  <c r="AI148" i="8"/>
  <c r="O151" i="8"/>
  <c r="AI151" i="8"/>
  <c r="AI82" i="8"/>
  <c r="O82" i="8"/>
  <c r="O56" i="8"/>
  <c r="AI56" i="8"/>
  <c r="AJ43" i="4"/>
  <c r="AH46" i="8"/>
  <c r="AF34" i="8" s="1"/>
  <c r="N39" i="8"/>
  <c r="AM100" i="8"/>
  <c r="AM173" i="8"/>
  <c r="AK170" i="8" s="1"/>
  <c r="AK79" i="8"/>
  <c r="AB79" i="8" s="1"/>
  <c r="L79" i="22" s="1"/>
  <c r="H79" i="22" s="1"/>
  <c r="S66" i="8"/>
  <c r="AM28" i="8"/>
  <c r="AL76" i="8"/>
  <c r="AJ75" i="8" s="1"/>
  <c r="R90" i="8"/>
  <c r="R86" i="8"/>
  <c r="N35" i="8"/>
  <c r="N169" i="8"/>
  <c r="N178" i="8"/>
  <c r="S172" i="8"/>
  <c r="AM27" i="8"/>
  <c r="AM24" i="8"/>
  <c r="S12" i="8"/>
  <c r="S65" i="8"/>
  <c r="AM99" i="8"/>
  <c r="AB112" i="8"/>
  <c r="L112" i="22" s="1"/>
  <c r="H112" i="22" s="1"/>
  <c r="J109" i="22" s="1"/>
  <c r="AM23" i="8"/>
  <c r="AF153" i="8"/>
  <c r="AN153" i="8" s="1"/>
  <c r="T153" i="8" s="1"/>
  <c r="V61" i="10" s="1"/>
  <c r="W61" i="10" s="1"/>
  <c r="AM26" i="8"/>
  <c r="S25" i="8"/>
  <c r="AK71" i="8"/>
  <c r="AB71" i="8" s="1"/>
  <c r="L71" i="22" s="1"/>
  <c r="H71" i="22" s="1"/>
  <c r="AM78" i="8"/>
  <c r="AK76" i="8" s="1"/>
  <c r="AK146" i="8"/>
  <c r="AB146" i="8" s="1"/>
  <c r="L146" i="22" s="1"/>
  <c r="H146" i="22" s="1"/>
  <c r="S22" i="8"/>
  <c r="AF169" i="8"/>
  <c r="W169" i="8" s="1"/>
  <c r="K169" i="47" s="1"/>
  <c r="G169" i="47" s="1"/>
  <c r="X125" i="8"/>
  <c r="K125" i="22" s="1"/>
  <c r="G125" i="22" s="1"/>
  <c r="AK63" i="8"/>
  <c r="Q63" i="8" s="1"/>
  <c r="AM52" i="8"/>
  <c r="S52" i="8"/>
  <c r="AK143" i="8"/>
  <c r="AB143" i="8" s="1"/>
  <c r="L143" i="22" s="1"/>
  <c r="H143" i="22" s="1"/>
  <c r="J141" i="22" s="1"/>
  <c r="N101" i="8"/>
  <c r="AH101" i="8"/>
  <c r="AL102" i="8"/>
  <c r="R102" i="8"/>
  <c r="AJ161" i="8"/>
  <c r="AK39" i="8"/>
  <c r="AM36" i="8"/>
  <c r="S36" i="8"/>
  <c r="AH31" i="8"/>
  <c r="N31" i="8"/>
  <c r="AL31" i="8"/>
  <c r="R31" i="8"/>
  <c r="AH98" i="8"/>
  <c r="N98" i="8"/>
  <c r="R174" i="8"/>
  <c r="AL174" i="8"/>
  <c r="AL101" i="8"/>
  <c r="R101" i="8"/>
  <c r="AL53" i="8"/>
  <c r="R53" i="8"/>
  <c r="AM38" i="8"/>
  <c r="S38" i="8"/>
  <c r="AK90" i="8"/>
  <c r="AB90" i="8" s="1"/>
  <c r="L90" i="22" s="1"/>
  <c r="H90" i="22" s="1"/>
  <c r="AM51" i="8"/>
  <c r="S51" i="8"/>
  <c r="AM50" i="8"/>
  <c r="S50" i="8"/>
  <c r="AL30" i="8"/>
  <c r="R30" i="8"/>
  <c r="AK174" i="8"/>
  <c r="AB174" i="8" s="1"/>
  <c r="L174" i="22" s="1"/>
  <c r="H174" i="22" s="1"/>
  <c r="R178" i="8"/>
  <c r="AL178" i="8"/>
  <c r="AL98" i="8"/>
  <c r="R98" i="8"/>
  <c r="AL48" i="8"/>
  <c r="R48" i="8"/>
  <c r="AK102" i="8"/>
  <c r="AB102" i="8" s="1"/>
  <c r="L102" i="22" s="1"/>
  <c r="H102" i="22" s="1"/>
  <c r="AK53" i="8"/>
  <c r="AK155" i="8"/>
  <c r="AB155" i="8" s="1"/>
  <c r="L155" i="22" s="1"/>
  <c r="H155" i="22" s="1"/>
  <c r="J153" i="22" s="1"/>
  <c r="AH30" i="8"/>
  <c r="N30" i="8"/>
  <c r="AF10" i="8"/>
  <c r="S49" i="8"/>
  <c r="AM49" i="8"/>
  <c r="AL21" i="8"/>
  <c r="R21" i="8"/>
  <c r="AN109" i="8"/>
  <c r="N102" i="8"/>
  <c r="AH102" i="8"/>
  <c r="AL58" i="8"/>
  <c r="R58" i="8"/>
  <c r="AM37" i="8"/>
  <c r="S37" i="8"/>
  <c r="AH21" i="8"/>
  <c r="N21" i="8"/>
  <c r="E47" i="15" l="1"/>
  <c r="E52" i="15" s="1"/>
  <c r="W42" i="10" s="1"/>
  <c r="AI136" i="8"/>
  <c r="AG134" i="8" s="1"/>
  <c r="X134" i="8" s="1"/>
  <c r="K134" i="22" s="1"/>
  <c r="G134" i="22" s="1"/>
  <c r="I133" i="22" s="1"/>
  <c r="L137" i="60"/>
  <c r="L139" i="60" s="1"/>
  <c r="E137" i="22"/>
  <c r="AL137" i="4" s="1"/>
  <c r="E134" i="22"/>
  <c r="AL134" i="4" s="1"/>
  <c r="AF62" i="8"/>
  <c r="L62" i="8" s="1"/>
  <c r="G118" i="22"/>
  <c r="AB118" i="4"/>
  <c r="Z118" i="8" s="1"/>
  <c r="M118" i="8" s="1"/>
  <c r="AF133" i="8"/>
  <c r="AN133" i="8" s="1"/>
  <c r="T133" i="8" s="1"/>
  <c r="AA133" i="8"/>
  <c r="L133" i="47" s="1"/>
  <c r="H133" i="47" s="1"/>
  <c r="AH164" i="8"/>
  <c r="AL71" i="8"/>
  <c r="R71" i="8"/>
  <c r="AH162" i="8"/>
  <c r="X71" i="8"/>
  <c r="K71" i="22" s="1"/>
  <c r="G71" i="22" s="1"/>
  <c r="AJ141" i="8"/>
  <c r="AA141" i="8" s="1"/>
  <c r="L141" i="47" s="1"/>
  <c r="H141" i="47" s="1"/>
  <c r="J140" i="47" s="1"/>
  <c r="E153" i="47" s="1"/>
  <c r="AJ153" i="4" s="1"/>
  <c r="AL153" i="8" s="1"/>
  <c r="AF119" i="8"/>
  <c r="L119" i="8" s="1"/>
  <c r="AH58" i="8"/>
  <c r="AF47" i="8" s="1"/>
  <c r="D46" i="12"/>
  <c r="U39" i="9" s="1"/>
  <c r="Y39" i="9" s="1"/>
  <c r="D46" i="15"/>
  <c r="U39" i="10" s="1"/>
  <c r="Y39" i="10" s="1"/>
  <c r="D132" i="47"/>
  <c r="AC132" i="4" s="1"/>
  <c r="N132" i="8" s="1"/>
  <c r="D125" i="47"/>
  <c r="AC125" i="4" s="1"/>
  <c r="D126" i="47"/>
  <c r="AC126" i="4" s="1"/>
  <c r="AH126" i="8" s="1"/>
  <c r="I124" i="22"/>
  <c r="D132" i="22" s="1"/>
  <c r="G143" i="22"/>
  <c r="I141" i="22" s="1"/>
  <c r="R19" i="8"/>
  <c r="AH79" i="8"/>
  <c r="N79" i="8"/>
  <c r="AH163" i="8"/>
  <c r="N163" i="8"/>
  <c r="E155" i="22"/>
  <c r="AL155" i="4" s="1"/>
  <c r="E154" i="22"/>
  <c r="AL154" i="4" s="1"/>
  <c r="E112" i="22"/>
  <c r="E111" i="22"/>
  <c r="E110" i="22"/>
  <c r="E143" i="22"/>
  <c r="AL143" i="4" s="1"/>
  <c r="E142" i="22"/>
  <c r="AL142" i="4" s="1"/>
  <c r="AL164" i="4"/>
  <c r="S164" i="8" s="1"/>
  <c r="AL162" i="4"/>
  <c r="AL163" i="4"/>
  <c r="X178" i="8"/>
  <c r="K178" i="22" s="1"/>
  <c r="G178" i="22" s="1"/>
  <c r="M31" i="8"/>
  <c r="N53" i="8"/>
  <c r="AL63" i="8"/>
  <c r="AB11" i="8"/>
  <c r="L11" i="22" s="1"/>
  <c r="H11" i="22" s="1"/>
  <c r="J10" i="22" s="1"/>
  <c r="L24" i="55"/>
  <c r="L133" i="55" s="1"/>
  <c r="E9" i="12" s="1"/>
  <c r="AI99" i="8"/>
  <c r="AG98" i="8" s="1"/>
  <c r="X98" i="8" s="1"/>
  <c r="K98" i="22" s="1"/>
  <c r="G98" i="22" s="1"/>
  <c r="M39" i="8"/>
  <c r="X39" i="8"/>
  <c r="K39" i="22" s="1"/>
  <c r="G39" i="22" s="1"/>
  <c r="M143" i="8"/>
  <c r="AL67" i="8"/>
  <c r="AI51" i="8"/>
  <c r="N48" i="8"/>
  <c r="M112" i="8"/>
  <c r="X112" i="8"/>
  <c r="K112" i="22" s="1"/>
  <c r="G112" i="22" s="1"/>
  <c r="I109" i="22" s="1"/>
  <c r="AO112" i="8"/>
  <c r="U112" i="8" s="1"/>
  <c r="AI49" i="8"/>
  <c r="O49" i="8"/>
  <c r="X155" i="8"/>
  <c r="K155" i="22" s="1"/>
  <c r="G155" i="22" s="1"/>
  <c r="I153" i="22" s="1"/>
  <c r="M155" i="8"/>
  <c r="O52" i="8"/>
  <c r="AI52" i="8"/>
  <c r="AB53" i="8"/>
  <c r="L53" i="22" s="1"/>
  <c r="H53" i="22" s="1"/>
  <c r="Q53" i="8"/>
  <c r="AB39" i="8"/>
  <c r="L39" i="22" s="1"/>
  <c r="H39" i="22" s="1"/>
  <c r="Q39" i="8"/>
  <c r="AI36" i="8"/>
  <c r="O36" i="8"/>
  <c r="AG53" i="8"/>
  <c r="X53" i="8" s="1"/>
  <c r="K53" i="22" s="1"/>
  <c r="G53" i="22" s="1"/>
  <c r="O37" i="8"/>
  <c r="AI37" i="8"/>
  <c r="AI12" i="8"/>
  <c r="O12" i="8"/>
  <c r="AI66" i="8"/>
  <c r="O66" i="8"/>
  <c r="AG90" i="8"/>
  <c r="M90" i="8" s="1"/>
  <c r="AG14" i="8"/>
  <c r="AI64" i="8"/>
  <c r="O64" i="8"/>
  <c r="AI13" i="8"/>
  <c r="O13" i="8"/>
  <c r="R14" i="8"/>
  <c r="AI65" i="8"/>
  <c r="O65" i="8"/>
  <c r="AI38" i="8"/>
  <c r="O38" i="8"/>
  <c r="AG58" i="8"/>
  <c r="AI27" i="8"/>
  <c r="O27" i="8"/>
  <c r="AI172" i="8"/>
  <c r="O172" i="8"/>
  <c r="AG79" i="8"/>
  <c r="AI28" i="8"/>
  <c r="O28" i="8"/>
  <c r="O22" i="8"/>
  <c r="AI22" i="8"/>
  <c r="AI78" i="8"/>
  <c r="O78" i="8"/>
  <c r="AI24" i="8"/>
  <c r="O24" i="8"/>
  <c r="AG86" i="8"/>
  <c r="X86" i="8" s="1"/>
  <c r="K86" i="22" s="1"/>
  <c r="G86" i="22" s="1"/>
  <c r="AG146" i="8"/>
  <c r="AO146" i="8" s="1"/>
  <c r="U146" i="8" s="1"/>
  <c r="V60" i="9" s="1"/>
  <c r="W60" i="9" s="1"/>
  <c r="AI29" i="8"/>
  <c r="O29" i="8"/>
  <c r="AI25" i="8"/>
  <c r="O25" i="8"/>
  <c r="O173" i="8"/>
  <c r="AI173" i="8"/>
  <c r="O77" i="8"/>
  <c r="AI77" i="8"/>
  <c r="AG102" i="8"/>
  <c r="AG174" i="8"/>
  <c r="AG67" i="8"/>
  <c r="AG164" i="8"/>
  <c r="AI23" i="8"/>
  <c r="O23" i="8"/>
  <c r="O26" i="8"/>
  <c r="AI26" i="8"/>
  <c r="O170" i="8"/>
  <c r="O171" i="8"/>
  <c r="AI171" i="8"/>
  <c r="AJ10" i="8"/>
  <c r="P10" i="8" s="1"/>
  <c r="R11" i="8"/>
  <c r="R43" i="8"/>
  <c r="AL43" i="8"/>
  <c r="R46" i="8"/>
  <c r="AL46" i="8"/>
  <c r="AH86" i="8"/>
  <c r="R35" i="8"/>
  <c r="AL35" i="8"/>
  <c r="AL39" i="8"/>
  <c r="R39" i="8"/>
  <c r="AK98" i="8"/>
  <c r="AH90" i="8"/>
  <c r="L153" i="8"/>
  <c r="AK21" i="8"/>
  <c r="X64" i="11"/>
  <c r="Y64" i="11" s="1"/>
  <c r="W153" i="8"/>
  <c r="K153" i="47" s="1"/>
  <c r="G153" i="47" s="1"/>
  <c r="AJ169" i="8"/>
  <c r="AN169" i="8" s="1"/>
  <c r="T169" i="8" s="1"/>
  <c r="AF20" i="8"/>
  <c r="W20" i="8" s="1"/>
  <c r="AJ97" i="8"/>
  <c r="AA97" i="8" s="1"/>
  <c r="L97" i="47" s="1"/>
  <c r="H97" i="47" s="1"/>
  <c r="AJ20" i="8"/>
  <c r="AA20" i="8" s="1"/>
  <c r="L20" i="47" s="1"/>
  <c r="L169" i="8"/>
  <c r="N76" i="8"/>
  <c r="AB76" i="8"/>
  <c r="L76" i="22" s="1"/>
  <c r="H76" i="22" s="1"/>
  <c r="J75" i="22" s="1"/>
  <c r="E86" i="22" s="1"/>
  <c r="W34" i="8"/>
  <c r="L34" i="8"/>
  <c r="P75" i="8"/>
  <c r="AA75" i="8"/>
  <c r="L75" i="47" s="1"/>
  <c r="H75" i="47" s="1"/>
  <c r="AF97" i="8"/>
  <c r="AB63" i="8"/>
  <c r="L63" i="22" s="1"/>
  <c r="H63" i="22" s="1"/>
  <c r="J62" i="22" s="1"/>
  <c r="AA119" i="8"/>
  <c r="L119" i="47" s="1"/>
  <c r="H119" i="47" s="1"/>
  <c r="T109" i="8"/>
  <c r="Z45" i="10"/>
  <c r="AD48" i="11"/>
  <c r="AB170" i="8"/>
  <c r="L170" i="22" s="1"/>
  <c r="H170" i="22" s="1"/>
  <c r="J169" i="22" s="1"/>
  <c r="AK48" i="8"/>
  <c r="Q48" i="8" s="1"/>
  <c r="W10" i="8"/>
  <c r="L10" i="8"/>
  <c r="AJ47" i="8"/>
  <c r="W141" i="8"/>
  <c r="K141" i="47" s="1"/>
  <c r="G141" i="47" s="1"/>
  <c r="L141" i="8"/>
  <c r="AK35" i="8"/>
  <c r="Q35" i="8" s="1"/>
  <c r="AA161" i="8"/>
  <c r="L161" i="47" s="1"/>
  <c r="H161" i="47" s="1"/>
  <c r="V41" i="10" l="1"/>
  <c r="S41" i="11" s="1"/>
  <c r="V41" i="11" s="1"/>
  <c r="M134" i="8"/>
  <c r="M104" i="54" s="1"/>
  <c r="N104" i="54" s="1"/>
  <c r="L74" i="54" s="1"/>
  <c r="N74" i="54" s="1"/>
  <c r="I118" i="55" s="1"/>
  <c r="N125" i="8"/>
  <c r="H20" i="47"/>
  <c r="K20" i="47"/>
  <c r="G20" i="47" s="1"/>
  <c r="W62" i="8"/>
  <c r="E141" i="47"/>
  <c r="AJ141" i="4" s="1"/>
  <c r="AL141" i="8" s="1"/>
  <c r="AM137" i="8"/>
  <c r="S137" i="8"/>
  <c r="AM134" i="8"/>
  <c r="S134" i="8"/>
  <c r="D137" i="22"/>
  <c r="AE137" i="4" s="1"/>
  <c r="D134" i="22"/>
  <c r="AE134" i="4" s="1"/>
  <c r="AN141" i="8"/>
  <c r="T141" i="8" s="1"/>
  <c r="E146" i="47"/>
  <c r="AJ146" i="4" s="1"/>
  <c r="AL146" i="8" s="1"/>
  <c r="S62" i="10"/>
  <c r="T62" i="10" s="1"/>
  <c r="S65" i="11"/>
  <c r="T65" i="11" s="1"/>
  <c r="AF161" i="8"/>
  <c r="AN161" i="8" s="1"/>
  <c r="T161" i="8" s="1"/>
  <c r="Y60" i="10" s="1"/>
  <c r="Z60" i="10" s="1"/>
  <c r="Y42" i="10"/>
  <c r="X42" i="10" s="1"/>
  <c r="T43" i="11"/>
  <c r="V43" i="11" s="1"/>
  <c r="W133" i="8"/>
  <c r="K133" i="47" s="1"/>
  <c r="G133" i="47" s="1"/>
  <c r="L133" i="8"/>
  <c r="I140" i="47"/>
  <c r="D153" i="47" s="1"/>
  <c r="X90" i="8"/>
  <c r="K90" i="22" s="1"/>
  <c r="G90" i="22" s="1"/>
  <c r="X14" i="8"/>
  <c r="K14" i="22" s="1"/>
  <c r="G14" i="22" s="1"/>
  <c r="M14" i="8"/>
  <c r="W119" i="8"/>
  <c r="K119" i="47" s="1"/>
  <c r="G119" i="47" s="1"/>
  <c r="AN119" i="8"/>
  <c r="T119" i="8" s="1"/>
  <c r="S63" i="11" s="1"/>
  <c r="T63" i="11" s="1"/>
  <c r="N126" i="8"/>
  <c r="X40" i="10"/>
  <c r="D126" i="22"/>
  <c r="AH132" i="8"/>
  <c r="D125" i="22"/>
  <c r="D143" i="22"/>
  <c r="AE143" i="4" s="1"/>
  <c r="O143" i="8" s="1"/>
  <c r="D142" i="22"/>
  <c r="AE142" i="4" s="1"/>
  <c r="O142" i="8" s="1"/>
  <c r="D120" i="22"/>
  <c r="AJ62" i="8"/>
  <c r="P62" i="8" s="1"/>
  <c r="D155" i="22"/>
  <c r="AE155" i="4" s="1"/>
  <c r="D154" i="22"/>
  <c r="AE154" i="4" s="1"/>
  <c r="D112" i="22"/>
  <c r="AE112" i="4" s="1"/>
  <c r="D111" i="22"/>
  <c r="AE111" i="4" s="1"/>
  <c r="D110" i="22"/>
  <c r="AE110" i="4" s="1"/>
  <c r="E67" i="22"/>
  <c r="AL67" i="4" s="1"/>
  <c r="E63" i="22"/>
  <c r="AL63" i="4" s="1"/>
  <c r="E71" i="22"/>
  <c r="AL71" i="4" s="1"/>
  <c r="E178" i="22"/>
  <c r="AL178" i="4" s="1"/>
  <c r="E170" i="22"/>
  <c r="AL170" i="4" s="1"/>
  <c r="AM170" i="8" s="1"/>
  <c r="E174" i="22"/>
  <c r="AL174" i="4" s="1"/>
  <c r="E90" i="22"/>
  <c r="AL90" i="4" s="1"/>
  <c r="E79" i="22"/>
  <c r="AL79" i="4" s="1"/>
  <c r="E76" i="22"/>
  <c r="AL76" i="4" s="1"/>
  <c r="E14" i="22"/>
  <c r="AL14" i="4" s="1"/>
  <c r="E19" i="22"/>
  <c r="AL19" i="4" s="1"/>
  <c r="E11" i="22"/>
  <c r="AL11" i="4" s="1"/>
  <c r="AM11" i="8" s="1"/>
  <c r="AM164" i="8"/>
  <c r="AL112" i="4"/>
  <c r="AL111" i="4"/>
  <c r="AM111" i="8" s="1"/>
  <c r="AL110" i="4"/>
  <c r="S110" i="8" s="1"/>
  <c r="AM143" i="8"/>
  <c r="S143" i="8"/>
  <c r="AM163" i="8"/>
  <c r="S163" i="8"/>
  <c r="AM142" i="8"/>
  <c r="S142" i="8"/>
  <c r="AM162" i="8"/>
  <c r="S162" i="8"/>
  <c r="AL86" i="4"/>
  <c r="AH125" i="8"/>
  <c r="M98" i="8"/>
  <c r="AG76" i="8"/>
  <c r="X76" i="8" s="1"/>
  <c r="K76" i="22" s="1"/>
  <c r="G76" i="22" s="1"/>
  <c r="AG48" i="8"/>
  <c r="M53" i="8"/>
  <c r="Y50" i="9"/>
  <c r="Z50" i="9" s="1"/>
  <c r="AE53" i="11"/>
  <c r="AF53" i="11" s="1"/>
  <c r="AB21" i="8"/>
  <c r="L21" i="22" s="1"/>
  <c r="H21" i="22" s="1"/>
  <c r="J20" i="22" s="1"/>
  <c r="Q21" i="8"/>
  <c r="Q98" i="8"/>
  <c r="Q10" i="8"/>
  <c r="AG21" i="8"/>
  <c r="X121" i="8"/>
  <c r="AG170" i="8"/>
  <c r="X170" i="8" s="1"/>
  <c r="K170" i="22" s="1"/>
  <c r="G170" i="22" s="1"/>
  <c r="X58" i="8"/>
  <c r="K58" i="22" s="1"/>
  <c r="G58" i="22" s="1"/>
  <c r="M58" i="8"/>
  <c r="AG63" i="8"/>
  <c r="AG35" i="8"/>
  <c r="AA10" i="8"/>
  <c r="L10" i="47" s="1"/>
  <c r="S40" i="9"/>
  <c r="M102" i="8"/>
  <c r="X102" i="8"/>
  <c r="K102" i="22" s="1"/>
  <c r="G102" i="22" s="1"/>
  <c r="I97" i="22" s="1"/>
  <c r="AN10" i="8"/>
  <c r="T10" i="8" s="1"/>
  <c r="X164" i="8"/>
  <c r="K164" i="22" s="1"/>
  <c r="G164" i="22" s="1"/>
  <c r="I161" i="22" s="1"/>
  <c r="M164" i="8"/>
  <c r="X146" i="8"/>
  <c r="K146" i="22" s="1"/>
  <c r="G146" i="22" s="1"/>
  <c r="M146" i="8"/>
  <c r="M79" i="8"/>
  <c r="X79" i="8"/>
  <c r="K79" i="22" s="1"/>
  <c r="G79" i="22" s="1"/>
  <c r="M174" i="8"/>
  <c r="X174" i="8"/>
  <c r="K174" i="22" s="1"/>
  <c r="G174" i="22" s="1"/>
  <c r="M67" i="8"/>
  <c r="X67" i="8"/>
  <c r="K67" i="22" s="1"/>
  <c r="G67" i="22" s="1"/>
  <c r="AJ34" i="8"/>
  <c r="AN34" i="8" s="1"/>
  <c r="T34" i="8" s="1"/>
  <c r="S53" i="11" s="1"/>
  <c r="T53" i="11" s="1"/>
  <c r="AF75" i="8"/>
  <c r="W75" i="8" s="1"/>
  <c r="K75" i="47" s="1"/>
  <c r="G75" i="47" s="1"/>
  <c r="AB98" i="8"/>
  <c r="L98" i="22" s="1"/>
  <c r="H98" i="22" s="1"/>
  <c r="J97" i="22" s="1"/>
  <c r="Z63" i="11"/>
  <c r="AA63" i="11" s="1"/>
  <c r="AN97" i="8"/>
  <c r="T97" i="8" s="1"/>
  <c r="X53" i="11" s="1"/>
  <c r="Y53" i="11" s="1"/>
  <c r="L20" i="8"/>
  <c r="AA169" i="8"/>
  <c r="L169" i="47" s="1"/>
  <c r="H169" i="47" s="1"/>
  <c r="J159" i="47" s="1"/>
  <c r="P97" i="8"/>
  <c r="P20" i="8"/>
  <c r="AN20" i="8"/>
  <c r="T20" i="8" s="1"/>
  <c r="S52" i="11" s="1"/>
  <c r="T52" i="11" s="1"/>
  <c r="W124" i="8"/>
  <c r="K124" i="47" s="1"/>
  <c r="G124" i="47" s="1"/>
  <c r="X124" i="8"/>
  <c r="K124" i="22" s="1"/>
  <c r="G124" i="22" s="1"/>
  <c r="W47" i="8"/>
  <c r="L47" i="8"/>
  <c r="AB48" i="8"/>
  <c r="L48" i="22" s="1"/>
  <c r="H48" i="22" s="1"/>
  <c r="J47" i="22" s="1"/>
  <c r="AM154" i="8"/>
  <c r="S154" i="8"/>
  <c r="P47" i="8"/>
  <c r="AN47" i="8"/>
  <c r="T47" i="8" s="1"/>
  <c r="AA47" i="8"/>
  <c r="L47" i="47" s="1"/>
  <c r="AC48" i="11"/>
  <c r="Y45" i="10"/>
  <c r="AB35" i="8"/>
  <c r="L35" i="22" s="1"/>
  <c r="H35" i="22" s="1"/>
  <c r="J34" i="22" s="1"/>
  <c r="AM155" i="8"/>
  <c r="S155" i="8"/>
  <c r="W97" i="8"/>
  <c r="K97" i="47" s="1"/>
  <c r="G97" i="47" s="1"/>
  <c r="L97" i="8"/>
  <c r="AC64" i="11"/>
  <c r="AD64" i="11" s="1"/>
  <c r="Y61" i="10"/>
  <c r="Z61" i="10" s="1"/>
  <c r="Y41" i="10" l="1"/>
  <c r="X41" i="10" s="1"/>
  <c r="T35" i="10" s="1"/>
  <c r="J44" i="64" s="1"/>
  <c r="AK133" i="8"/>
  <c r="AB133" i="8" s="1"/>
  <c r="L133" i="22" s="1"/>
  <c r="H133" i="22" s="1"/>
  <c r="H47" i="47"/>
  <c r="K47" i="47"/>
  <c r="G47" i="47" s="1"/>
  <c r="H10" i="47"/>
  <c r="K10" i="47"/>
  <c r="G10" i="47" s="1"/>
  <c r="L161" i="8"/>
  <c r="L118" i="55"/>
  <c r="L116" i="55" s="1"/>
  <c r="E46" i="12" s="1"/>
  <c r="U40" i="9" s="1"/>
  <c r="Y40" i="9" s="1"/>
  <c r="X40" i="9" s="1"/>
  <c r="I125" i="55"/>
  <c r="AI137" i="8"/>
  <c r="O137" i="8"/>
  <c r="AI134" i="8"/>
  <c r="O134" i="8"/>
  <c r="W161" i="8"/>
  <c r="K161" i="47" s="1"/>
  <c r="G161" i="47" s="1"/>
  <c r="AI143" i="8"/>
  <c r="D146" i="47"/>
  <c r="AC146" i="4" s="1"/>
  <c r="AH146" i="8" s="1"/>
  <c r="AC63" i="11"/>
  <c r="AD63" i="11" s="1"/>
  <c r="D141" i="47"/>
  <c r="AC141" i="4" s="1"/>
  <c r="N141" i="8" s="1"/>
  <c r="S60" i="10"/>
  <c r="T60" i="10" s="1"/>
  <c r="I117" i="47"/>
  <c r="D133" i="47" s="1"/>
  <c r="AA62" i="8"/>
  <c r="L62" i="47" s="1"/>
  <c r="AN62" i="8"/>
  <c r="T62" i="8" s="1"/>
  <c r="X21" i="8"/>
  <c r="K21" i="22" s="1"/>
  <c r="G21" i="22" s="1"/>
  <c r="I20" i="22" s="1"/>
  <c r="D31" i="22" s="1"/>
  <c r="AE31" i="4" s="1"/>
  <c r="M21" i="8"/>
  <c r="AI142" i="8"/>
  <c r="AG141" i="8" s="1"/>
  <c r="K121" i="22"/>
  <c r="G121" i="22" s="1"/>
  <c r="E161" i="47"/>
  <c r="AJ161" i="4" s="1"/>
  <c r="AL161" i="8" s="1"/>
  <c r="E160" i="47"/>
  <c r="AJ160" i="4" s="1"/>
  <c r="AL160" i="8" s="1"/>
  <c r="E169" i="47"/>
  <c r="AJ169" i="4" s="1"/>
  <c r="AL169" i="8" s="1"/>
  <c r="AC153" i="4"/>
  <c r="AH153" i="8" s="1"/>
  <c r="D102" i="22"/>
  <c r="AE102" i="4" s="1"/>
  <c r="D101" i="22"/>
  <c r="AE101" i="4" s="1"/>
  <c r="D98" i="22"/>
  <c r="AE98" i="4" s="1"/>
  <c r="E46" i="22"/>
  <c r="AL46" i="4" s="1"/>
  <c r="E39" i="22"/>
  <c r="AL39" i="4" s="1"/>
  <c r="E43" i="22"/>
  <c r="AL43" i="4" s="1"/>
  <c r="E35" i="22"/>
  <c r="AL35" i="4" s="1"/>
  <c r="AE120" i="4"/>
  <c r="E102" i="22"/>
  <c r="AL102" i="4" s="1"/>
  <c r="E101" i="22"/>
  <c r="AL101" i="4" s="1"/>
  <c r="E98" i="22"/>
  <c r="AL98" i="4" s="1"/>
  <c r="D164" i="22"/>
  <c r="AE164" i="4" s="1"/>
  <c r="D163" i="22"/>
  <c r="AE163" i="4" s="1"/>
  <c r="D162" i="22"/>
  <c r="AE162" i="4" s="1"/>
  <c r="E21" i="22"/>
  <c r="AL21" i="4" s="1"/>
  <c r="E31" i="22"/>
  <c r="AL31" i="4" s="1"/>
  <c r="E30" i="22"/>
  <c r="AL30" i="4" s="1"/>
  <c r="E58" i="22"/>
  <c r="AL58" i="4" s="1"/>
  <c r="E48" i="22"/>
  <c r="AL48" i="4" s="1"/>
  <c r="E53" i="22"/>
  <c r="AL53" i="4" s="1"/>
  <c r="I169" i="22"/>
  <c r="I75" i="22"/>
  <c r="D86" i="22" s="1"/>
  <c r="AK161" i="8"/>
  <c r="AB161" i="8" s="1"/>
  <c r="L161" i="22" s="1"/>
  <c r="H161" i="22" s="1"/>
  <c r="AK141" i="8"/>
  <c r="AB141" i="8" s="1"/>
  <c r="L141" i="22" s="1"/>
  <c r="H141" i="22" s="1"/>
  <c r="S111" i="8"/>
  <c r="S67" i="8"/>
  <c r="AM67" i="8"/>
  <c r="S11" i="8"/>
  <c r="AM110" i="8"/>
  <c r="AM76" i="8"/>
  <c r="S76" i="8"/>
  <c r="AM19" i="8"/>
  <c r="S19" i="8"/>
  <c r="AM79" i="8"/>
  <c r="S79" i="8"/>
  <c r="AM86" i="8"/>
  <c r="S86" i="8"/>
  <c r="AM71" i="8"/>
  <c r="S71" i="8"/>
  <c r="AM90" i="8"/>
  <c r="S90" i="8"/>
  <c r="S14" i="8"/>
  <c r="AM14" i="8"/>
  <c r="S63" i="8"/>
  <c r="AM63" i="8"/>
  <c r="S112" i="8"/>
  <c r="AM112" i="8"/>
  <c r="L75" i="8"/>
  <c r="M76" i="8"/>
  <c r="X48" i="8"/>
  <c r="K48" i="22" s="1"/>
  <c r="G48" i="22" s="1"/>
  <c r="I47" i="22" s="1"/>
  <c r="M48" i="8"/>
  <c r="AI112" i="8"/>
  <c r="O112" i="8"/>
  <c r="AI110" i="8"/>
  <c r="O110" i="8"/>
  <c r="AI111" i="8"/>
  <c r="O111" i="8"/>
  <c r="AI155" i="8"/>
  <c r="O155" i="8"/>
  <c r="M170" i="8"/>
  <c r="AI154" i="8"/>
  <c r="O154" i="8"/>
  <c r="M63" i="8"/>
  <c r="X63" i="8"/>
  <c r="K63" i="22" s="1"/>
  <c r="G63" i="22" s="1"/>
  <c r="I62" i="22" s="1"/>
  <c r="AN75" i="8"/>
  <c r="T75" i="8" s="1"/>
  <c r="V49" i="10" s="1"/>
  <c r="W49" i="10" s="1"/>
  <c r="X11" i="8"/>
  <c r="K11" i="22" s="1"/>
  <c r="G11" i="22" s="1"/>
  <c r="I10" i="22" s="1"/>
  <c r="M35" i="8"/>
  <c r="X35" i="8"/>
  <c r="K35" i="22" s="1"/>
  <c r="G35" i="22" s="1"/>
  <c r="I34" i="22" s="1"/>
  <c r="P34" i="8"/>
  <c r="AA34" i="8"/>
  <c r="L34" i="47" s="1"/>
  <c r="S50" i="10"/>
  <c r="T50" i="10" s="1"/>
  <c r="V50" i="10"/>
  <c r="W50" i="10" s="1"/>
  <c r="S49" i="10"/>
  <c r="T49" i="10" s="1"/>
  <c r="AM174" i="8"/>
  <c r="S174" i="8"/>
  <c r="Z10" i="11"/>
  <c r="S54" i="11"/>
  <c r="T54" i="11" s="1"/>
  <c r="S51" i="10"/>
  <c r="T51" i="10" s="1"/>
  <c r="S51" i="11"/>
  <c r="T51" i="11" s="1"/>
  <c r="S48" i="10"/>
  <c r="T48" i="10" s="1"/>
  <c r="O42" i="10"/>
  <c r="Z10" i="10"/>
  <c r="S178" i="8"/>
  <c r="AM178" i="8"/>
  <c r="AK153" i="8"/>
  <c r="X62" i="11"/>
  <c r="Y62" i="11" s="1"/>
  <c r="V59" i="10"/>
  <c r="W59" i="10" s="1"/>
  <c r="S38" i="11" l="1"/>
  <c r="S36" i="11" s="1"/>
  <c r="S37" i="11" s="1"/>
  <c r="S35" i="10"/>
  <c r="S36" i="10" s="1"/>
  <c r="AF160" i="8"/>
  <c r="L160" i="8" s="1"/>
  <c r="H34" i="47"/>
  <c r="J9" i="47" s="1"/>
  <c r="E10" i="47" s="1"/>
  <c r="AJ10" i="4" s="1"/>
  <c r="AL10" i="8" s="1"/>
  <c r="K34" i="47"/>
  <c r="G34" i="47" s="1"/>
  <c r="I9" i="47" s="1"/>
  <c r="H62" i="47"/>
  <c r="J61" i="47" s="1"/>
  <c r="E75" i="47" s="1"/>
  <c r="AJ75" i="4" s="1"/>
  <c r="AL75" i="8" s="1"/>
  <c r="K62" i="47"/>
  <c r="G62" i="47" s="1"/>
  <c r="I61" i="47" s="1"/>
  <c r="D62" i="47" s="1"/>
  <c r="AC62" i="4" s="1"/>
  <c r="N62" i="8" s="1"/>
  <c r="E59" i="12"/>
  <c r="E85" i="13"/>
  <c r="E88" i="13" s="1"/>
  <c r="E89" i="13" s="1"/>
  <c r="L125" i="55"/>
  <c r="L123" i="55" s="1"/>
  <c r="AG133" i="8"/>
  <c r="D124" i="47"/>
  <c r="AC124" i="4" s="1"/>
  <c r="AH124" i="8" s="1"/>
  <c r="D21" i="22"/>
  <c r="AE21" i="4" s="1"/>
  <c r="AI21" i="8" s="1"/>
  <c r="D118" i="47"/>
  <c r="AC118" i="4" s="1"/>
  <c r="N118" i="8" s="1"/>
  <c r="D119" i="47"/>
  <c r="AC119" i="4" s="1"/>
  <c r="N119" i="8" s="1"/>
  <c r="N153" i="8"/>
  <c r="D30" i="22"/>
  <c r="AE30" i="4" s="1"/>
  <c r="AI30" i="8" s="1"/>
  <c r="AI120" i="8"/>
  <c r="O120" i="8"/>
  <c r="I119" i="22"/>
  <c r="D121" i="22"/>
  <c r="AE121" i="4" s="1"/>
  <c r="D67" i="22"/>
  <c r="AE67" i="4" s="1"/>
  <c r="D63" i="22"/>
  <c r="AE63" i="4" s="1"/>
  <c r="D71" i="22"/>
  <c r="AE71" i="4" s="1"/>
  <c r="D19" i="22"/>
  <c r="AE19" i="4" s="1"/>
  <c r="D11" i="22"/>
  <c r="AE11" i="4" s="1"/>
  <c r="AI11" i="8" s="1"/>
  <c r="D14" i="22"/>
  <c r="AE14" i="4" s="1"/>
  <c r="D90" i="22"/>
  <c r="AE90" i="4" s="1"/>
  <c r="O90" i="8" s="1"/>
  <c r="D79" i="22"/>
  <c r="AE79" i="4" s="1"/>
  <c r="D76" i="22"/>
  <c r="AE76" i="4" s="1"/>
  <c r="D178" i="22"/>
  <c r="AE178" i="4" s="1"/>
  <c r="D170" i="22"/>
  <c r="AE170" i="4" s="1"/>
  <c r="D174" i="22"/>
  <c r="AE174" i="4" s="1"/>
  <c r="D43" i="22"/>
  <c r="AE43" i="4" s="1"/>
  <c r="D35" i="22"/>
  <c r="AE35" i="4" s="1"/>
  <c r="D46" i="22"/>
  <c r="AE46" i="4" s="1"/>
  <c r="D39" i="22"/>
  <c r="AE39" i="4" s="1"/>
  <c r="D58" i="22"/>
  <c r="AE58" i="4" s="1"/>
  <c r="O58" i="8" s="1"/>
  <c r="D48" i="22"/>
  <c r="AE48" i="4" s="1"/>
  <c r="AI48" i="8" s="1"/>
  <c r="D53" i="22"/>
  <c r="AE53" i="4" s="1"/>
  <c r="O53" i="8" s="1"/>
  <c r="AK10" i="8"/>
  <c r="AB10" i="8" s="1"/>
  <c r="L10" i="22" s="1"/>
  <c r="AE86" i="4"/>
  <c r="O86" i="8" s="1"/>
  <c r="AK62" i="8"/>
  <c r="AB62" i="8" s="1"/>
  <c r="L62" i="22" s="1"/>
  <c r="S101" i="8"/>
  <c r="AM101" i="8"/>
  <c r="S53" i="8"/>
  <c r="AM53" i="8"/>
  <c r="S98" i="8"/>
  <c r="AM98" i="8"/>
  <c r="AM58" i="8"/>
  <c r="S58" i="8"/>
  <c r="AM30" i="8"/>
  <c r="S30" i="8"/>
  <c r="S102" i="8"/>
  <c r="AM102" i="8"/>
  <c r="S39" i="8"/>
  <c r="AM39" i="8"/>
  <c r="AM48" i="8"/>
  <c r="S48" i="8"/>
  <c r="S21" i="8"/>
  <c r="AM21" i="8"/>
  <c r="AK75" i="8"/>
  <c r="AB75" i="8" s="1"/>
  <c r="L75" i="22" s="1"/>
  <c r="H75" i="22" s="1"/>
  <c r="S35" i="8"/>
  <c r="AM35" i="8"/>
  <c r="AM43" i="8"/>
  <c r="S43" i="8"/>
  <c r="Q62" i="8"/>
  <c r="AM31" i="8"/>
  <c r="S31" i="8"/>
  <c r="S46" i="8"/>
  <c r="AM46" i="8"/>
  <c r="AC133" i="4"/>
  <c r="AH133" i="8" s="1"/>
  <c r="X52" i="11"/>
  <c r="Y52" i="11" s="1"/>
  <c r="AG153" i="8"/>
  <c r="AO153" i="8" s="1"/>
  <c r="U153" i="8" s="1"/>
  <c r="AO109" i="8"/>
  <c r="AO141" i="8"/>
  <c r="U141" i="8" s="1"/>
  <c r="X141" i="8"/>
  <c r="K141" i="22" s="1"/>
  <c r="G141" i="22" s="1"/>
  <c r="M141" i="8"/>
  <c r="AH141" i="8"/>
  <c r="AN140" i="8" s="1"/>
  <c r="Y59" i="11" s="1"/>
  <c r="AI164" i="8"/>
  <c r="O164" i="8"/>
  <c r="AI102" i="8"/>
  <c r="O102" i="8"/>
  <c r="O163" i="8"/>
  <c r="AI163" i="8"/>
  <c r="AI98" i="8"/>
  <c r="O98" i="8"/>
  <c r="AI101" i="8"/>
  <c r="O101" i="8"/>
  <c r="AI162" i="8"/>
  <c r="O162" i="8"/>
  <c r="O31" i="8"/>
  <c r="AI31" i="8"/>
  <c r="N146" i="8"/>
  <c r="AK169" i="8"/>
  <c r="V48" i="10"/>
  <c r="W48" i="10" s="1"/>
  <c r="X51" i="11"/>
  <c r="Y51" i="11" s="1"/>
  <c r="AB153" i="8"/>
  <c r="L153" i="22" s="1"/>
  <c r="H153" i="22" s="1"/>
  <c r="J140" i="22" s="1"/>
  <c r="E47" i="47" l="1"/>
  <c r="AJ47" i="4" s="1"/>
  <c r="AL47" i="8" s="1"/>
  <c r="E20" i="47"/>
  <c r="AJ20" i="4" s="1"/>
  <c r="AL20" i="8" s="1"/>
  <c r="E34" i="47"/>
  <c r="AJ34" i="4" s="1"/>
  <c r="AL34" i="8" s="1"/>
  <c r="AN160" i="8"/>
  <c r="T160" i="8" s="1"/>
  <c r="AC62" i="11" s="1"/>
  <c r="AD62" i="11" s="1"/>
  <c r="W160" i="8"/>
  <c r="K160" i="47" s="1"/>
  <c r="G160" i="47" s="1"/>
  <c r="I159" i="47" s="1"/>
  <c r="D169" i="47" s="1"/>
  <c r="AC169" i="4" s="1"/>
  <c r="AH169" i="8" s="1"/>
  <c r="H10" i="22"/>
  <c r="H62" i="22"/>
  <c r="O21" i="8"/>
  <c r="D97" i="47"/>
  <c r="AC97" i="4" s="1"/>
  <c r="AH97" i="8" s="1"/>
  <c r="D75" i="47"/>
  <c r="AC75" i="4" s="1"/>
  <c r="AH75" i="8" s="1"/>
  <c r="D10" i="47"/>
  <c r="AC10" i="4" s="1"/>
  <c r="D20" i="47"/>
  <c r="AC20" i="4" s="1"/>
  <c r="D47" i="47"/>
  <c r="AC47" i="4" s="1"/>
  <c r="D34" i="47"/>
  <c r="AC34" i="4" s="1"/>
  <c r="E97" i="47"/>
  <c r="AJ97" i="4" s="1"/>
  <c r="AL97" i="8" s="1"/>
  <c r="E62" i="47"/>
  <c r="AJ62" i="4" s="1"/>
  <c r="AL62" i="8" s="1"/>
  <c r="E47" i="12"/>
  <c r="L135" i="55"/>
  <c r="L136" i="55" s="1"/>
  <c r="X133" i="8"/>
  <c r="K133" i="22" s="1"/>
  <c r="G133" i="22" s="1"/>
  <c r="M133" i="8"/>
  <c r="AO133" i="8"/>
  <c r="U133" i="8" s="1"/>
  <c r="N124" i="8"/>
  <c r="AH118" i="8"/>
  <c r="O30" i="8"/>
  <c r="AH119" i="8"/>
  <c r="AI121" i="8"/>
  <c r="AG119" i="8" s="1"/>
  <c r="M119" i="8" s="1"/>
  <c r="O121" i="8"/>
  <c r="N133" i="8"/>
  <c r="O79" i="8"/>
  <c r="AI79" i="8"/>
  <c r="E153" i="22"/>
  <c r="AL153" i="4" s="1"/>
  <c r="AM153" i="8" s="1"/>
  <c r="E141" i="22"/>
  <c r="AL141" i="4" s="1"/>
  <c r="AM141" i="8" s="1"/>
  <c r="E146" i="22"/>
  <c r="AL146" i="4" s="1"/>
  <c r="AM146" i="8" s="1"/>
  <c r="AI90" i="8"/>
  <c r="O14" i="8"/>
  <c r="AI14" i="8"/>
  <c r="AK20" i="8"/>
  <c r="AI19" i="8"/>
  <c r="O19" i="8"/>
  <c r="AK34" i="8"/>
  <c r="O11" i="8"/>
  <c r="AK47" i="8"/>
  <c r="AK97" i="8"/>
  <c r="AI86" i="8"/>
  <c r="AI76" i="8"/>
  <c r="O76" i="8"/>
  <c r="O48" i="8"/>
  <c r="AI53" i="8"/>
  <c r="AI58" i="8"/>
  <c r="AF48" i="11"/>
  <c r="Z45" i="9"/>
  <c r="X109" i="8"/>
  <c r="K109" i="22" s="1"/>
  <c r="G109" i="22" s="1"/>
  <c r="W109" i="8"/>
  <c r="K109" i="47" s="1"/>
  <c r="G109" i="47" s="1"/>
  <c r="U109" i="8"/>
  <c r="X153" i="8"/>
  <c r="K153" i="22" s="1"/>
  <c r="G153" i="22" s="1"/>
  <c r="I140" i="22" s="1"/>
  <c r="M153" i="8"/>
  <c r="V59" i="9"/>
  <c r="W59" i="9" s="1"/>
  <c r="Z62" i="11"/>
  <c r="AA62" i="11" s="1"/>
  <c r="AI43" i="8"/>
  <c r="O43" i="8"/>
  <c r="O63" i="8"/>
  <c r="AI63" i="8"/>
  <c r="O46" i="8"/>
  <c r="AI46" i="8"/>
  <c r="O35" i="8"/>
  <c r="AI35" i="8"/>
  <c r="AI71" i="8"/>
  <c r="O71" i="8"/>
  <c r="O39" i="8"/>
  <c r="AI39" i="8"/>
  <c r="AI67" i="8"/>
  <c r="O67" i="8"/>
  <c r="AG20" i="8"/>
  <c r="AI170" i="8"/>
  <c r="O169" i="8"/>
  <c r="O174" i="8"/>
  <c r="AI174" i="8"/>
  <c r="AI178" i="8"/>
  <c r="O178" i="8"/>
  <c r="AG161" i="8"/>
  <c r="AG97" i="8"/>
  <c r="AH62" i="8"/>
  <c r="W56" i="10"/>
  <c r="AB169" i="8"/>
  <c r="L169" i="22" s="1"/>
  <c r="H169" i="22" s="1"/>
  <c r="J159" i="22" s="1"/>
  <c r="T140" i="8"/>
  <c r="V56" i="10" s="1"/>
  <c r="V61" i="9"/>
  <c r="W61" i="9" s="1"/>
  <c r="Z64" i="11"/>
  <c r="AA64" i="11" s="1"/>
  <c r="Y59" i="10" l="1"/>
  <c r="Z59" i="10" s="1"/>
  <c r="D161" i="47"/>
  <c r="AC161" i="4" s="1"/>
  <c r="AH161" i="8" s="1"/>
  <c r="D160" i="47"/>
  <c r="AC160" i="4" s="1"/>
  <c r="N160" i="8" s="1"/>
  <c r="L137" i="55"/>
  <c r="L139" i="55" s="1"/>
  <c r="AG160" i="8" s="1"/>
  <c r="N97" i="8"/>
  <c r="AN61" i="8"/>
  <c r="W45" i="10" s="1"/>
  <c r="N75" i="8"/>
  <c r="AH47" i="8"/>
  <c r="N47" i="8"/>
  <c r="AH34" i="8"/>
  <c r="N34" i="8"/>
  <c r="AH20" i="8"/>
  <c r="N20" i="8"/>
  <c r="AH10" i="8"/>
  <c r="N10" i="8"/>
  <c r="U65" i="11"/>
  <c r="V65" i="11" s="1"/>
  <c r="S62" i="9"/>
  <c r="T62" i="9" s="1"/>
  <c r="E52" i="12"/>
  <c r="W42" i="9" s="1"/>
  <c r="V41" i="9"/>
  <c r="D153" i="22"/>
  <c r="AE153" i="4" s="1"/>
  <c r="D146" i="22"/>
  <c r="AE146" i="4" s="1"/>
  <c r="D141" i="22"/>
  <c r="AE141" i="4" s="1"/>
  <c r="E169" i="22"/>
  <c r="E161" i="22"/>
  <c r="E160" i="22"/>
  <c r="AG10" i="8"/>
  <c r="M10" i="8" s="1"/>
  <c r="Q97" i="8"/>
  <c r="AB97" i="8"/>
  <c r="L97" i="22" s="1"/>
  <c r="H97" i="22" s="1"/>
  <c r="J61" i="22" s="1"/>
  <c r="Q34" i="8"/>
  <c r="AB34" i="8"/>
  <c r="L34" i="22" s="1"/>
  <c r="Q47" i="8"/>
  <c r="AB47" i="8"/>
  <c r="L47" i="22" s="1"/>
  <c r="Q20" i="8"/>
  <c r="AB20" i="8"/>
  <c r="L20" i="22" s="1"/>
  <c r="AG75" i="8"/>
  <c r="M75" i="8" s="1"/>
  <c r="AG47" i="8"/>
  <c r="X47" i="8" s="1"/>
  <c r="X119" i="8"/>
  <c r="K119" i="22" s="1"/>
  <c r="G119" i="22" s="1"/>
  <c r="AE48" i="11"/>
  <c r="Y45" i="9"/>
  <c r="AG34" i="8"/>
  <c r="AG62" i="8"/>
  <c r="AO97" i="8"/>
  <c r="U97" i="8" s="1"/>
  <c r="M97" i="8"/>
  <c r="X97" i="8"/>
  <c r="K97" i="22" s="1"/>
  <c r="G97" i="22" s="1"/>
  <c r="AG169" i="8"/>
  <c r="AO161" i="8"/>
  <c r="U161" i="8" s="1"/>
  <c r="M161" i="8"/>
  <c r="X161" i="8"/>
  <c r="K161" i="22" s="1"/>
  <c r="G161" i="22" s="1"/>
  <c r="X20" i="8"/>
  <c r="AO20" i="8"/>
  <c r="U20" i="8" s="1"/>
  <c r="M20" i="8"/>
  <c r="X59" i="11"/>
  <c r="Z12" i="11" s="1"/>
  <c r="Z12" i="10"/>
  <c r="K53" i="10"/>
  <c r="T61" i="8" l="1"/>
  <c r="X48" i="11" s="1"/>
  <c r="AH160" i="8"/>
  <c r="AN159" i="8" s="1"/>
  <c r="T159" i="8" s="1"/>
  <c r="Y56" i="10" s="1"/>
  <c r="Z11" i="10" s="1"/>
  <c r="N161" i="8"/>
  <c r="X160" i="8"/>
  <c r="K160" i="22" s="1"/>
  <c r="G160" i="22" s="1"/>
  <c r="AO160" i="8"/>
  <c r="U160" i="8" s="1"/>
  <c r="AE62" i="11" s="1"/>
  <c r="AF62" i="11" s="1"/>
  <c r="M160" i="8"/>
  <c r="H47" i="22"/>
  <c r="K47" i="22"/>
  <c r="G47" i="22" s="1"/>
  <c r="H20" i="22"/>
  <c r="K20" i="22"/>
  <c r="G20" i="22" s="1"/>
  <c r="H34" i="22"/>
  <c r="W61" i="8"/>
  <c r="K61" i="47" s="1"/>
  <c r="G61" i="47" s="1"/>
  <c r="Y48" i="11"/>
  <c r="AN9" i="8"/>
  <c r="T48" i="11" s="1"/>
  <c r="K83" i="11" s="1"/>
  <c r="T80" i="11" s="1"/>
  <c r="T44" i="11"/>
  <c r="V44" i="11" s="1"/>
  <c r="U44" i="11" s="1"/>
  <c r="Y42" i="9"/>
  <c r="X42" i="9" s="1"/>
  <c r="S42" i="11"/>
  <c r="V42" i="11" s="1"/>
  <c r="U42" i="11" s="1"/>
  <c r="Y41" i="9"/>
  <c r="X41" i="9" s="1"/>
  <c r="T35" i="9" s="1"/>
  <c r="J44" i="63" s="1"/>
  <c r="I117" i="22"/>
  <c r="D119" i="22" s="1"/>
  <c r="E97" i="22"/>
  <c r="AL97" i="4" s="1"/>
  <c r="AM97" i="8" s="1"/>
  <c r="E75" i="22"/>
  <c r="AL75" i="4" s="1"/>
  <c r="AM75" i="8" s="1"/>
  <c r="E62" i="22"/>
  <c r="AL62" i="4" s="1"/>
  <c r="AM62" i="8" s="1"/>
  <c r="X10" i="8"/>
  <c r="AO10" i="8"/>
  <c r="U10" i="8" s="1"/>
  <c r="S48" i="9" s="1"/>
  <c r="T48" i="9" s="1"/>
  <c r="AO75" i="8"/>
  <c r="U75" i="8" s="1"/>
  <c r="V49" i="9" s="1"/>
  <c r="W49" i="9" s="1"/>
  <c r="AL169" i="4"/>
  <c r="AM169" i="8" s="1"/>
  <c r="AL161" i="4"/>
  <c r="AM161" i="8" s="1"/>
  <c r="AL160" i="4"/>
  <c r="AM160" i="8" s="1"/>
  <c r="X75" i="8"/>
  <c r="K75" i="22" s="1"/>
  <c r="G75" i="22" s="1"/>
  <c r="AO47" i="8"/>
  <c r="U47" i="8" s="1"/>
  <c r="U54" i="11" s="1"/>
  <c r="V54" i="11" s="1"/>
  <c r="M47" i="8"/>
  <c r="AA10" i="11"/>
  <c r="O42" i="11"/>
  <c r="O141" i="8"/>
  <c r="AI141" i="8"/>
  <c r="AI153" i="8"/>
  <c r="O153" i="8"/>
  <c r="Z10" i="9"/>
  <c r="O42" i="9"/>
  <c r="O146" i="8"/>
  <c r="AI146" i="8"/>
  <c r="AO62" i="8"/>
  <c r="U62" i="8" s="1"/>
  <c r="V48" i="9" s="1"/>
  <c r="W48" i="9" s="1"/>
  <c r="X62" i="8"/>
  <c r="M62" i="8"/>
  <c r="M34" i="8"/>
  <c r="X34" i="8"/>
  <c r="AO34" i="8"/>
  <c r="U34" i="8" s="1"/>
  <c r="U52" i="11"/>
  <c r="V52" i="11" s="1"/>
  <c r="S49" i="9"/>
  <c r="T49" i="9" s="1"/>
  <c r="Y60" i="9"/>
  <c r="Z60" i="9" s="1"/>
  <c r="AE63" i="11"/>
  <c r="AF63" i="11" s="1"/>
  <c r="M169" i="8"/>
  <c r="X169" i="8"/>
  <c r="K169" i="22" s="1"/>
  <c r="G169" i="22" s="1"/>
  <c r="AO169" i="8"/>
  <c r="U169" i="8" s="1"/>
  <c r="V50" i="9"/>
  <c r="W50" i="9" s="1"/>
  <c r="Z53" i="11"/>
  <c r="AA53" i="11" s="1"/>
  <c r="V45" i="10"/>
  <c r="AF9" i="8" l="1"/>
  <c r="W9" i="8" s="1"/>
  <c r="K9" i="47" s="1"/>
  <c r="G9" i="47" s="1"/>
  <c r="I8" i="47" s="1"/>
  <c r="D109" i="47" s="1"/>
  <c r="AC109" i="4" s="1"/>
  <c r="J9" i="22"/>
  <c r="E20" i="22" s="1"/>
  <c r="AL20" i="4" s="1"/>
  <c r="AM20" i="8" s="1"/>
  <c r="AD59" i="11"/>
  <c r="Z56" i="10"/>
  <c r="AC59" i="11"/>
  <c r="Z11" i="11" s="1"/>
  <c r="O53" i="10"/>
  <c r="Y59" i="9"/>
  <c r="Z59" i="9" s="1"/>
  <c r="I159" i="22"/>
  <c r="D169" i="22" s="1"/>
  <c r="AE169" i="4" s="1"/>
  <c r="AI169" i="8" s="1"/>
  <c r="K62" i="22"/>
  <c r="G62" i="22" s="1"/>
  <c r="I61" i="22" s="1"/>
  <c r="D75" i="22" s="1"/>
  <c r="K10" i="22"/>
  <c r="G10" i="22" s="1"/>
  <c r="K34" i="22"/>
  <c r="G34" i="22" s="1"/>
  <c r="AJ9" i="8"/>
  <c r="AA9" i="8" s="1"/>
  <c r="L9" i="47" s="1"/>
  <c r="H9" i="47" s="1"/>
  <c r="J8" i="47" s="1"/>
  <c r="T9" i="8"/>
  <c r="T45" i="10"/>
  <c r="T38" i="11"/>
  <c r="T36" i="11" s="1"/>
  <c r="T37" i="11" s="1"/>
  <c r="S35" i="9"/>
  <c r="S36" i="9" s="1"/>
  <c r="D133" i="22"/>
  <c r="D124" i="22"/>
  <c r="D118" i="22"/>
  <c r="Z52" i="11"/>
  <c r="AA52" i="11" s="1"/>
  <c r="U51" i="11"/>
  <c r="V51" i="11" s="1"/>
  <c r="S51" i="9"/>
  <c r="T51" i="9" s="1"/>
  <c r="Z51" i="11"/>
  <c r="AA51" i="11" s="1"/>
  <c r="AO140" i="8"/>
  <c r="U53" i="11"/>
  <c r="V53" i="11" s="1"/>
  <c r="S50" i="9"/>
  <c r="T50" i="9" s="1"/>
  <c r="AE64" i="11"/>
  <c r="AF64" i="11" s="1"/>
  <c r="Y61" i="9"/>
  <c r="Z61" i="9" s="1"/>
  <c r="Z9" i="10"/>
  <c r="K42" i="10"/>
  <c r="U82" i="11"/>
  <c r="T82" i="11"/>
  <c r="Z9" i="11"/>
  <c r="E10" i="22" l="1"/>
  <c r="AL10" i="4" s="1"/>
  <c r="AM10" i="8" s="1"/>
  <c r="E34" i="22"/>
  <c r="AL34" i="4" s="1"/>
  <c r="AM34" i="8" s="1"/>
  <c r="E47" i="22"/>
  <c r="AL47" i="4" s="1"/>
  <c r="AM47" i="8" s="1"/>
  <c r="D9" i="47"/>
  <c r="AC9" i="4" s="1"/>
  <c r="AH9" i="8" s="1"/>
  <c r="D61" i="47"/>
  <c r="AC61" i="4" s="1"/>
  <c r="AH61" i="8" s="1"/>
  <c r="D160" i="22"/>
  <c r="AE160" i="4" s="1"/>
  <c r="AI160" i="8" s="1"/>
  <c r="D161" i="22"/>
  <c r="AE161" i="4" s="1"/>
  <c r="O161" i="8" s="1"/>
  <c r="I9" i="22"/>
  <c r="D34" i="22" s="1"/>
  <c r="AE34" i="4" s="1"/>
  <c r="S45" i="10"/>
  <c r="S48" i="11"/>
  <c r="Z14" i="11" s="1"/>
  <c r="E61" i="47"/>
  <c r="AJ61" i="4" s="1"/>
  <c r="AL61" i="8" s="1"/>
  <c r="E9" i="47"/>
  <c r="AJ9" i="4" s="1"/>
  <c r="AL9" i="8" s="1"/>
  <c r="E109" i="47"/>
  <c r="AJ109" i="4" s="1"/>
  <c r="AL109" i="8" s="1"/>
  <c r="D97" i="22"/>
  <c r="AE97" i="4" s="1"/>
  <c r="D62" i="22"/>
  <c r="AE62" i="4" s="1"/>
  <c r="AI62" i="8" s="1"/>
  <c r="AE75" i="4"/>
  <c r="AI75" i="8" s="1"/>
  <c r="W56" i="9"/>
  <c r="X140" i="8"/>
  <c r="K140" i="22" s="1"/>
  <c r="G140" i="22" s="1"/>
  <c r="W140" i="8"/>
  <c r="K140" i="47" s="1"/>
  <c r="G140" i="47" s="1"/>
  <c r="U140" i="8"/>
  <c r="AA59" i="11"/>
  <c r="N109" i="8"/>
  <c r="AH109" i="8"/>
  <c r="N9" i="8" l="1"/>
  <c r="N61" i="8"/>
  <c r="D20" i="22"/>
  <c r="AE20" i="4" s="1"/>
  <c r="AI20" i="8" s="1"/>
  <c r="D47" i="22"/>
  <c r="AE47" i="4" s="1"/>
  <c r="AI47" i="8" s="1"/>
  <c r="D10" i="22"/>
  <c r="AE10" i="4" s="1"/>
  <c r="AI10" i="8" s="1"/>
  <c r="O160" i="8"/>
  <c r="AI161" i="8"/>
  <c r="AO159" i="8" s="1"/>
  <c r="AF59" i="11" s="1"/>
  <c r="G42" i="10"/>
  <c r="Z14" i="10"/>
  <c r="AI97" i="8"/>
  <c r="AO61" i="8" s="1"/>
  <c r="W45" i="9" s="1"/>
  <c r="O97" i="8"/>
  <c r="O34" i="8"/>
  <c r="AI34" i="8"/>
  <c r="O62" i="8"/>
  <c r="O75" i="8"/>
  <c r="V56" i="9"/>
  <c r="Z59" i="11"/>
  <c r="AN8" i="8"/>
  <c r="O10" i="8" l="1"/>
  <c r="O47" i="8"/>
  <c r="O20" i="8"/>
  <c r="AO9" i="8"/>
  <c r="AK9" i="8" s="1"/>
  <c r="AB9" i="8" s="1"/>
  <c r="L9" i="22" s="1"/>
  <c r="H9" i="22" s="1"/>
  <c r="J8" i="22" s="1"/>
  <c r="U61" i="8"/>
  <c r="V45" i="9" s="1"/>
  <c r="AA48" i="11"/>
  <c r="X61" i="8"/>
  <c r="K61" i="22" s="1"/>
  <c r="G61" i="22" s="1"/>
  <c r="Z56" i="9"/>
  <c r="U159" i="8"/>
  <c r="AE59" i="11" s="1"/>
  <c r="W159" i="8"/>
  <c r="K159" i="47" s="1"/>
  <c r="G159" i="47" s="1"/>
  <c r="X159" i="8"/>
  <c r="K159" i="22" s="1"/>
  <c r="G159" i="22" s="1"/>
  <c r="AA12" i="11"/>
  <c r="K53" i="11"/>
  <c r="Z12" i="9"/>
  <c r="K53" i="9"/>
  <c r="S8" i="11"/>
  <c r="S8" i="10"/>
  <c r="S10" i="10" s="1"/>
  <c r="T8" i="8"/>
  <c r="N40" i="10" s="1"/>
  <c r="T45" i="9" l="1"/>
  <c r="V48" i="11"/>
  <c r="K80" i="11" s="1"/>
  <c r="X80" i="11" s="1"/>
  <c r="U9" i="8"/>
  <c r="S45" i="9" s="1"/>
  <c r="AG9" i="8"/>
  <c r="X9" i="8" s="1"/>
  <c r="K9" i="22" s="1"/>
  <c r="G9" i="22" s="1"/>
  <c r="I8" i="22" s="1"/>
  <c r="E109" i="22"/>
  <c r="AL109" i="4" s="1"/>
  <c r="AM109" i="8" s="1"/>
  <c r="E61" i="22"/>
  <c r="AL61" i="4" s="1"/>
  <c r="AM61" i="8" s="1"/>
  <c r="E9" i="22"/>
  <c r="AL9" i="4" s="1"/>
  <c r="AM9" i="8" s="1"/>
  <c r="Z48" i="11"/>
  <c r="K42" i="11" s="1"/>
  <c r="Y56" i="9"/>
  <c r="Z11" i="9" s="1"/>
  <c r="K42" i="9"/>
  <c r="Z9" i="9"/>
  <c r="O53" i="11"/>
  <c r="AA11" i="11"/>
  <c r="T24" i="10"/>
  <c r="S10" i="11"/>
  <c r="U48" i="11" l="1"/>
  <c r="AA14" i="11" s="1"/>
  <c r="D9" i="22"/>
  <c r="AE9" i="4" s="1"/>
  <c r="AI9" i="8" s="1"/>
  <c r="D61" i="22"/>
  <c r="AE61" i="4" s="1"/>
  <c r="AI61" i="8" s="1"/>
  <c r="D109" i="22"/>
  <c r="AE109" i="4" s="1"/>
  <c r="AI109" i="8" s="1"/>
  <c r="AA9" i="11"/>
  <c r="O53" i="9"/>
  <c r="Y82" i="11"/>
  <c r="X82" i="11"/>
  <c r="G42" i="11"/>
  <c r="Z14" i="9"/>
  <c r="G42" i="9"/>
  <c r="U26" i="10"/>
  <c r="T26" i="10"/>
  <c r="T24" i="11"/>
  <c r="O61" i="8" l="1"/>
  <c r="O109" i="8"/>
  <c r="O9" i="8"/>
  <c r="AO8" i="8"/>
  <c r="U26" i="11"/>
  <c r="T26" i="11"/>
  <c r="T8" i="11" l="1"/>
  <c r="S8" i="9"/>
  <c r="S10" i="9" s="1"/>
  <c r="U8" i="8"/>
  <c r="N40" i="9" s="1"/>
  <c r="T24" i="9" l="1"/>
  <c r="T10" i="11"/>
  <c r="N40" i="11"/>
  <c r="T26" i="9" l="1"/>
  <c r="U26" i="9"/>
  <c r="X24" i="11"/>
  <c r="X26" i="11" l="1"/>
  <c r="Y26" i="11"/>
  <c r="AE126" i="4" l="1"/>
  <c r="AE132" i="4" l="1"/>
  <c r="O132" i="8" s="1"/>
  <c r="AE125" i="4"/>
  <c r="AI126" i="8"/>
  <c r="O126" i="8"/>
  <c r="O125" i="8" l="1"/>
  <c r="AI125" i="8"/>
  <c r="AI132" i="8"/>
  <c r="AE124" i="4" l="1"/>
  <c r="AE118" i="4"/>
  <c r="O118" i="8" s="1"/>
  <c r="AE119" i="4"/>
  <c r="O119" i="8" s="1"/>
  <c r="AE133" i="4"/>
  <c r="AI133" i="8" s="1"/>
  <c r="AI119" i="8" l="1"/>
  <c r="O133" i="8"/>
  <c r="AI118" i="8"/>
  <c r="O124" i="8"/>
  <c r="AI124" i="8"/>
  <c r="E123" i="22" l="1"/>
  <c r="AL123" i="4" s="1"/>
  <c r="E122" i="22"/>
  <c r="AL122" i="4" s="1"/>
  <c r="S122" i="8" l="1"/>
  <c r="AM122" i="8"/>
  <c r="AM123" i="8"/>
  <c r="S123" i="8"/>
  <c r="AB121" i="8" l="1"/>
  <c r="L121" i="22" s="1"/>
  <c r="H121" i="22" s="1"/>
  <c r="J119" i="22" s="1"/>
  <c r="AL132" i="4" l="1"/>
  <c r="S132" i="8" s="1"/>
  <c r="AM132" i="8" l="1"/>
  <c r="AK126" i="8" s="1"/>
  <c r="AB126" i="8" s="1"/>
  <c r="L126" i="22" s="1"/>
  <c r="H126" i="22" s="1"/>
  <c r="J124" i="22" s="1"/>
  <c r="E120" i="22" s="1"/>
  <c r="AL120" i="4" s="1"/>
  <c r="E126" i="22" l="1"/>
  <c r="AL126" i="4" s="1"/>
  <c r="S126" i="8" s="1"/>
  <c r="E125" i="22"/>
  <c r="AL125" i="4" s="1"/>
  <c r="S125" i="8" s="1"/>
  <c r="E121" i="22"/>
  <c r="AL121" i="4" s="1"/>
  <c r="AM121" i="8" s="1"/>
  <c r="S120" i="8"/>
  <c r="AM120" i="8"/>
  <c r="AM125" i="8" l="1"/>
  <c r="S121" i="8"/>
  <c r="AM126" i="8"/>
  <c r="AK119" i="8"/>
  <c r="AK124" i="8" l="1"/>
  <c r="AO124" i="8" s="1"/>
  <c r="U124" i="8" s="1"/>
  <c r="AB119" i="8"/>
  <c r="L119" i="22" s="1"/>
  <c r="H119" i="22" s="1"/>
  <c r="AO119" i="8"/>
  <c r="U119" i="8" s="1"/>
  <c r="AB124" i="8" l="1"/>
  <c r="L124" i="22" s="1"/>
  <c r="H124" i="22" s="1"/>
  <c r="S61" i="9"/>
  <c r="T61" i="9" s="1"/>
  <c r="U64" i="11"/>
  <c r="V64" i="11" s="1"/>
  <c r="AO117" i="8"/>
  <c r="J117" i="22"/>
  <c r="E119" i="22" l="1"/>
  <c r="AL119" i="4" s="1"/>
  <c r="S119" i="8" s="1"/>
  <c r="E118" i="22"/>
  <c r="AL118" i="4" s="1"/>
  <c r="E124" i="22"/>
  <c r="AL124" i="4" s="1"/>
  <c r="E133" i="22"/>
  <c r="AL133" i="4" s="1"/>
  <c r="U117" i="8"/>
  <c r="W117" i="8"/>
  <c r="X117" i="8"/>
  <c r="V59" i="11"/>
  <c r="K81" i="11" s="1"/>
  <c r="T56" i="9"/>
  <c r="S60" i="9"/>
  <c r="T60" i="9" s="1"/>
  <c r="U63" i="11"/>
  <c r="V63" i="11" s="1"/>
  <c r="K117" i="22" l="1"/>
  <c r="G117" i="22" s="1"/>
  <c r="I116" i="22" s="1"/>
  <c r="K14" i="72"/>
  <c r="I14" i="72" s="1"/>
  <c r="G10" i="72" s="1"/>
  <c r="K117" i="47"/>
  <c r="G117" i="47" s="1"/>
  <c r="I116" i="47" s="1"/>
  <c r="D117" i="47" s="1"/>
  <c r="AC117" i="4" s="1"/>
  <c r="K14" i="73"/>
  <c r="I14" i="73" s="1"/>
  <c r="G10" i="73" s="1"/>
  <c r="AM133" i="8"/>
  <c r="S133" i="8"/>
  <c r="S124" i="8"/>
  <c r="AM124" i="8"/>
  <c r="AM118" i="8"/>
  <c r="S118" i="8"/>
  <c r="M80" i="11"/>
  <c r="X79" i="11"/>
  <c r="D117" i="22"/>
  <c r="AE117" i="4" s="1"/>
  <c r="D159" i="22"/>
  <c r="AE159" i="4" s="1"/>
  <c r="D140" i="22"/>
  <c r="AE140" i="4" s="1"/>
  <c r="S56" i="9"/>
  <c r="U59" i="11"/>
  <c r="AM119" i="8"/>
  <c r="D140" i="47" l="1"/>
  <c r="AC140" i="4" s="1"/>
  <c r="D15" i="72"/>
  <c r="P15" i="70" s="1"/>
  <c r="T15" i="70" s="1"/>
  <c r="G15" i="70" s="1"/>
  <c r="D18" i="72"/>
  <c r="P18" i="70" s="1"/>
  <c r="T18" i="70" s="1"/>
  <c r="G18" i="70" s="1"/>
  <c r="D12" i="72"/>
  <c r="P12" i="70" s="1"/>
  <c r="T12" i="70" s="1"/>
  <c r="G12" i="70" s="1"/>
  <c r="D13" i="72"/>
  <c r="P13" i="70" s="1"/>
  <c r="T13" i="70" s="1"/>
  <c r="G13" i="70" s="1"/>
  <c r="D14" i="72"/>
  <c r="P14" i="70" s="1"/>
  <c r="T14" i="70" s="1"/>
  <c r="G14" i="70" s="1"/>
  <c r="D11" i="72"/>
  <c r="P11" i="70" s="1"/>
  <c r="T11" i="70" s="1"/>
  <c r="G11" i="70" s="1"/>
  <c r="D17" i="72"/>
  <c r="P17" i="70" s="1"/>
  <c r="T17" i="70" s="1"/>
  <c r="G17" i="70" s="1"/>
  <c r="D16" i="72"/>
  <c r="P16" i="70" s="1"/>
  <c r="T16" i="70" s="1"/>
  <c r="G16" i="70" s="1"/>
  <c r="D11" i="73"/>
  <c r="P11" i="71" s="1"/>
  <c r="T11" i="71" s="1"/>
  <c r="G11" i="71" s="1"/>
  <c r="D14" i="73"/>
  <c r="P14" i="71" s="1"/>
  <c r="T14" i="71" s="1"/>
  <c r="G14" i="71" s="1"/>
  <c r="D16" i="73"/>
  <c r="P16" i="71" s="1"/>
  <c r="T16" i="71" s="1"/>
  <c r="G16" i="71" s="1"/>
  <c r="D17" i="73"/>
  <c r="P17" i="71" s="1"/>
  <c r="T17" i="71" s="1"/>
  <c r="G17" i="71" s="1"/>
  <c r="D18" i="73"/>
  <c r="P18" i="71" s="1"/>
  <c r="T18" i="71" s="1"/>
  <c r="G18" i="71" s="1"/>
  <c r="D15" i="73"/>
  <c r="P15" i="71" s="1"/>
  <c r="T15" i="71" s="1"/>
  <c r="G15" i="71" s="1"/>
  <c r="D13" i="73"/>
  <c r="P13" i="71" s="1"/>
  <c r="T13" i="71" s="1"/>
  <c r="G13" i="71" s="1"/>
  <c r="D12" i="73"/>
  <c r="P12" i="71" s="1"/>
  <c r="T12" i="71" s="1"/>
  <c r="G12" i="71" s="1"/>
  <c r="D159" i="47"/>
  <c r="AC159" i="4" s="1"/>
  <c r="AH159" i="8" s="1"/>
  <c r="AA13" i="11"/>
  <c r="O117" i="8"/>
  <c r="AI117" i="8"/>
  <c r="G53" i="9"/>
  <c r="Z13" i="9"/>
  <c r="W81" i="11"/>
  <c r="X81" i="11"/>
  <c r="N159" i="8"/>
  <c r="O140" i="8"/>
  <c r="AI140" i="8"/>
  <c r="AH140" i="8"/>
  <c r="N140" i="8"/>
  <c r="O159" i="8"/>
  <c r="AI159" i="8"/>
  <c r="AH117" i="8"/>
  <c r="N117" i="8"/>
  <c r="H10" i="71" l="1"/>
  <c r="L18" i="71"/>
  <c r="L18" i="70"/>
  <c r="H10" i="70"/>
  <c r="AO116" i="8"/>
  <c r="J52" i="63" l="1"/>
  <c r="J10" i="70"/>
  <c r="X11" i="70"/>
  <c r="G67" i="9"/>
  <c r="J52" i="64"/>
  <c r="G67" i="10"/>
  <c r="X11" i="71"/>
  <c r="J10" i="71"/>
  <c r="X116" i="8"/>
  <c r="K116" i="22" s="1"/>
  <c r="G116" i="22" s="1"/>
  <c r="T9" i="11"/>
  <c r="T11" i="11" s="1"/>
  <c r="U116" i="8"/>
  <c r="N51" i="9" s="1"/>
  <c r="S9" i="9"/>
  <c r="S11" i="9" s="1"/>
  <c r="W116" i="8"/>
  <c r="K116" i="47" s="1"/>
  <c r="G116" i="47" s="1"/>
  <c r="K65" i="10" l="1"/>
  <c r="N49" i="64"/>
  <c r="W11" i="71"/>
  <c r="X13" i="71"/>
  <c r="X14" i="71" s="1"/>
  <c r="X12" i="71"/>
  <c r="AI11" i="71"/>
  <c r="X12" i="70"/>
  <c r="AI11" i="70"/>
  <c r="X13" i="70"/>
  <c r="X14" i="70" s="1"/>
  <c r="K65" i="9"/>
  <c r="W11" i="70"/>
  <c r="N49" i="63"/>
  <c r="S12" i="9"/>
  <c r="T23" i="9"/>
  <c r="T12" i="11"/>
  <c r="X23" i="11"/>
  <c r="W13" i="70" l="1"/>
  <c r="W14" i="70" s="1"/>
  <c r="W12" i="70"/>
  <c r="W12" i="71"/>
  <c r="W13" i="71"/>
  <c r="W14" i="71" s="1"/>
  <c r="T25" i="9"/>
  <c r="S25" i="9"/>
  <c r="X25" i="11"/>
  <c r="W25" i="11"/>
  <c r="T13" i="11"/>
  <c r="T15" i="11" s="1"/>
  <c r="T16" i="11" s="1"/>
  <c r="S13" i="9"/>
  <c r="C24" i="9" l="1"/>
  <c r="K25" i="63"/>
  <c r="S15" i="9"/>
  <c r="S16" i="9" s="1"/>
  <c r="D25" i="11"/>
  <c r="AJ132" i="4"/>
  <c r="R132" i="8" s="1"/>
  <c r="AL132" i="8"/>
  <c r="AJ126" i="8" s="1"/>
  <c r="AA126" i="8" s="1"/>
  <c r="L126" i="47" s="1"/>
  <c r="H126" i="47" s="1"/>
  <c r="J124" i="47" s="1"/>
  <c r="E126" i="47" l="1"/>
  <c r="AJ126" i="4" s="1"/>
  <c r="E125" i="47"/>
  <c r="AJ125" i="4" s="1"/>
  <c r="AL125" i="8" l="1"/>
  <c r="R125" i="8"/>
  <c r="R126" i="8"/>
  <c r="AL126" i="8"/>
  <c r="AJ124" i="8" l="1"/>
  <c r="AN124" i="8" s="1"/>
  <c r="AA124" i="8" l="1"/>
  <c r="L124" i="47" s="1"/>
  <c r="H124" i="47" s="1"/>
  <c r="J117" i="47" s="1"/>
  <c r="E124" i="47" s="1"/>
  <c r="AJ124" i="4" s="1"/>
  <c r="T124" i="8"/>
  <c r="AN117" i="8"/>
  <c r="E133" i="47" l="1"/>
  <c r="AJ133" i="4" s="1"/>
  <c r="E118" i="47"/>
  <c r="AJ118" i="4" s="1"/>
  <c r="R118" i="8" s="1"/>
  <c r="E119" i="47"/>
  <c r="AJ119" i="4" s="1"/>
  <c r="R119" i="8" s="1"/>
  <c r="AL133" i="8"/>
  <c r="R133" i="8"/>
  <c r="AL124" i="8"/>
  <c r="R124" i="8"/>
  <c r="T56" i="10"/>
  <c r="AN116" i="8"/>
  <c r="T59" i="11"/>
  <c r="K84" i="11" s="1"/>
  <c r="T117" i="8"/>
  <c r="S61" i="10"/>
  <c r="T61" i="10" s="1"/>
  <c r="S64" i="11"/>
  <c r="T64" i="11" s="1"/>
  <c r="AL118" i="8" l="1"/>
  <c r="AL119" i="8"/>
  <c r="S59" i="11"/>
  <c r="S56" i="10"/>
  <c r="M83" i="11"/>
  <c r="M78" i="11" s="1"/>
  <c r="T79" i="11"/>
  <c r="T116" i="8"/>
  <c r="N51" i="10" s="1"/>
  <c r="S9" i="11"/>
  <c r="S9" i="10"/>
  <c r="S11" i="10" s="1"/>
  <c r="S81" i="11" l="1"/>
  <c r="T81" i="11"/>
  <c r="S12" i="10"/>
  <c r="T23" i="10"/>
  <c r="N51" i="11"/>
  <c r="S11" i="11"/>
  <c r="Z13" i="10"/>
  <c r="G53" i="10"/>
  <c r="G53" i="11"/>
  <c r="Z13" i="11"/>
  <c r="T25" i="10" l="1"/>
  <c r="S25" i="10"/>
  <c r="S13" i="10"/>
  <c r="S12" i="11"/>
  <c r="T23" i="11"/>
  <c r="C24" i="10" l="1"/>
  <c r="K25" i="64"/>
  <c r="S15" i="10"/>
  <c r="S16" i="10" s="1"/>
  <c r="S25" i="11"/>
  <c r="T25" i="11"/>
  <c r="S13" i="11"/>
  <c r="S15" i="11" s="1"/>
  <c r="S16" i="11" s="1"/>
  <c r="F38" i="11" l="1"/>
  <c r="D24" i="11"/>
  <c r="E38" i="11"/>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H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H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
などを行っている場合は記述
する。</t>
        </r>
      </text>
    </comment>
    <comment ref="C41" authorId="0">
      <text>
        <r>
          <rPr>
            <sz val="9"/>
            <color indexed="81"/>
            <rFont val="ＭＳ Ｐゴシック"/>
            <family val="3"/>
            <charset val="128"/>
          </rPr>
          <t>2003/6等と入力して下さい。
2003年6月と表示されます。</t>
        </r>
      </text>
    </comment>
    <comment ref="H41" authorId="0">
      <text>
        <r>
          <rPr>
            <sz val="9"/>
            <color indexed="81"/>
            <rFont val="ＭＳ Ｐゴシック"/>
            <family val="3"/>
            <charset val="128"/>
          </rPr>
          <t>2003/6等と入力して下さい。
2003年6月と表示されます。</t>
        </r>
      </text>
    </comment>
    <comment ref="E68" authorId="0">
      <text>
        <r>
          <rPr>
            <sz val="9"/>
            <color indexed="81"/>
            <rFont val="ＭＳ Ｐゴシック"/>
            <family val="3"/>
            <charset val="128"/>
          </rPr>
          <t>小数値(「0.9」など)で
比率を入力して下さい。</t>
        </r>
      </text>
    </comment>
    <comment ref="J68" authorId="0">
      <text>
        <r>
          <rPr>
            <sz val="9"/>
            <color indexed="81"/>
            <rFont val="ＭＳ Ｐゴシック"/>
            <family val="3"/>
            <charset val="128"/>
          </rPr>
          <t>小数値(「0.9」など)で
比率を入力して下さい。</t>
        </r>
      </text>
    </comment>
    <comment ref="E69" authorId="0">
      <text>
        <r>
          <rPr>
            <sz val="9"/>
            <color indexed="81"/>
            <rFont val="ＭＳ Ｐゴシック"/>
            <family val="3"/>
            <charset val="128"/>
          </rPr>
          <t>小数値(「0.9」など)で
比率を入力して下さい。</t>
        </r>
      </text>
    </comment>
    <comment ref="J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共通</author>
    <author>Junko ENDO</author>
    <author xml:space="preserve"> </author>
  </authors>
  <commentList>
    <comment ref="M6" authorId="0">
      <text>
        <r>
          <rPr>
            <sz val="11"/>
            <color indexed="81"/>
            <rFont val="ＭＳ Ｐゴシック"/>
            <family val="3"/>
            <charset val="128"/>
          </rPr>
          <t>改修前の建物の評価を入力
（改修工事の対象部分、改修しない部分とも）。
改修前後の比較をする場合のみ記入。</t>
        </r>
      </text>
    </comment>
    <comment ref="T6" authorId="0">
      <text>
        <r>
          <rPr>
            <sz val="11"/>
            <color indexed="81"/>
            <rFont val="ＭＳ Ｐゴシック"/>
            <family val="3"/>
            <charset val="128"/>
          </rPr>
          <t>改修前の建物の評価を入力
（改修工事の対象部分、改修しない部分とも）。
改修前後の比較をする場合のみ記入。</t>
        </r>
      </text>
    </comment>
    <comment ref="P32" authorId="1">
      <text>
        <r>
          <rPr>
            <b/>
            <sz val="10"/>
            <color indexed="81"/>
            <rFont val="ＭＳ Ｐゴシック"/>
            <family val="3"/>
            <charset val="128"/>
          </rPr>
          <t>NCで評価するときは、
2.3.1 と 2.3.2 に
同じスコアを入力</t>
        </r>
      </text>
    </comment>
    <comment ref="W32" authorId="2">
      <text>
        <r>
          <rPr>
            <b/>
            <sz val="9"/>
            <color indexed="81"/>
            <rFont val="ＭＳ Ｐゴシック"/>
            <family val="3"/>
            <charset val="128"/>
          </rPr>
          <t>NCで評価するときは、
2.3.1 と 2.3.2 に
同じスコアを入力</t>
        </r>
      </text>
    </comment>
  </commentList>
</comments>
</file>

<file path=xl/comments3.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 ref="L101" authorId="0">
      <text>
        <r>
          <rPr>
            <b/>
            <sz val="9"/>
            <color indexed="81"/>
            <rFont val="ＭＳ Ｐゴシック"/>
            <family val="3"/>
            <charset val="128"/>
          </rPr>
          <t>年間の直接利用量（㎡あたり）を入力します</t>
        </r>
      </text>
    </comment>
  </commentList>
</comments>
</file>

<file path=xl/comments4.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 ref="L101" authorId="0">
      <text>
        <r>
          <rPr>
            <b/>
            <sz val="9"/>
            <color indexed="81"/>
            <rFont val="ＭＳ Ｐゴシック"/>
            <family val="3"/>
            <charset val="128"/>
          </rPr>
          <t>年間の直接利用量（㎡あたり）を入力します</t>
        </r>
      </text>
    </comment>
  </commentList>
</comments>
</file>

<file path=xl/comments5.xml><?xml version="1.0" encoding="utf-8"?>
<comments xmlns="http://schemas.openxmlformats.org/spreadsheetml/2006/main">
  <authors>
    <author>-</author>
    <author>Junko ENDO</author>
    <author>柳井　崇</author>
  </authors>
  <commentList>
    <comment ref="J8" authorId="0">
      <text>
        <r>
          <rPr>
            <b/>
            <sz val="9"/>
            <color indexed="81"/>
            <rFont val="ＭＳ Ｐゴシック"/>
            <family val="3"/>
            <charset val="128"/>
          </rPr>
          <t>以下のいずれかで算定
ア）330MJ/年×省エネ計算対象の工場部分の床面積
イ）評価者による計算
ウ）省エネ計算対象の実測値</t>
        </r>
      </text>
    </comment>
    <comment ref="I14" authorId="0">
      <text>
        <r>
          <rPr>
            <b/>
            <sz val="9"/>
            <color indexed="81"/>
            <rFont val="ＭＳ Ｐゴシック"/>
            <family val="3"/>
            <charset val="128"/>
          </rPr>
          <t>80％以上の場合、実績評価は対象外とする。</t>
        </r>
      </text>
    </comment>
    <comment ref="I15" authorId="0">
      <text>
        <r>
          <rPr>
            <b/>
            <sz val="9"/>
            <color indexed="81"/>
            <rFont val="ＭＳ Ｐゴシック"/>
            <family val="3"/>
            <charset val="128"/>
          </rPr>
          <t>各々20%以下であれば除外してよい。</t>
        </r>
      </text>
    </comment>
    <comment ref="H24" authorId="1">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text>
        <r>
          <rPr>
            <b/>
            <sz val="9"/>
            <color indexed="81"/>
            <rFont val="ＭＳ Ｐゴシック"/>
            <family val="3"/>
            <charset val="128"/>
          </rPr>
          <t>合計が1.0になるように比率を入力</t>
        </r>
      </text>
    </comment>
    <comment ref="I48" authorId="2">
      <text>
        <r>
          <rPr>
            <b/>
            <sz val="9"/>
            <color indexed="81"/>
            <rFont val="ＭＳ Ｐゴシック"/>
            <family val="3"/>
            <charset val="128"/>
          </rPr>
          <t>工場、集合住宅は除く</t>
        </r>
      </text>
    </comment>
  </commentList>
</comments>
</file>

<file path=xl/comments6.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comments7.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<sst xmlns="http://schemas.openxmlformats.org/spreadsheetml/2006/main" count="8029" uniqueCount="2041">
  <si>
    <t>非再生性材料の削減</t>
    <rPh sb="0" eb="1">
      <t>ヒ</t>
    </rPh>
    <rPh sb="1" eb="3">
      <t>サイセイ</t>
    </rPh>
    <rPh sb="3" eb="4">
      <t>セイ</t>
    </rPh>
    <rPh sb="4" eb="6">
      <t>ザイリョウ</t>
    </rPh>
    <rPh sb="7" eb="9">
      <t>サクゲン</t>
    </rPh>
    <phoneticPr fontId="20"/>
  </si>
  <si>
    <t>地域環境への配慮</t>
    <rPh sb="0" eb="2">
      <t>チイキ</t>
    </rPh>
    <rPh sb="2" eb="4">
      <t>カンキョウ</t>
    </rPh>
    <rPh sb="6" eb="8">
      <t>ハイリョ</t>
    </rPh>
    <phoneticPr fontId="20"/>
  </si>
  <si>
    <t>設備の効率的利用</t>
    <rPh sb="0" eb="2">
      <t>セツビ</t>
    </rPh>
    <rPh sb="3" eb="5">
      <t>コウリツ</t>
    </rPh>
    <rPh sb="5" eb="6">
      <t>テキ</t>
    </rPh>
    <rPh sb="6" eb="8">
      <t>リヨウ</t>
    </rPh>
    <phoneticPr fontId="20"/>
  </si>
  <si>
    <t>汚染物質回避</t>
    <rPh sb="0" eb="2">
      <t>オセン</t>
    </rPh>
    <rPh sb="2" eb="4">
      <t>ブッシツ</t>
    </rPh>
    <rPh sb="4" eb="6">
      <t>カイヒ</t>
    </rPh>
    <phoneticPr fontId="20"/>
  </si>
  <si>
    <t>周辺環境への配慮</t>
    <rPh sb="0" eb="2">
      <t>シュウヘン</t>
    </rPh>
    <rPh sb="2" eb="4">
      <t>カンキョウ</t>
    </rPh>
    <rPh sb="6" eb="8">
      <t>ハイリョ</t>
    </rPh>
    <phoneticPr fontId="20"/>
  </si>
  <si>
    <t>運用ﾏﾈｼﾞﾒﾝﾄ</t>
    <rPh sb="0" eb="2">
      <t>ウンヨウ</t>
    </rPh>
    <phoneticPr fontId="20"/>
  </si>
  <si>
    <r>
      <t>3</t>
    </r>
    <r>
      <rPr>
        <b/>
        <sz val="12"/>
        <color indexed="9"/>
        <rFont val="ＭＳ Ｐゴシック"/>
        <family val="3"/>
        <charset val="128"/>
      </rPr>
      <t>　設計上の配慮事項</t>
    </r>
    <rPh sb="2" eb="4">
      <t>セッケイ</t>
    </rPh>
    <rPh sb="4" eb="5">
      <t>ジョウ</t>
    </rPh>
    <rPh sb="6" eb="8">
      <t>ハイリョ</t>
    </rPh>
    <rPh sb="8" eb="10">
      <t>ジコウ</t>
    </rPh>
    <phoneticPr fontId="20"/>
  </si>
  <si>
    <t>総合</t>
    <rPh sb="0" eb="2">
      <t>ｿｳｺﾞｳ</t>
    </rPh>
    <phoneticPr fontId="30" type="noConversion"/>
  </si>
  <si>
    <t>その他</t>
    <rPh sb="2" eb="3">
      <t>ﾀ</t>
    </rPh>
    <phoneticPr fontId="3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</si>
  <si>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0" type="noConversion"/>
  </si>
  <si>
    <t>注3</t>
    <rPh sb="0" eb="1">
      <t>チュウ</t>
    </rPh>
    <phoneticPr fontId="20"/>
  </si>
  <si>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0" type="noConversion"/>
  </si>
  <si>
    <t>年間延床面積あたり指標</t>
    <rPh sb="0" eb="2">
      <t>ネンカン</t>
    </rPh>
    <rPh sb="2" eb="3">
      <t>ノ</t>
    </rPh>
    <rPh sb="3" eb="6">
      <t>ユカメンセキ</t>
    </rPh>
    <rPh sb="9" eb="11">
      <t>シヒョウ</t>
    </rPh>
    <phoneticPr fontId="20"/>
  </si>
  <si>
    <t>人・時間あたり指標</t>
    <rPh sb="0" eb="1">
      <t>ニン</t>
    </rPh>
    <rPh sb="2" eb="4">
      <t>ジカン</t>
    </rPh>
    <rPh sb="7" eb="9">
      <t>シヒョウ</t>
    </rPh>
    <phoneticPr fontId="20"/>
  </si>
  <si>
    <t>年間延床面積あたり削減量</t>
    <rPh sb="0" eb="2">
      <t>ネンカン</t>
    </rPh>
    <rPh sb="2" eb="3">
      <t>ノ</t>
    </rPh>
    <rPh sb="3" eb="6">
      <t>ユカメンセキ</t>
    </rPh>
    <rPh sb="9" eb="11">
      <t>サクゲン</t>
    </rPh>
    <rPh sb="11" eb="12">
      <t>リョウ</t>
    </rPh>
    <phoneticPr fontId="20"/>
  </si>
  <si>
    <t>削減率　％</t>
    <rPh sb="0" eb="2">
      <t>サクゲン</t>
    </rPh>
    <rPh sb="2" eb="3">
      <t>リツ</t>
    </rPh>
    <phoneticPr fontId="20"/>
  </si>
  <si>
    <t>%</t>
    <phoneticPr fontId="20"/>
  </si>
  <si>
    <t>運用エネルギー消費量</t>
    <rPh sb="0" eb="2">
      <t>ｳﾝﾖｳ</t>
    </rPh>
    <rPh sb="7" eb="10">
      <t>ｼｮｳﾋﾘｮｳ</t>
    </rPh>
    <phoneticPr fontId="30" type="noConversion"/>
  </si>
  <si>
    <r>
      <t>ＭＪ</t>
    </r>
    <r>
      <rPr>
        <sz val="10"/>
        <rFont val="Arial"/>
        <family val="2"/>
      </rPr>
      <t>/</t>
    </r>
    <r>
      <rPr>
        <sz val="10"/>
        <rFont val="ＭＳ Ｐゴシック"/>
        <family val="3"/>
        <charset val="128"/>
      </rPr>
      <t>年㎡</t>
    </r>
    <rPh sb="3" eb="4">
      <t>ネン</t>
    </rPh>
    <phoneticPr fontId="20"/>
  </si>
  <si>
    <r>
      <t>ＭＪ</t>
    </r>
    <r>
      <rPr>
        <sz val="10"/>
        <rFont val="Arial"/>
        <family val="2"/>
      </rPr>
      <t>/</t>
    </r>
    <r>
      <rPr>
        <sz val="10"/>
        <rFont val="ＭＳ Ｐゴシック"/>
        <family val="3"/>
        <charset val="128"/>
      </rPr>
      <t>人時</t>
    </r>
    <rPh sb="3" eb="4">
      <t>ニン</t>
    </rPh>
    <rPh sb="4" eb="5">
      <t>ジ</t>
    </rPh>
    <phoneticPr fontId="20"/>
  </si>
  <si>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</si>
  <si>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0"/>
  </si>
  <si>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0"/>
  </si>
  <si>
    <t>水消費量</t>
    <rPh sb="0" eb="1">
      <t>ﾐｽﾞ</t>
    </rPh>
    <rPh sb="1" eb="4">
      <t>ｼｮｳﾋﾘｮｳ</t>
    </rPh>
    <phoneticPr fontId="3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</si>
  <si>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0"/>
  </si>
  <si>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0"/>
  </si>
  <si>
    <r>
      <t>LCCO</t>
    </r>
    <r>
      <rPr>
        <vertAlign val="subscript"/>
        <sz val="10"/>
        <rFont val="Arial"/>
        <family val="2"/>
      </rPr>
      <t>2</t>
    </r>
    <r>
      <rPr>
        <sz val="10"/>
        <rFont val="ＭＳ Ｐゴシック"/>
        <family val="3"/>
        <charset val="128"/>
      </rPr>
      <t>排出量</t>
    </r>
    <rPh sb="5" eb="7">
      <t>ハイシュツ</t>
    </rPh>
    <rPh sb="7" eb="8">
      <t>リョウ</t>
    </rPh>
    <phoneticPr fontId="20"/>
  </si>
  <si>
    <r>
      <t>LC</t>
    </r>
    <r>
      <rPr>
        <sz val="10"/>
        <rFont val="ＭＳ Ｐゴシック"/>
        <family val="3"/>
        <charset val="128"/>
      </rPr>
      <t>廃棄物量</t>
    </r>
    <rPh sb="2" eb="5">
      <t>ハイキブツ</t>
    </rPh>
    <rPh sb="5" eb="6">
      <t>リョウ</t>
    </rPh>
    <phoneticPr fontId="20"/>
  </si>
  <si>
    <r>
      <t>ｔ</t>
    </r>
    <r>
      <rPr>
        <sz val="10"/>
        <rFont val="Arial"/>
        <family val="2"/>
      </rPr>
      <t>/</t>
    </r>
    <r>
      <rPr>
        <sz val="10"/>
        <rFont val="ＭＳ Ｐゴシック"/>
        <family val="3"/>
        <charset val="128"/>
      </rPr>
      <t>年㎡</t>
    </r>
    <rPh sb="2" eb="3">
      <t>ネン</t>
    </rPh>
    <phoneticPr fontId="20"/>
  </si>
  <si>
    <r>
      <t>ｔ</t>
    </r>
    <r>
      <rPr>
        <sz val="10"/>
        <rFont val="Arial"/>
        <family val="2"/>
      </rPr>
      <t>/</t>
    </r>
    <r>
      <rPr>
        <sz val="10"/>
        <rFont val="ＭＳ Ｐゴシック"/>
        <family val="3"/>
        <charset val="128"/>
      </rPr>
      <t>人時</t>
    </r>
    <rPh sb="2" eb="3">
      <t>ニン</t>
    </rPh>
    <rPh sb="3" eb="4">
      <t>ジ</t>
    </rPh>
    <phoneticPr fontId="20"/>
  </si>
  <si>
    <r>
      <t>LC</t>
    </r>
    <r>
      <rPr>
        <sz val="10"/>
        <rFont val="ＭＳ Ｐゴシック"/>
        <family val="3"/>
        <charset val="128"/>
      </rPr>
      <t>資源消費量</t>
    </r>
    <rPh sb="2" eb="4">
      <t>シゲン</t>
    </rPh>
    <rPh sb="4" eb="6">
      <t>ショウヒ</t>
    </rPh>
    <rPh sb="6" eb="7">
      <t>リョウ</t>
    </rPh>
    <phoneticPr fontId="20"/>
  </si>
  <si>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0" type="noConversion"/>
  </si>
  <si>
    <t>設計段階</t>
    <rPh sb="0" eb="2">
      <t>ｾｯｹｲ</t>
    </rPh>
    <rPh sb="2" eb="4">
      <t>ﾀﾞﾝｶｲ</t>
    </rPh>
    <phoneticPr fontId="30" type="noConversion"/>
  </si>
  <si>
    <t>建設段階</t>
    <rPh sb="0" eb="2">
      <t>ｹﾝｾﾂ</t>
    </rPh>
    <rPh sb="2" eb="4">
      <t>ﾀﾞﾝｶｲ</t>
    </rPh>
    <phoneticPr fontId="30" type="noConversion"/>
  </si>
  <si>
    <t>有資格者による設計</t>
    <rPh sb="0" eb="4">
      <t>ﾕｳｼｶｸｼｬ</t>
    </rPh>
    <rPh sb="7" eb="9">
      <t>ｾｯｹｲ</t>
    </rPh>
    <phoneticPr fontId="30" type="noConversion"/>
  </si>
  <si>
    <t>環境管理計画</t>
    <rPh sb="0" eb="2">
      <t>ｶﾝｷｮｳ</t>
    </rPh>
    <rPh sb="2" eb="4">
      <t>ｶﾝﾘ</t>
    </rPh>
    <rPh sb="4" eb="6">
      <t>ｹｲｶｸ</t>
    </rPh>
    <phoneticPr fontId="30" type="noConversion"/>
  </si>
  <si>
    <r>
      <t>凡例　　　　　</t>
    </r>
    <r>
      <rPr>
        <sz val="8"/>
        <color indexed="10"/>
        <rFont val="Arial"/>
        <family val="2"/>
      </rPr>
      <t>Q</t>
    </r>
    <r>
      <rPr>
        <sz val="8"/>
        <color indexed="10"/>
        <rFont val="ＭＳ Ｐゴシック"/>
        <family val="3"/>
        <charset val="128"/>
      </rPr>
      <t>：</t>
    </r>
    <rPh sb="0" eb="2">
      <t>ハンレイ</t>
    </rPh>
    <phoneticPr fontId="20"/>
  </si>
  <si>
    <t>Quality</t>
    <phoneticPr fontId="20"/>
  </si>
  <si>
    <r>
      <t>L</t>
    </r>
    <r>
      <rPr>
        <sz val="8"/>
        <color indexed="10"/>
        <rFont val="ＭＳ Ｐゴシック"/>
        <family val="3"/>
        <charset val="128"/>
      </rPr>
      <t>：</t>
    </r>
    <r>
      <rPr>
        <sz val="8"/>
        <color indexed="10"/>
        <rFont val="Arial"/>
        <family val="2"/>
      </rPr>
      <t>Load</t>
    </r>
    <phoneticPr fontId="20"/>
  </si>
  <si>
    <r>
      <t>LR</t>
    </r>
    <r>
      <rPr>
        <sz val="8"/>
        <color indexed="10"/>
        <rFont val="ＭＳ Ｐゴシック"/>
        <family val="3"/>
        <charset val="128"/>
      </rPr>
      <t>：</t>
    </r>
    <r>
      <rPr>
        <sz val="8"/>
        <color indexed="10"/>
        <rFont val="Arial"/>
        <family val="2"/>
      </rPr>
      <t>Load Reduction</t>
    </r>
    <phoneticPr fontId="20"/>
  </si>
  <si>
    <r>
      <t>SQ</t>
    </r>
    <r>
      <rPr>
        <sz val="8"/>
        <color indexed="10"/>
        <rFont val="ＭＳ Ｐゴシック"/>
        <family val="3"/>
        <charset val="128"/>
      </rPr>
      <t>：</t>
    </r>
    <r>
      <rPr>
        <sz val="8"/>
        <color indexed="10"/>
        <rFont val="Arial"/>
        <family val="2"/>
      </rPr>
      <t>Score of Q category</t>
    </r>
    <phoneticPr fontId="20"/>
  </si>
  <si>
    <r>
      <t>SLR</t>
    </r>
    <r>
      <rPr>
        <sz val="8"/>
        <color indexed="10"/>
        <rFont val="ＭＳ Ｐゴシック"/>
        <family val="3"/>
        <charset val="128"/>
      </rPr>
      <t>：</t>
    </r>
    <r>
      <rPr>
        <sz val="8"/>
        <color indexed="10"/>
        <rFont val="Arial"/>
        <family val="2"/>
      </rPr>
      <t>Score of LR category</t>
    </r>
    <phoneticPr fontId="20"/>
  </si>
  <si>
    <r>
      <t>BEE</t>
    </r>
    <r>
      <rPr>
        <sz val="8"/>
        <color indexed="10"/>
        <rFont val="ＭＳ Ｐゴシック"/>
        <family val="3"/>
        <charset val="128"/>
      </rPr>
      <t>：</t>
    </r>
    <r>
      <rPr>
        <sz val="8"/>
        <color indexed="10"/>
        <rFont val="Arial"/>
        <family val="2"/>
      </rPr>
      <t>Building Environmental Efficiency</t>
    </r>
    <phoneticPr fontId="20"/>
  </si>
  <si>
    <t>備考　　　　注1：</t>
    <rPh sb="6" eb="7">
      <t>チュウ</t>
    </rPh>
    <phoneticPr fontId="20"/>
  </si>
  <si>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0"/>
  </si>
  <si>
    <t>注2：</t>
    <rPh sb="0" eb="1">
      <t>チュウ</t>
    </rPh>
    <phoneticPr fontId="20"/>
  </si>
  <si>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0"/>
  </si>
  <si>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0"/>
  </si>
  <si>
    <t>注3：</t>
    <rPh sb="0" eb="1">
      <t>チュウ</t>
    </rPh>
    <phoneticPr fontId="20"/>
  </si>
  <si>
    <t>BEE(Round)</t>
    <phoneticPr fontId="20"/>
  </si>
  <si>
    <t>LR1</t>
    <phoneticPr fontId="20"/>
  </si>
  <si>
    <t>LR1 
エネルギー</t>
    <phoneticPr fontId="20"/>
  </si>
  <si>
    <t>経過年数</t>
    <rPh sb="0" eb="2">
      <t>ケイカ</t>
    </rPh>
    <rPh sb="2" eb="4">
      <t>ネンスウ</t>
    </rPh>
    <phoneticPr fontId="20"/>
  </si>
  <si>
    <t>Q1</t>
    <phoneticPr fontId="20"/>
  </si>
  <si>
    <t>Rank(red star)</t>
    <phoneticPr fontId="20"/>
  </si>
  <si>
    <t>(blank star)</t>
    <phoneticPr fontId="20"/>
  </si>
  <si>
    <r>
      <t>Q</t>
    </r>
    <r>
      <rPr>
        <b/>
        <i/>
        <sz val="14"/>
        <color indexed="9"/>
        <rFont val="ＭＳ Ｐゴシック"/>
        <family val="3"/>
        <charset val="128"/>
      </rPr>
      <t>のスコア</t>
    </r>
    <r>
      <rPr>
        <b/>
        <i/>
        <sz val="14"/>
        <color indexed="9"/>
        <rFont val="Arial"/>
        <family val="2"/>
      </rPr>
      <t>=</t>
    </r>
    <phoneticPr fontId="20"/>
  </si>
  <si>
    <t>Score</t>
    <phoneticPr fontId="20"/>
  </si>
  <si>
    <t>BEE rank</t>
    <phoneticPr fontId="20"/>
  </si>
  <si>
    <t>before</t>
    <phoneticPr fontId="20"/>
  </si>
  <si>
    <t>after</t>
    <phoneticPr fontId="20"/>
  </si>
  <si>
    <t>radar chart</t>
    <phoneticPr fontId="20"/>
  </si>
  <si>
    <t>Score(RoundDown)</t>
    <phoneticPr fontId="20"/>
  </si>
  <si>
    <t>改修の概要</t>
    <rPh sb="0" eb="2">
      <t>カイシュウ</t>
    </rPh>
    <rPh sb="3" eb="5">
      <t>ガイヨウ</t>
    </rPh>
    <phoneticPr fontId="20"/>
  </si>
  <si>
    <t>SQ</t>
    <phoneticPr fontId="20"/>
  </si>
  <si>
    <t>background</t>
    <phoneticPr fontId="20"/>
  </si>
  <si>
    <t>before</t>
    <phoneticPr fontId="20"/>
  </si>
  <si>
    <t>after</t>
    <phoneticPr fontId="20"/>
  </si>
  <si>
    <t>std</t>
    <phoneticPr fontId="20"/>
  </si>
  <si>
    <t>SLR</t>
    <phoneticPr fontId="20"/>
  </si>
  <si>
    <t>Q2</t>
    <phoneticPr fontId="20"/>
  </si>
  <si>
    <t>Q2 サービス性能</t>
    <phoneticPr fontId="20"/>
  </si>
  <si>
    <t>Q</t>
    <phoneticPr fontId="20"/>
  </si>
  <si>
    <t>Q3</t>
    <phoneticPr fontId="20"/>
  </si>
  <si>
    <t>新築時の竣工年</t>
  </si>
  <si>
    <t>改修竣工年</t>
  </si>
  <si>
    <t>改修後の想定使用年数</t>
  </si>
  <si>
    <t>L</t>
    <phoneticPr fontId="20"/>
  </si>
  <si>
    <t>LR3</t>
    <phoneticPr fontId="20"/>
  </si>
  <si>
    <t>建築面積</t>
  </si>
  <si>
    <t>BEE</t>
    <phoneticPr fontId="20"/>
  </si>
  <si>
    <t>LR2</t>
    <phoneticPr fontId="20"/>
  </si>
  <si>
    <t>延床面積</t>
  </si>
  <si>
    <t>BEE(Round)</t>
    <phoneticPr fontId="20"/>
  </si>
  <si>
    <t>LR1</t>
    <phoneticPr fontId="20"/>
  </si>
  <si>
    <t>LR1 
エネルギー</t>
    <phoneticPr fontId="20"/>
  </si>
  <si>
    <t>階数</t>
  </si>
  <si>
    <t>改修対象項目</t>
    <rPh sb="0" eb="2">
      <t>カイシュウ</t>
    </rPh>
    <rPh sb="2" eb="4">
      <t>タイショウ</t>
    </rPh>
    <rPh sb="4" eb="6">
      <t>コウモク</t>
    </rPh>
    <phoneticPr fontId="20"/>
  </si>
  <si>
    <t>Q1</t>
    <phoneticPr fontId="20"/>
  </si>
  <si>
    <t>構造</t>
  </si>
  <si>
    <t>(blank star)</t>
    <phoneticPr fontId="20"/>
  </si>
  <si>
    <t>C</t>
    <phoneticPr fontId="20"/>
  </si>
  <si>
    <t>befoer</t>
  </si>
  <si>
    <t>after</t>
  </si>
  <si>
    <t>Score(RoundDown)</t>
  </si>
  <si>
    <t>Score</t>
  </si>
  <si>
    <t>Q-2 サービス性能</t>
  </si>
  <si>
    <t>NA</t>
  </si>
  <si>
    <t>まちなみ景観</t>
  </si>
  <si>
    <t>LR-1 エネルギー</t>
  </si>
  <si>
    <r>
      <t>4  BEE</t>
    </r>
    <r>
      <rPr>
        <b/>
        <vertAlign val="subscript"/>
        <sz val="12"/>
        <color indexed="9"/>
        <rFont val="Arial"/>
        <family val="2"/>
      </rPr>
      <t>ES</t>
    </r>
    <r>
      <rPr>
        <b/>
        <sz val="12"/>
        <color indexed="9"/>
        <rFont val="ＭＳ Ｐゴシック"/>
        <family val="3"/>
        <charset val="128"/>
      </rPr>
      <t>　による省エネルギー改修評価</t>
    </r>
    <rPh sb="12" eb="13">
      <t>ｼｮｳ</t>
    </rPh>
    <rPh sb="18" eb="20">
      <t>ｶｲｼｭｳ</t>
    </rPh>
    <rPh sb="20" eb="22">
      <t>ﾋｮｳｶ</t>
    </rPh>
    <phoneticPr fontId="30" type="noConversion"/>
  </si>
  <si>
    <r>
      <t>BEE</t>
    </r>
    <r>
      <rPr>
        <sz val="11"/>
        <rFont val="ＭＳ Ｐゴシック"/>
        <family val="3"/>
        <charset val="128"/>
      </rPr>
      <t>グラフ</t>
    </r>
    <phoneticPr fontId="20"/>
  </si>
  <si>
    <r>
      <t>省エネ改修評価における建築物の環境負荷　</t>
    </r>
    <r>
      <rPr>
        <b/>
        <sz val="10"/>
        <rFont val="Arial"/>
        <family val="2"/>
      </rPr>
      <t>L</t>
    </r>
    <r>
      <rPr>
        <b/>
        <vertAlign val="subscript"/>
        <sz val="10"/>
        <rFont val="Arial"/>
        <family val="2"/>
      </rPr>
      <t>ES</t>
    </r>
    <phoneticPr fontId="20"/>
  </si>
  <si>
    <t>＝</t>
    <phoneticPr fontId="20"/>
  </si>
  <si>
    <r>
      <t xml:space="preserve">   25 </t>
    </r>
    <r>
      <rPr>
        <sz val="9"/>
        <color indexed="8"/>
        <rFont val="ＭＳ Ｐゴシック"/>
        <family val="3"/>
        <charset val="128"/>
      </rPr>
      <t>×</t>
    </r>
    <r>
      <rPr>
        <sz val="9"/>
        <color indexed="8"/>
        <rFont val="Arial"/>
        <family val="2"/>
      </rPr>
      <t xml:space="preserve"> (SQ1 - 1)</t>
    </r>
    <phoneticPr fontId="20"/>
  </si>
  <si>
    <r>
      <t xml:space="preserve">   25 </t>
    </r>
    <r>
      <rPr>
        <sz val="9"/>
        <color indexed="8"/>
        <rFont val="ＭＳ Ｐゴシック"/>
        <family val="3"/>
        <charset val="128"/>
      </rPr>
      <t>×</t>
    </r>
    <r>
      <rPr>
        <sz val="9"/>
        <color indexed="8"/>
        <rFont val="Arial"/>
        <family val="2"/>
      </rPr>
      <t xml:space="preserve"> (5 - SLR1)</t>
    </r>
    <phoneticPr fontId="20"/>
  </si>
  <si>
    <r>
      <t>⊿BEE</t>
    </r>
    <r>
      <rPr>
        <b/>
        <vertAlign val="subscript"/>
        <sz val="13"/>
        <rFont val="ＭＳ Ｐゴシック"/>
        <family val="3"/>
        <charset val="128"/>
      </rPr>
      <t>ES</t>
    </r>
    <phoneticPr fontId="20"/>
  </si>
  <si>
    <r>
      <t>改修前 BEE</t>
    </r>
    <r>
      <rPr>
        <vertAlign val="subscript"/>
        <sz val="12"/>
        <rFont val="ＭＳ Ｐゴシック"/>
        <family val="3"/>
        <charset val="128"/>
      </rPr>
      <t>ES</t>
    </r>
    <rPh sb="0" eb="2">
      <t>カイシュウ</t>
    </rPh>
    <rPh sb="2" eb="3">
      <t>マエ</t>
    </rPh>
    <phoneticPr fontId="20"/>
  </si>
  <si>
    <t>＝</t>
    <phoneticPr fontId="20"/>
  </si>
  <si>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0"/>
  </si>
  <si>
    <t>項目</t>
    <rPh sb="0" eb="2">
      <t>コウモク</t>
    </rPh>
    <phoneticPr fontId="20"/>
  </si>
  <si>
    <t>参照値（参照建物）</t>
    <rPh sb="0" eb="2">
      <t>サンショウ</t>
    </rPh>
    <rPh sb="2" eb="3">
      <t>チ</t>
    </rPh>
    <rPh sb="4" eb="6">
      <t>サンショウ</t>
    </rPh>
    <rPh sb="6" eb="8">
      <t>タテモノ</t>
    </rPh>
    <phoneticPr fontId="20"/>
  </si>
  <si>
    <t>評価対象</t>
    <rPh sb="0" eb="2">
      <t>ヒョウカ</t>
    </rPh>
    <rPh sb="2" eb="4">
      <t>タイショウ</t>
    </rPh>
    <phoneticPr fontId="20"/>
  </si>
  <si>
    <t>建物
概要</t>
    <rPh sb="0" eb="2">
      <t>タテモノ</t>
    </rPh>
    <rPh sb="3" eb="5">
      <t>ガイヨウ</t>
    </rPh>
    <phoneticPr fontId="20"/>
  </si>
  <si>
    <t>建物規模</t>
    <rPh sb="0" eb="2">
      <t>タテモノ</t>
    </rPh>
    <rPh sb="2" eb="4">
      <t>キボ</t>
    </rPh>
    <phoneticPr fontId="20"/>
  </si>
  <si>
    <t>構造種別</t>
    <rPh sb="0" eb="2">
      <t>コウゾウ</t>
    </rPh>
    <rPh sb="2" eb="4">
      <t>シュベツ</t>
    </rPh>
    <phoneticPr fontId="20"/>
  </si>
  <si>
    <t>ライフサイクル設定</t>
    <rPh sb="7" eb="9">
      <t>セッテイ</t>
    </rPh>
    <phoneticPr fontId="20"/>
  </si>
  <si>
    <t>想定耐用年数</t>
    <rPh sb="0" eb="2">
      <t>ソウテイ</t>
    </rPh>
    <rPh sb="2" eb="4">
      <t>タイヨウ</t>
    </rPh>
    <rPh sb="4" eb="6">
      <t>ネンスウ</t>
    </rPh>
    <phoneticPr fontId="20"/>
  </si>
  <si>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</si>
  <si>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</si>
  <si>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 xml:space="preserve"> ④上記+
　オフサイト手法</t>
    <phoneticPr fontId="20"/>
  </si>
  <si>
    <t>建設
段階</t>
    <rPh sb="0" eb="2">
      <t>ケンセツ</t>
    </rPh>
    <rPh sb="3" eb="5">
      <t>ダンカイ</t>
    </rPh>
    <phoneticPr fontId="20"/>
  </si>
  <si>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0"/>
  </si>
  <si>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0"/>
  </si>
  <si>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0"/>
  </si>
  <si>
    <t>同左</t>
  </si>
  <si>
    <t>国内消費支出分</t>
    <rPh sb="0" eb="2">
      <t>コクナイ</t>
    </rPh>
    <rPh sb="2" eb="4">
      <t>ショウヒ</t>
    </rPh>
    <rPh sb="4" eb="6">
      <t>シシュツ</t>
    </rPh>
    <rPh sb="6" eb="7">
      <t>ブン</t>
    </rPh>
    <phoneticPr fontId="20"/>
  </si>
  <si>
    <t>代表的な資材量</t>
    <rPh sb="0" eb="3">
      <t>ダイヒョウテキ</t>
    </rPh>
    <rPh sb="4" eb="6">
      <t>シザイ</t>
    </rPh>
    <rPh sb="6" eb="7">
      <t>リョウ</t>
    </rPh>
    <phoneticPr fontId="20"/>
  </si>
  <si>
    <t>普通コンクリート</t>
    <rPh sb="0" eb="2">
      <t>フツウ</t>
    </rPh>
    <phoneticPr fontId="20"/>
  </si>
  <si>
    <r>
      <t>ｍ</t>
    </r>
    <r>
      <rPr>
        <vertAlign val="superscript"/>
        <sz val="10"/>
        <rFont val="ＭＳ Ｐゴシック"/>
        <family val="3"/>
        <charset val="128"/>
      </rPr>
      <t>3</t>
    </r>
    <r>
      <rPr>
        <sz val="10"/>
        <rFont val="ＭＳ Ｐゴシック"/>
        <family val="3"/>
        <charset val="128"/>
      </rPr>
      <t>/㎡</t>
    </r>
    <phoneticPr fontId="20"/>
  </si>
  <si>
    <t>高炉セメントコンクリート</t>
    <rPh sb="0" eb="2">
      <t>コウロ</t>
    </rPh>
    <phoneticPr fontId="20"/>
  </si>
  <si>
    <t>鉄　骨</t>
    <rPh sb="0" eb="1">
      <t>テツ</t>
    </rPh>
    <rPh sb="2" eb="3">
      <t>ホネ</t>
    </rPh>
    <phoneticPr fontId="20"/>
  </si>
  <si>
    <t>ｔ/㎡</t>
  </si>
  <si>
    <t>鉄骨 (電炉）</t>
    <rPh sb="0" eb="1">
      <t>テツ</t>
    </rPh>
    <rPh sb="1" eb="2">
      <t>ホネ</t>
    </rPh>
    <rPh sb="4" eb="6">
      <t>デンロ</t>
    </rPh>
    <phoneticPr fontId="20"/>
  </si>
  <si>
    <t>鉄　筋</t>
    <rPh sb="0" eb="1">
      <t>テツ</t>
    </rPh>
    <rPh sb="2" eb="3">
      <t>スジ</t>
    </rPh>
    <phoneticPr fontId="20"/>
  </si>
  <si>
    <t>木　材</t>
    <rPh sb="0" eb="1">
      <t>キ</t>
    </rPh>
    <rPh sb="2" eb="3">
      <t>ザイ</t>
    </rPh>
    <phoneticPr fontId="20"/>
  </si>
  <si>
    <t>□　□</t>
    <phoneticPr fontId="20"/>
  </si>
  <si>
    <t>○○</t>
    <phoneticPr fontId="20"/>
  </si>
  <si>
    <t>集合住宅の評価</t>
    <rPh sb="0" eb="2">
      <t>シュウゴウ</t>
    </rPh>
    <rPh sb="2" eb="4">
      <t>ジュウタク</t>
    </rPh>
    <rPh sb="5" eb="7">
      <t>ヒョウカ</t>
    </rPh>
    <phoneticPr fontId="20"/>
  </si>
  <si>
    <t>NC</t>
    <phoneticPr fontId="20"/>
  </si>
  <si>
    <t>〃</t>
  </si>
  <si>
    <t>kg/㎡</t>
    <phoneticPr fontId="20"/>
  </si>
  <si>
    <t>代表的な資材の環境負荷</t>
    <rPh sb="0" eb="3">
      <t>ダイヒョウテキ</t>
    </rPh>
    <rPh sb="4" eb="6">
      <t>シザイ</t>
    </rPh>
    <rPh sb="7" eb="9">
      <t>カンキョウ</t>
    </rPh>
    <rPh sb="9" eb="11">
      <t>フカ</t>
    </rPh>
    <phoneticPr fontId="20"/>
  </si>
  <si>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0"/>
  </si>
  <si>
    <r>
      <t>kg-CO</t>
    </r>
    <r>
      <rPr>
        <vertAlign val="subscript"/>
        <sz val="10"/>
        <rFont val="ＭＳ Ｐゴシック"/>
        <family val="3"/>
        <charset val="128"/>
      </rPr>
      <t>2</t>
    </r>
    <r>
      <rPr>
        <sz val="10"/>
        <rFont val="ＭＳ Ｐゴシック"/>
        <family val="3"/>
        <charset val="128"/>
      </rPr>
      <t>/ｔ</t>
    </r>
    <phoneticPr fontId="20"/>
  </si>
  <si>
    <r>
      <t>kg-CO</t>
    </r>
    <r>
      <rPr>
        <vertAlign val="subscript"/>
        <sz val="10"/>
        <rFont val="ＭＳ Ｐゴシック"/>
        <family val="3"/>
        <charset val="128"/>
      </rPr>
      <t>2</t>
    </r>
    <r>
      <rPr>
        <sz val="10"/>
        <rFont val="ＭＳ Ｐゴシック"/>
        <family val="3"/>
        <charset val="128"/>
      </rPr>
      <t>/ｔ</t>
    </r>
    <phoneticPr fontId="20"/>
  </si>
  <si>
    <t>型　枠</t>
    <rPh sb="0" eb="1">
      <t>カタ</t>
    </rPh>
    <rPh sb="2" eb="3">
      <t>ワク</t>
    </rPh>
    <phoneticPr fontId="20"/>
  </si>
  <si>
    <t>〃</t>
    <phoneticPr fontId="20"/>
  </si>
  <si>
    <r>
      <t>kg-CO</t>
    </r>
    <r>
      <rPr>
        <vertAlign val="subscript"/>
        <sz val="10"/>
        <rFont val="ＭＳ Ｐゴシック"/>
        <family val="3"/>
        <charset val="128"/>
      </rPr>
      <t>2</t>
    </r>
    <r>
      <rPr>
        <sz val="10"/>
        <rFont val="ＭＳ Ｐゴシック"/>
        <family val="3"/>
        <charset val="128"/>
      </rPr>
      <t>/kg</t>
    </r>
    <phoneticPr fontId="20"/>
  </si>
  <si>
    <t>主要なリサイクル建材と利用利率</t>
    <rPh sb="0" eb="2">
      <t>シュヨウ</t>
    </rPh>
    <rPh sb="8" eb="10">
      <t>ケンザイ</t>
    </rPh>
    <rPh sb="11" eb="13">
      <t>リヨウ</t>
    </rPh>
    <rPh sb="13" eb="15">
      <t>リリツ</t>
    </rPh>
    <phoneticPr fontId="20"/>
  </si>
  <si>
    <t>高炉セメント
（躯体での利用率）</t>
    <rPh sb="0" eb="2">
      <t>コウロ</t>
    </rPh>
    <rPh sb="8" eb="10">
      <t>クタイ</t>
    </rPh>
    <rPh sb="12" eb="14">
      <t>リヨウ</t>
    </rPh>
    <rPh sb="14" eb="15">
      <t>リツ</t>
    </rPh>
    <phoneticPr fontId="20"/>
  </si>
  <si>
    <t>既存躯体の再利用
（躯体での利用率）</t>
    <rPh sb="0" eb="2">
      <t>キソン</t>
    </rPh>
    <rPh sb="2" eb="4">
      <t>クタイ</t>
    </rPh>
    <rPh sb="5" eb="8">
      <t>サイリヨウ</t>
    </rPh>
    <rPh sb="10" eb="12">
      <t>クタイ</t>
    </rPh>
    <rPh sb="14" eb="17">
      <t>リヨウリツ</t>
    </rPh>
    <phoneticPr fontId="20"/>
  </si>
  <si>
    <t>電炉鋼材（鉄筋）</t>
    <rPh sb="0" eb="2">
      <t>デンロ</t>
    </rPh>
    <rPh sb="2" eb="4">
      <t>コウザイ</t>
    </rPh>
    <phoneticPr fontId="20"/>
  </si>
  <si>
    <t>電炉鋼材（鋼材）</t>
    <rPh sb="0" eb="2">
      <t>デンロ</t>
    </rPh>
    <rPh sb="2" eb="4">
      <t>コウザイ</t>
    </rPh>
    <rPh sb="5" eb="7">
      <t>コウザイ</t>
    </rPh>
    <phoneticPr fontId="20"/>
  </si>
  <si>
    <t>更新周期（年）</t>
    <rPh sb="0" eb="2">
      <t>コウシン</t>
    </rPh>
    <rPh sb="2" eb="4">
      <t>シュウキ</t>
    </rPh>
    <rPh sb="5" eb="6">
      <t>ネン</t>
    </rPh>
    <phoneticPr fontId="20"/>
  </si>
  <si>
    <t>解体段階</t>
    <phoneticPr fontId="20"/>
  </si>
  <si>
    <t>屋根</t>
    <rPh sb="0" eb="2">
      <t>ヤネ</t>
    </rPh>
    <phoneticPr fontId="20"/>
  </si>
  <si>
    <t>設備</t>
    <rPh sb="0" eb="2">
      <t>セツビ</t>
    </rPh>
    <phoneticPr fontId="20"/>
  </si>
  <si>
    <t>平均修繕率（％/年）</t>
    <rPh sb="0" eb="2">
      <t>ヘイキン</t>
    </rPh>
    <rPh sb="2" eb="4">
      <t>シュウゼン</t>
    </rPh>
    <rPh sb="4" eb="5">
      <t>リツ</t>
    </rPh>
    <rPh sb="8" eb="9">
      <t>ネン</t>
    </rPh>
    <phoneticPr fontId="20"/>
  </si>
  <si>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0"/>
  </si>
  <si>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0"/>
  </si>
  <si>
    <t>同左</t>
    <rPh sb="0" eb="2">
      <t>ドウサ</t>
    </rPh>
    <phoneticPr fontId="20"/>
  </si>
  <si>
    <t>運用
段階</t>
    <rPh sb="0" eb="2">
      <t>ウンヨウ</t>
    </rPh>
    <rPh sb="3" eb="5">
      <t>ダンカイ</t>
    </rPh>
    <phoneticPr fontId="20"/>
  </si>
  <si>
    <t>エネルギー
消費量の算定方法</t>
    <rPh sb="6" eb="9">
      <t>ショウヒリョウ</t>
    </rPh>
    <rPh sb="10" eb="12">
      <t>サンテイ</t>
    </rPh>
    <rPh sb="12" eb="14">
      <t>ホウホウ</t>
    </rPh>
    <phoneticPr fontId="20"/>
  </si>
  <si>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0"/>
  </si>
  <si>
    <t>LR1の取り組みによる省エネルギー量を推定</t>
    <rPh sb="4" eb="5">
      <t>ト</t>
    </rPh>
    <rPh sb="6" eb="7">
      <t>ク</t>
    </rPh>
    <rPh sb="11" eb="12">
      <t>ショウ</t>
    </rPh>
    <rPh sb="17" eb="18">
      <t>リョウ</t>
    </rPh>
    <rPh sb="19" eb="21">
      <t>スイテイ</t>
    </rPh>
    <phoneticPr fontId="20"/>
  </si>
  <si>
    <t>一次ｴﾈﾙｷﾞｰ消費量
（集合住宅分を除く）</t>
    <rPh sb="0" eb="2">
      <t>イチジ</t>
    </rPh>
    <rPh sb="8" eb="11">
      <t>ショウヒリョウ</t>
    </rPh>
    <rPh sb="13" eb="15">
      <t>シュウゴウ</t>
    </rPh>
    <rPh sb="15" eb="17">
      <t>ジュウタク</t>
    </rPh>
    <rPh sb="17" eb="18">
      <t>ブン</t>
    </rPh>
    <rPh sb="19" eb="20">
      <t>ノゾ</t>
    </rPh>
    <phoneticPr fontId="20"/>
  </si>
  <si>
    <t>電力</t>
    <rPh sb="0" eb="2">
      <t>デンリョク</t>
    </rPh>
    <phoneticPr fontId="20"/>
  </si>
  <si>
    <t>ガス</t>
    <phoneticPr fontId="20"/>
  </si>
  <si>
    <t>その他の燃料
（　　　）</t>
    <rPh sb="2" eb="3">
      <t>タ</t>
    </rPh>
    <rPh sb="4" eb="6">
      <t>ネンリョウ</t>
    </rPh>
    <phoneticPr fontId="20"/>
  </si>
  <si>
    <t>上水使用</t>
    <rPh sb="0" eb="1">
      <t>ウエ</t>
    </rPh>
    <rPh sb="1" eb="2">
      <t>ミズ</t>
    </rPh>
    <rPh sb="2" eb="4">
      <t>シヨウ</t>
    </rPh>
    <phoneticPr fontId="20"/>
  </si>
  <si>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0"/>
  </si>
  <si>
    <t>バウンダリー</t>
    <phoneticPr fontId="20"/>
  </si>
  <si>
    <t>○○　</t>
    <phoneticPr fontId="20"/>
  </si>
  <si>
    <t>〃</t>
    <phoneticPr fontId="20"/>
  </si>
  <si>
    <t>○○</t>
    <phoneticPr fontId="20"/>
  </si>
  <si>
    <t>○○</t>
    <phoneticPr fontId="20"/>
  </si>
  <si>
    <t>kg/㎡</t>
  </si>
  <si>
    <t>木　材</t>
  </si>
  <si>
    <t>○○</t>
    <phoneticPr fontId="20"/>
  </si>
  <si>
    <t>○○</t>
    <phoneticPr fontId="20"/>
  </si>
  <si>
    <t>○○</t>
    <phoneticPr fontId="20"/>
  </si>
  <si>
    <t>○○</t>
    <phoneticPr fontId="20"/>
  </si>
  <si>
    <t>○○</t>
    <phoneticPr fontId="20"/>
  </si>
  <si>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0"/>
  </si>
  <si>
    <t>参照値</t>
    <rPh sb="0" eb="2">
      <t>サンショウ</t>
    </rPh>
    <rPh sb="2" eb="3">
      <t>チ</t>
    </rPh>
    <phoneticPr fontId="20"/>
  </si>
  <si>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0"/>
  </si>
  <si>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0"/>
  </si>
  <si>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</si>
  <si>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延床面積比率</t>
    <rPh sb="0" eb="4">
      <t>ノベユカメンセキ</t>
    </rPh>
    <rPh sb="4" eb="6">
      <t>ヒリツ</t>
    </rPh>
    <phoneticPr fontId="20"/>
  </si>
  <si>
    <t>ﾚﾍﾞﾙ３</t>
  </si>
  <si>
    <t>ﾚﾍﾞﾙ４</t>
  </si>
  <si>
    <t>ﾚﾍﾞﾙ５</t>
  </si>
  <si>
    <t>採点結果</t>
    <rPh sb="0" eb="2">
      <t>サイテン</t>
    </rPh>
    <rPh sb="2" eb="4">
      <t>ケッカ</t>
    </rPh>
    <phoneticPr fontId="20"/>
  </si>
  <si>
    <t>Q2/2.2.1 躯体材料の耐用年数</t>
    <rPh sb="9" eb="11">
      <t>クタイ</t>
    </rPh>
    <rPh sb="11" eb="13">
      <t>ザイリョウ</t>
    </rPh>
    <rPh sb="14" eb="16">
      <t>タイヨウ</t>
    </rPh>
    <rPh sb="16" eb="18">
      <t>ネンスウ</t>
    </rPh>
    <phoneticPr fontId="20"/>
  </si>
  <si>
    <t>集会所</t>
  </si>
  <si>
    <t>工場</t>
  </si>
  <si>
    <t>評価対象の構造</t>
    <rPh sb="0" eb="2">
      <t>ヒョウカ</t>
    </rPh>
    <rPh sb="2" eb="4">
      <t>タイショウ</t>
    </rPh>
    <rPh sb="5" eb="7">
      <t>コウゾウ</t>
    </rPh>
    <phoneticPr fontId="20"/>
  </si>
  <si>
    <t>LR2/2.2 既存建築躯体等の継続使用</t>
    <rPh sb="8" eb="10">
      <t>キソン</t>
    </rPh>
    <rPh sb="10" eb="12">
      <t>ケンチク</t>
    </rPh>
    <rPh sb="12" eb="14">
      <t>クタイ</t>
    </rPh>
    <rPh sb="14" eb="15">
      <t>トウ</t>
    </rPh>
    <rPh sb="16" eb="18">
      <t>ケイゾク</t>
    </rPh>
    <rPh sb="18" eb="20">
      <t>シヨウ</t>
    </rPh>
    <phoneticPr fontId="20"/>
  </si>
  <si>
    <t>LR2/2.3 躯体材料におけるﾘｻｲｸﾙ材（高炉セメント）</t>
    <rPh sb="8" eb="10">
      <t>クタイ</t>
    </rPh>
    <rPh sb="10" eb="12">
      <t>ザイリョウ</t>
    </rPh>
    <rPh sb="21" eb="22">
      <t>ザイ</t>
    </rPh>
    <rPh sb="23" eb="25">
      <t>コウロ</t>
    </rPh>
    <phoneticPr fontId="20"/>
  </si>
  <si>
    <t>1-2.　合計の計算</t>
    <rPh sb="5" eb="7">
      <t>ゴウケイ</t>
    </rPh>
    <rPh sb="8" eb="10">
      <t>ケイサン</t>
    </rPh>
    <phoneticPr fontId="20"/>
  </si>
  <si>
    <t>建物寿命</t>
    <rPh sb="0" eb="2">
      <t>タテモノ</t>
    </rPh>
    <rPh sb="2" eb="4">
      <t>ジュミョウ</t>
    </rPh>
    <phoneticPr fontId="20"/>
  </si>
  <si>
    <t>LR2/2.2 既存建築躯体</t>
    <rPh sb="8" eb="10">
      <t>キソン</t>
    </rPh>
    <rPh sb="10" eb="12">
      <t>ケンチク</t>
    </rPh>
    <rPh sb="12" eb="14">
      <t>クタイ</t>
    </rPh>
    <phoneticPr fontId="20"/>
  </si>
  <si>
    <t>LR2/2.3 ﾘｻｲｸﾙ材（高炉セメント）</t>
    <rPh sb="13" eb="14">
      <t>ザイ</t>
    </rPh>
    <rPh sb="15" eb="17">
      <t>コウロ</t>
    </rPh>
    <phoneticPr fontId="20"/>
  </si>
  <si>
    <t>事務所</t>
    <rPh sb="0" eb="2">
      <t>ジム</t>
    </rPh>
    <rPh sb="2" eb="3">
      <t>ショ</t>
    </rPh>
    <phoneticPr fontId="20"/>
  </si>
  <si>
    <t>ｍ3/㎡</t>
  </si>
  <si>
    <t>学校</t>
    <rPh sb="0" eb="2">
      <t>ガッコウ</t>
    </rPh>
    <phoneticPr fontId="20"/>
  </si>
  <si>
    <t>物販店</t>
    <rPh sb="0" eb="3">
      <t>ブッパンテン</t>
    </rPh>
    <phoneticPr fontId="20"/>
  </si>
  <si>
    <t>ｍ3/㎡</t>
    <phoneticPr fontId="20"/>
  </si>
  <si>
    <t>飲食店</t>
    <rPh sb="0" eb="2">
      <t>インショク</t>
    </rPh>
    <rPh sb="2" eb="3">
      <t>テン</t>
    </rPh>
    <phoneticPr fontId="20"/>
  </si>
  <si>
    <t>集会所</t>
    <rPh sb="0" eb="3">
      <t>シュウカイショ</t>
    </rPh>
    <phoneticPr fontId="20"/>
  </si>
  <si>
    <t>病院</t>
    <rPh sb="0" eb="2">
      <t>ビョウイン</t>
    </rPh>
    <phoneticPr fontId="20"/>
  </si>
  <si>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0"/>
  </si>
  <si>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</si>
  <si>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2-2.　合計の計算</t>
    <rPh sb="5" eb="7">
      <t>ゴウケイ</t>
    </rPh>
    <rPh sb="8" eb="10">
      <t>ケイサン</t>
    </rPh>
    <phoneticPr fontId="20"/>
  </si>
  <si>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0"/>
  </si>
  <si>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0"/>
  </si>
  <si>
    <t>修繕・更新・解体</t>
    <rPh sb="3" eb="5">
      <t>コウシン</t>
    </rPh>
    <phoneticPr fontId="20"/>
  </si>
  <si>
    <t>排出率</t>
    <rPh sb="0" eb="2">
      <t>ハイシュツ</t>
    </rPh>
    <rPh sb="2" eb="3">
      <t>リツ</t>
    </rPh>
    <phoneticPr fontId="20"/>
  </si>
  <si>
    <t>簡易評価</t>
  </si>
  <si>
    <t>省エネルギー計画書で評価</t>
  </si>
  <si>
    <r>
      <t>5.　ライフサイクルCO</t>
    </r>
    <r>
      <rPr>
        <b/>
        <vertAlign val="subscript"/>
        <sz val="11"/>
        <rFont val="ＭＳ Ｐゴシック"/>
        <family val="3"/>
        <charset val="128"/>
      </rPr>
      <t>2</t>
    </r>
    <r>
      <rPr>
        <b/>
        <sz val="11"/>
        <rFont val="ＭＳ Ｐゴシック"/>
        <family val="3"/>
        <charset val="128"/>
      </rPr>
      <t>排出率に基づく「LR3/1.地球温暖化への配慮」スコア換算</t>
    </r>
    <rPh sb="13" eb="15">
      <t>ハイシュツ</t>
    </rPh>
    <rPh sb="15" eb="16">
      <t>リツ</t>
    </rPh>
    <rPh sb="17" eb="18">
      <t>モト</t>
    </rPh>
    <rPh sb="27" eb="31">
      <t>チキュウオンダン</t>
    </rPh>
    <rPh sb="31" eb="32">
      <t>カ</t>
    </rPh>
    <rPh sb="34" eb="36">
      <t>ハイリョ</t>
    </rPh>
    <rPh sb="40" eb="42">
      <t>カンザン</t>
    </rPh>
    <phoneticPr fontId="20"/>
  </si>
  <si>
    <t>換算スコア＝</t>
    <rPh sb="0" eb="2">
      <t>カンザン</t>
    </rPh>
    <phoneticPr fontId="20"/>
  </si>
  <si>
    <t>a.　建設に係るCO2排出量</t>
    <rPh sb="3" eb="5">
      <t>ケンセツ</t>
    </rPh>
    <rPh sb="6" eb="7">
      <t>カカ</t>
    </rPh>
    <rPh sb="11" eb="13">
      <t>ハイシュツ</t>
    </rPh>
    <rPh sb="13" eb="14">
      <t>リョウ</t>
    </rPh>
    <phoneticPr fontId="20"/>
  </si>
  <si>
    <t>kg-CO2/年m2</t>
    <rPh sb="7" eb="8">
      <t>ネン</t>
    </rPh>
    <phoneticPr fontId="20"/>
  </si>
  <si>
    <t>用途</t>
    <rPh sb="0" eb="2">
      <t>ヨウト</t>
    </rPh>
    <phoneticPr fontId="20"/>
  </si>
  <si>
    <t>メンテナンスに配慮した設計[総合的な取り組み]</t>
    <rPh sb="14" eb="17">
      <t>ソウゴウテキ</t>
    </rPh>
    <rPh sb="18" eb="19">
      <t>ト</t>
    </rPh>
    <rPh sb="20" eb="21">
      <t>ク</t>
    </rPh>
    <phoneticPr fontId="20"/>
  </si>
  <si>
    <t>屋上（屋根）・外壁仕上げ材の更新</t>
    <phoneticPr fontId="20"/>
  </si>
  <si>
    <t>LR2/2.2 削減分</t>
    <rPh sb="8" eb="10">
      <t>サクゲン</t>
    </rPh>
    <rPh sb="10" eb="11">
      <t>ブン</t>
    </rPh>
    <phoneticPr fontId="20"/>
  </si>
  <si>
    <t>LR2/2.3 削減分</t>
    <rPh sb="8" eb="10">
      <t>サクゲン</t>
    </rPh>
    <rPh sb="10" eb="11">
      <t>ブン</t>
    </rPh>
    <phoneticPr fontId="20"/>
  </si>
  <si>
    <t>b.　修繕・更新・解体に係るCO2排出量</t>
    <rPh sb="3" eb="5">
      <t>シュウゼン</t>
    </rPh>
    <rPh sb="6" eb="8">
      <t>コウシン</t>
    </rPh>
    <rPh sb="9" eb="11">
      <t>カイタイ</t>
    </rPh>
    <rPh sb="12" eb="13">
      <t>カカ</t>
    </rPh>
    <rPh sb="17" eb="19">
      <t>ハイシュツ</t>
    </rPh>
    <rPh sb="19" eb="20">
      <t>リョウ</t>
    </rPh>
    <phoneticPr fontId="20"/>
  </si>
  <si>
    <t>削減後</t>
    <rPh sb="0" eb="2">
      <t>サクゲン</t>
    </rPh>
    <rPh sb="2" eb="3">
      <t>ゴ</t>
    </rPh>
    <phoneticPr fontId="20"/>
  </si>
  <si>
    <t>ホテル</t>
    <phoneticPr fontId="20"/>
  </si>
  <si>
    <t>c.　運用に係るCO2排出量</t>
    <rPh sb="3" eb="5">
      <t>ウンヨウ</t>
    </rPh>
    <rPh sb="6" eb="7">
      <t>カカ</t>
    </rPh>
    <rPh sb="11" eb="13">
      <t>ハイシュツ</t>
    </rPh>
    <rPh sb="13" eb="14">
      <t>リョウ</t>
    </rPh>
    <phoneticPr fontId="20"/>
  </si>
  <si>
    <t>排出係数</t>
    <rPh sb="0" eb="2">
      <t>ハイシュツ</t>
    </rPh>
    <rPh sb="2" eb="4">
      <t>ケイスウ</t>
    </rPh>
    <phoneticPr fontId="20"/>
  </si>
  <si>
    <t>等級1</t>
    <rPh sb="0" eb="2">
      <t>トウキュウ</t>
    </rPh>
    <phoneticPr fontId="20"/>
  </si>
  <si>
    <t>等級2</t>
    <rPh sb="0" eb="2">
      <t>トウキュウ</t>
    </rPh>
    <phoneticPr fontId="20"/>
  </si>
  <si>
    <t>等級3</t>
    <rPh sb="0" eb="2">
      <t>トウキュウ</t>
    </rPh>
    <phoneticPr fontId="20"/>
  </si>
  <si>
    <t>等級4</t>
    <rPh sb="0" eb="2">
      <t>トウキュウ</t>
    </rPh>
    <phoneticPr fontId="20"/>
  </si>
  <si>
    <t>kg-CO2/kWh</t>
  </si>
  <si>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</si>
  <si>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</si>
  <si>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</si>
  <si>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</si>
  <si>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</si>
  <si>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</si>
  <si>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</si>
  <si>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用途別排出原単位</t>
    <rPh sb="0" eb="2">
      <t>ヨウト</t>
    </rPh>
    <rPh sb="2" eb="3">
      <t>ベツ</t>
    </rPh>
    <rPh sb="3" eb="5">
      <t>ハイシュツ</t>
    </rPh>
    <rPh sb="5" eb="8">
      <t>ゲンタンイ</t>
    </rPh>
    <phoneticPr fontId="20"/>
  </si>
  <si>
    <t>ガス</t>
  </si>
  <si>
    <t>d. LCCO2算定条件</t>
    <rPh sb="8" eb="10">
      <t>サンテイ</t>
    </rPh>
    <rPh sb="10" eb="12">
      <t>ジョウケン</t>
    </rPh>
    <phoneticPr fontId="20"/>
  </si>
  <si>
    <t>躯体・基礎の寿命（年）</t>
    <rPh sb="0" eb="2">
      <t>クタイ</t>
    </rPh>
    <rPh sb="3" eb="5">
      <t>キソ</t>
    </rPh>
    <rPh sb="6" eb="8">
      <t>ジュミョウ</t>
    </rPh>
    <rPh sb="9" eb="10">
      <t>ネン</t>
    </rPh>
    <phoneticPr fontId="20"/>
  </si>
  <si>
    <t>Q2/2.2.1 躯体材料</t>
    <rPh sb="9" eb="11">
      <t>クタイ</t>
    </rPh>
    <rPh sb="11" eb="13">
      <t>ザイリョウ</t>
    </rPh>
    <phoneticPr fontId="20"/>
  </si>
  <si>
    <t>レベル3</t>
    <phoneticPr fontId="20"/>
  </si>
  <si>
    <t>レベル4</t>
    <phoneticPr fontId="20"/>
  </si>
  <si>
    <t>レベル5</t>
    <phoneticPr fontId="20"/>
  </si>
  <si>
    <t>事務所</t>
    <phoneticPr fontId="20"/>
  </si>
  <si>
    <t>再利用なし</t>
    <rPh sb="0" eb="3">
      <t>サイリヨウ</t>
    </rPh>
    <phoneticPr fontId="20"/>
  </si>
  <si>
    <t>既存躯体100％</t>
    <rPh sb="0" eb="2">
      <t>キソン</t>
    </rPh>
    <rPh sb="2" eb="4">
      <t>クタイ</t>
    </rPh>
    <phoneticPr fontId="20"/>
  </si>
  <si>
    <t>高炉ｾﾒﾝﾄ100%</t>
    <rPh sb="0" eb="2">
      <t>コウロ</t>
    </rPh>
    <phoneticPr fontId="20"/>
  </si>
  <si>
    <t>更新周期(年）</t>
    <rPh sb="0" eb="2">
      <t>コウシン</t>
    </rPh>
    <rPh sb="2" eb="4">
      <t>シュウキ</t>
    </rPh>
    <rPh sb="5" eb="6">
      <t>ネン</t>
    </rPh>
    <phoneticPr fontId="20"/>
  </si>
  <si>
    <t>平均修繕率</t>
    <rPh sb="0" eb="2">
      <t>ヘイキン</t>
    </rPh>
    <rPh sb="2" eb="4">
      <t>シュウゼン</t>
    </rPh>
    <rPh sb="4" eb="5">
      <t>リツ</t>
    </rPh>
    <phoneticPr fontId="20"/>
  </si>
  <si>
    <t>/年</t>
    <rPh sb="1" eb="2">
      <t>ネン</t>
    </rPh>
    <phoneticPr fontId="20"/>
  </si>
  <si>
    <t>重み係数</t>
    <rPh sb="0" eb="1">
      <t>オモ</t>
    </rPh>
    <rPh sb="2" eb="4">
      <t>ケイスウ</t>
    </rPh>
    <phoneticPr fontId="20"/>
  </si>
  <si>
    <t>重み係数（既定）</t>
    <rPh sb="0" eb="1">
      <t>オモ</t>
    </rPh>
    <rPh sb="2" eb="4">
      <t>ケイスウ</t>
    </rPh>
    <rPh sb="5" eb="7">
      <t>キテイ</t>
    </rPh>
    <phoneticPr fontId="20"/>
  </si>
  <si>
    <t>既存建物</t>
    <rPh sb="0" eb="2">
      <t>キソン</t>
    </rPh>
    <rPh sb="2" eb="4">
      <t>タテモノ</t>
    </rPh>
    <phoneticPr fontId="20"/>
  </si>
  <si>
    <t>既定重み</t>
    <rPh sb="0" eb="2">
      <t>キテイ</t>
    </rPh>
    <rPh sb="2" eb="3">
      <t>オモ</t>
    </rPh>
    <phoneticPr fontId="20"/>
  </si>
  <si>
    <t>建物全体・共用部</t>
    <rPh sb="0" eb="2">
      <t>タテモノ</t>
    </rPh>
    <rPh sb="2" eb="4">
      <t>ゼンタイ</t>
    </rPh>
    <rPh sb="5" eb="7">
      <t>キョウヨウ</t>
    </rPh>
    <rPh sb="7" eb="8">
      <t>ブ</t>
    </rPh>
    <phoneticPr fontId="20"/>
  </si>
  <si>
    <t>住居・宿泊部</t>
    <rPh sb="0" eb="2">
      <t>ジュウキョ</t>
    </rPh>
    <rPh sb="3" eb="5">
      <t>シュクハク</t>
    </rPh>
    <rPh sb="5" eb="6">
      <t>ブ</t>
    </rPh>
    <phoneticPr fontId="20"/>
  </si>
  <si>
    <t>全体・共有</t>
    <rPh sb="0" eb="2">
      <t>ゼンタイ</t>
    </rPh>
    <rPh sb="3" eb="5">
      <t>キョウユウ</t>
    </rPh>
    <phoneticPr fontId="20"/>
  </si>
  <si>
    <t>住居・宿泊</t>
    <rPh sb="0" eb="2">
      <t>ジュウキョ</t>
    </rPh>
    <rPh sb="3" eb="5">
      <t>シュクハク</t>
    </rPh>
    <phoneticPr fontId="20"/>
  </si>
  <si>
    <t>病院o</t>
  </si>
  <si>
    <t>ホテルo</t>
  </si>
  <si>
    <t>集合住宅o</t>
  </si>
  <si>
    <t>延面積</t>
    <rPh sb="0" eb="1">
      <t>ノ</t>
    </rPh>
    <rPh sb="1" eb="3">
      <t>メンセキ</t>
    </rPh>
    <phoneticPr fontId="20"/>
  </si>
  <si>
    <t>Q</t>
    <phoneticPr fontId="20"/>
  </si>
  <si>
    <t>建築物の環境品質</t>
    <rPh sb="0" eb="3">
      <t>ケンチクブツ</t>
    </rPh>
    <rPh sb="4" eb="6">
      <t>カンキョウ</t>
    </rPh>
    <rPh sb="6" eb="8">
      <t>ヒンシツ</t>
    </rPh>
    <phoneticPr fontId="20"/>
  </si>
  <si>
    <t xml:space="preserve"> Q</t>
  </si>
  <si>
    <t xml:space="preserve"> Q1</t>
  </si>
  <si>
    <t xml:space="preserve"> Q1 1</t>
  </si>
  <si>
    <t>1.1.1</t>
  </si>
  <si>
    <t xml:space="preserve"> Q1 1.1</t>
  </si>
  <si>
    <t>1.1.2</t>
  </si>
  <si>
    <t xml:space="preserve"> Q1 1.2</t>
  </si>
  <si>
    <t xml:space="preserve"> Q1 2</t>
  </si>
  <si>
    <t xml:space="preserve"> Q1 2.1</t>
  </si>
  <si>
    <t>2.1.2</t>
  </si>
  <si>
    <t>負荷変動・追従制御性</t>
  </si>
  <si>
    <t>2.1.3</t>
  </si>
  <si>
    <t>外皮性能</t>
  </si>
  <si>
    <t>2.1.4</t>
  </si>
  <si>
    <t>ゾーン別制御性</t>
  </si>
  <si>
    <t>2.1.5</t>
  </si>
  <si>
    <t>温度・湿度制御</t>
  </si>
  <si>
    <t>2.1.6</t>
  </si>
  <si>
    <t>個別制御</t>
  </si>
  <si>
    <t>2.1.7</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</si>
  <si>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</si>
  <si>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</si>
  <si>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</si>
  <si>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</si>
  <si>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</si>
  <si>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</si>
  <si>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</si>
  <si>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</si>
  <si>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</si>
  <si>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</si>
  <si>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</si>
  <si>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 xml:space="preserve"> Q1 3.3</t>
  </si>
  <si>
    <t xml:space="preserve"> Q1 4</t>
  </si>
  <si>
    <t xml:space="preserve"> Q1 4.1</t>
  </si>
  <si>
    <t xml:space="preserve"> 化学汚染物質</t>
  </si>
  <si>
    <t>木造</t>
    <rPh sb="0" eb="2">
      <t>モクゾウ</t>
    </rPh>
    <phoneticPr fontId="20"/>
  </si>
  <si>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</si>
  <si>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</si>
  <si>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</si>
  <si>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</si>
  <si>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</si>
  <si>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</si>
  <si>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</si>
  <si>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</si>
  <si>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</si>
  <si>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 xml:space="preserve"> Q2 1.1</t>
  </si>
  <si>
    <t>広さ・収納性</t>
  </si>
  <si>
    <t>バリアフリー計画</t>
  </si>
  <si>
    <t xml:space="preserve"> Q2 1.2</t>
  </si>
  <si>
    <t>広さ感・景観</t>
  </si>
  <si>
    <t>リフレッシュスペース</t>
  </si>
  <si>
    <t>内装計画</t>
  </si>
  <si>
    <t>維持管理</t>
    <rPh sb="0" eb="2">
      <t>イジ</t>
    </rPh>
    <rPh sb="2" eb="4">
      <t>カンリ</t>
    </rPh>
    <phoneticPr fontId="20"/>
  </si>
  <si>
    <t>1.3.1</t>
  </si>
  <si>
    <t xml:space="preserve"> Q2 1.3</t>
  </si>
  <si>
    <t>1.3.2</t>
  </si>
  <si>
    <t>1.3.3</t>
  </si>
  <si>
    <t xml:space="preserve"> Q2 2</t>
  </si>
  <si>
    <t xml:space="preserve"> Q2 2.1</t>
  </si>
  <si>
    <t>耐震性</t>
  </si>
  <si>
    <t xml:space="preserve"> Q2 2.2</t>
  </si>
  <si>
    <t>外壁仕上げ材の補修必要間隔</t>
  </si>
  <si>
    <t>主要内装仕上げ材の更新必要間隔</t>
  </si>
  <si>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0"/>
  </si>
  <si>
    <r>
      <t>2-3</t>
    </r>
    <r>
      <rPr>
        <b/>
        <sz val="12"/>
        <color indexed="9"/>
        <rFont val="ＭＳ Ｐゴシック"/>
        <family val="3"/>
        <charset val="128"/>
      </rPr>
      <t>　大項目の評価（ﾚｰﾀﾞｰﾁｬｰﾄ）</t>
    </r>
    <rPh sb="4" eb="7">
      <t>ダイコウモク</t>
    </rPh>
    <rPh sb="8" eb="10">
      <t>ヒョウカ</t>
    </rPh>
    <phoneticPr fontId="20"/>
  </si>
  <si>
    <t>空調換気ダクトの更新必要間隔</t>
    <rPh sb="0" eb="2">
      <t>クウチョウ</t>
    </rPh>
    <rPh sb="2" eb="4">
      <t>カンキ</t>
    </rPh>
    <phoneticPr fontId="20"/>
  </si>
  <si>
    <t>空調・給排水配管の更新必要間隔</t>
    <rPh sb="0" eb="2">
      <t>クウチョウ</t>
    </rPh>
    <rPh sb="3" eb="4">
      <t>キュウ</t>
    </rPh>
    <rPh sb="4" eb="6">
      <t>ハイスイ</t>
    </rPh>
    <rPh sb="6" eb="8">
      <t>ハイカン</t>
    </rPh>
    <phoneticPr fontId="20"/>
  </si>
  <si>
    <t>主要設備機器の更新必要間隔</t>
  </si>
  <si>
    <t xml:space="preserve"> Q2 2.3</t>
  </si>
  <si>
    <t xml:space="preserve"> Q2 2.4</t>
  </si>
  <si>
    <t>空調・換気設備</t>
  </si>
  <si>
    <t>2.4.2</t>
  </si>
  <si>
    <t>給排水・衛生設備</t>
  </si>
  <si>
    <t>2.4.3</t>
  </si>
  <si>
    <t>電気設備</t>
  </si>
  <si>
    <t>2.4.4</t>
  </si>
  <si>
    <t>機械・配管支持方法</t>
  </si>
  <si>
    <t>2.4.5</t>
  </si>
  <si>
    <t>通信・情報設備</t>
  </si>
  <si>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</si>
  <si>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</si>
  <si>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</si>
  <si>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</si>
  <si>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</si>
  <si>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</si>
  <si>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</si>
  <si>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</si>
  <si>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</si>
  <si>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</si>
  <si>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</si>
  <si>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</si>
  <si>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 xml:space="preserve"> Q3 3</t>
  </si>
  <si>
    <t>LR</t>
  </si>
  <si>
    <t>LR1</t>
  </si>
  <si>
    <t>LR1 2</t>
  </si>
  <si>
    <t>給湯設備</t>
  </si>
  <si>
    <t>LR1 4</t>
  </si>
  <si>
    <t>LR2</t>
  </si>
  <si>
    <t>LR2 1</t>
  </si>
  <si>
    <t>LR2 1.2</t>
  </si>
  <si>
    <t>LR2 2</t>
  </si>
  <si>
    <t>LR2 3</t>
  </si>
  <si>
    <t>LR2 3.2</t>
  </si>
  <si>
    <t>3.2.3</t>
  </si>
  <si>
    <t>冷媒</t>
  </si>
  <si>
    <t>LR3</t>
  </si>
  <si>
    <t>LR3 2</t>
  </si>
  <si>
    <t>LR3 2.3</t>
  </si>
  <si>
    <t>LR3 3</t>
  </si>
  <si>
    <t>LR3 3.1</t>
  </si>
  <si>
    <t>LR3 3.2</t>
  </si>
  <si>
    <t>LR3 3.3</t>
  </si>
  <si>
    <t>補正後</t>
    <rPh sb="0" eb="2">
      <t>ホセイ</t>
    </rPh>
    <rPh sb="2" eb="3">
      <t>ゴ</t>
    </rPh>
    <phoneticPr fontId="20"/>
  </si>
  <si>
    <t>補正前計</t>
    <rPh sb="0" eb="2">
      <t>ホセイ</t>
    </rPh>
    <rPh sb="2" eb="3">
      <t>マエ</t>
    </rPh>
    <rPh sb="3" eb="4">
      <t>ケイ</t>
    </rPh>
    <phoneticPr fontId="20"/>
  </si>
  <si>
    <t>補正前</t>
    <rPh sb="0" eb="2">
      <t>ホセイ</t>
    </rPh>
    <rPh sb="2" eb="3">
      <t>マエ</t>
    </rPh>
    <phoneticPr fontId="20"/>
  </si>
  <si>
    <t>対象外の選択</t>
    <rPh sb="0" eb="3">
      <t>タイショウガイ</t>
    </rPh>
    <rPh sb="4" eb="6">
      <t>センタク</t>
    </rPh>
    <phoneticPr fontId="20"/>
  </si>
  <si>
    <t>項目ごと既定重み</t>
  </si>
  <si>
    <t>全体・共有</t>
  </si>
  <si>
    <t>住居・宿泊</t>
  </si>
  <si>
    <t>重み係数</t>
  </si>
  <si>
    <t>既定重み</t>
  </si>
  <si>
    <t>延面積比率</t>
  </si>
  <si>
    <t>Q</t>
  </si>
  <si>
    <t>建築物の環境品質</t>
    <phoneticPr fontId="20"/>
  </si>
  <si>
    <t>重み係数（既定）</t>
  </si>
  <si>
    <t>１．基本設計</t>
    <rPh sb="2" eb="4">
      <t>キホン</t>
    </rPh>
    <rPh sb="4" eb="6">
      <t>セッケイ</t>
    </rPh>
    <phoneticPr fontId="20"/>
  </si>
  <si>
    <t>２．実施・竣工段階</t>
    <rPh sb="2" eb="4">
      <t>ジッシ</t>
    </rPh>
    <rPh sb="5" eb="7">
      <t>シュンコウ</t>
    </rPh>
    <rPh sb="7" eb="9">
      <t>ダンカイ</t>
    </rPh>
    <phoneticPr fontId="20"/>
  </si>
  <si>
    <t>補正後</t>
  </si>
  <si>
    <t>補正前計</t>
  </si>
  <si>
    <t>対象外の選択</t>
  </si>
  <si>
    <t>合成重み</t>
  </si>
  <si>
    <t>建物全体・共用部</t>
  </si>
  <si>
    <t>住居・宿泊部</t>
  </si>
  <si>
    <t>項目</t>
  </si>
  <si>
    <t>項目名</t>
  </si>
  <si>
    <t>延面積</t>
  </si>
  <si>
    <t>住居宿泊・共用部面積比率</t>
  </si>
  <si>
    <t>建築物の環境品質</t>
  </si>
  <si>
    <t>設備騒音対策</t>
  </si>
  <si>
    <t>遮音</t>
    <rPh sb="0" eb="2">
      <t>シャオン</t>
    </rPh>
    <phoneticPr fontId="20"/>
  </si>
  <si>
    <t>室温設定</t>
  </si>
  <si>
    <t>機能性・使いやすさ</t>
    <rPh sb="0" eb="3">
      <t>キノウセイ</t>
    </rPh>
    <rPh sb="4" eb="5">
      <t>ヅカ</t>
    </rPh>
    <phoneticPr fontId="20"/>
  </si>
  <si>
    <t>維持管理用機能の確保</t>
    <rPh sb="0" eb="2">
      <t>イジ</t>
    </rPh>
    <rPh sb="2" eb="5">
      <t>カンリヨウ</t>
    </rPh>
    <rPh sb="5" eb="7">
      <t>キノウ</t>
    </rPh>
    <rPh sb="8" eb="10">
      <t>カクホ</t>
    </rPh>
    <phoneticPr fontId="20"/>
  </si>
  <si>
    <t>耐用性・信頼性</t>
    <rPh sb="4" eb="6">
      <t>シンライ</t>
    </rPh>
    <rPh sb="6" eb="7">
      <t>セイ</t>
    </rPh>
    <phoneticPr fontId="20"/>
  </si>
  <si>
    <t>免震・制振性能</t>
    <rPh sb="5" eb="7">
      <t>セイノウ</t>
    </rPh>
    <phoneticPr fontId="20"/>
  </si>
  <si>
    <t>適切な更新</t>
    <rPh sb="0" eb="2">
      <t>テキセツ</t>
    </rPh>
    <rPh sb="3" eb="5">
      <t>コウシン</t>
    </rPh>
    <phoneticPr fontId="20"/>
  </si>
  <si>
    <t>屋上（屋根）・外壁仕上げ材の更新</t>
    <rPh sb="0" eb="2">
      <t>オクジョウ</t>
    </rPh>
    <rPh sb="3" eb="5">
      <t>ヤネ</t>
    </rPh>
    <rPh sb="7" eb="9">
      <t>ガイヘキ</t>
    </rPh>
    <rPh sb="9" eb="11">
      <t>シア</t>
    </rPh>
    <rPh sb="12" eb="13">
      <t>ザイ</t>
    </rPh>
    <rPh sb="14" eb="16">
      <t>コウシン</t>
    </rPh>
    <phoneticPr fontId="20"/>
  </si>
  <si>
    <t>配管・配線材の更新</t>
    <rPh sb="0" eb="2">
      <t>ハイカン</t>
    </rPh>
    <rPh sb="3" eb="5">
      <t>ハイセン</t>
    </rPh>
    <rPh sb="5" eb="6">
      <t>ザイ</t>
    </rPh>
    <rPh sb="7" eb="9">
      <t>コウシン</t>
    </rPh>
    <phoneticPr fontId="20"/>
  </si>
  <si>
    <t>主要設備機器の更新</t>
    <rPh sb="0" eb="2">
      <t>シュヨウ</t>
    </rPh>
    <rPh sb="2" eb="4">
      <t>セツビ</t>
    </rPh>
    <rPh sb="4" eb="6">
      <t>キキ</t>
    </rPh>
    <rPh sb="7" eb="9">
      <t>コウシン</t>
    </rPh>
    <phoneticPr fontId="20"/>
  </si>
  <si>
    <t xml:space="preserve"> </t>
  </si>
  <si>
    <t>建築物の環境負荷低減性</t>
    <rPh sb="0" eb="3">
      <t>ケンチクブツ</t>
    </rPh>
    <rPh sb="4" eb="6">
      <t>カンキョウ</t>
    </rPh>
    <rPh sb="6" eb="8">
      <t>フカ</t>
    </rPh>
    <rPh sb="8" eb="10">
      <t>テイゲン</t>
    </rPh>
    <rPh sb="10" eb="11">
      <t>セイ</t>
    </rPh>
    <phoneticPr fontId="20"/>
  </si>
  <si>
    <t>○○○</t>
    <phoneticPr fontId="20"/>
  </si>
  <si>
    <t>EB</t>
    <phoneticPr fontId="20"/>
  </si>
  <si>
    <t>NC</t>
    <phoneticPr fontId="20"/>
  </si>
  <si>
    <t>LR3</t>
    <phoneticPr fontId="30" type="noConversion"/>
  </si>
  <si>
    <t>敷地外環境</t>
    <phoneticPr fontId="20"/>
  </si>
  <si>
    <t>環境配慮設計の概要記入欄</t>
    <phoneticPr fontId="20"/>
  </si>
  <si>
    <t>←</t>
    <phoneticPr fontId="20"/>
  </si>
  <si>
    <t>SQ</t>
    <phoneticPr fontId="20"/>
  </si>
  <si>
    <t>background</t>
    <phoneticPr fontId="20"/>
  </si>
  <si>
    <t>Score(RoundDown)</t>
    <phoneticPr fontId="20"/>
  </si>
  <si>
    <t>std</t>
    <phoneticPr fontId="20"/>
  </si>
  <si>
    <t>SLR</t>
    <phoneticPr fontId="20"/>
  </si>
  <si>
    <t>Q2</t>
    <phoneticPr fontId="20"/>
  </si>
  <si>
    <t>Q2 サービス性能</t>
    <phoneticPr fontId="20"/>
  </si>
  <si>
    <t>気候区分</t>
    <phoneticPr fontId="20"/>
  </si>
  <si>
    <t>％</t>
    <phoneticPr fontId="20"/>
  </si>
  <si>
    <t>Sum</t>
    <phoneticPr fontId="20"/>
  </si>
  <si>
    <t>Ref</t>
    <phoneticPr fontId="20"/>
  </si>
  <si>
    <t>NA</t>
    <phoneticPr fontId="20"/>
  </si>
  <si>
    <t>＜実施設計段階、竣工段階で詳細な評価を行う場合に記入＞</t>
    <phoneticPr fontId="20"/>
  </si>
  <si>
    <t>(3)の評価はオプションとし、実施設計段階および竣工段階で可能な範囲で記入する。</t>
    <phoneticPr fontId="20"/>
  </si>
  <si>
    <t>←</t>
    <phoneticPr fontId="20"/>
  </si>
  <si>
    <t>→</t>
    <phoneticPr fontId="20"/>
  </si>
  <si>
    <t>Rank(red star)</t>
    <phoneticPr fontId="20"/>
  </si>
  <si>
    <r>
      <t>　　BEE</t>
    </r>
    <r>
      <rPr>
        <b/>
        <vertAlign val="subscript"/>
        <sz val="13"/>
        <rFont val="ＭＳ Ｐゴシック"/>
        <family val="3"/>
        <charset val="128"/>
      </rPr>
      <t>ES</t>
    </r>
    <phoneticPr fontId="20"/>
  </si>
  <si>
    <t>＝</t>
    <phoneticPr fontId="20"/>
  </si>
  <si>
    <r>
      <t>省エネ改修評価における建築物の環境品質　</t>
    </r>
    <r>
      <rPr>
        <b/>
        <sz val="10"/>
        <rFont val="Arial"/>
        <family val="2"/>
      </rPr>
      <t>Q</t>
    </r>
    <r>
      <rPr>
        <b/>
        <vertAlign val="subscript"/>
        <sz val="10"/>
        <rFont val="Arial"/>
        <family val="2"/>
      </rPr>
      <t>ES</t>
    </r>
    <phoneticPr fontId="20"/>
  </si>
  <si>
    <t>↑</t>
    <phoneticPr fontId="20"/>
  </si>
  <si>
    <t>修繕・更新・</t>
    <phoneticPr fontId="20"/>
  </si>
  <si>
    <t>○○</t>
    <phoneticPr fontId="20"/>
  </si>
  <si>
    <t>Subjest2</t>
    <phoneticPr fontId="20"/>
  </si>
  <si>
    <t>Subjest3</t>
    <phoneticPr fontId="20"/>
  </si>
  <si>
    <t>Subjest1</t>
    <phoneticPr fontId="20"/>
  </si>
  <si>
    <t>オンサイト</t>
    <phoneticPr fontId="20"/>
  </si>
  <si>
    <t>オフサイト</t>
    <phoneticPr fontId="20"/>
  </si>
  <si>
    <t>項目名</t>
    <rPh sb="0" eb="2">
      <t>コウモク</t>
    </rPh>
    <rPh sb="2" eb="3">
      <t>メイ</t>
    </rPh>
    <phoneticPr fontId="20"/>
  </si>
  <si>
    <t>①用途別延床面積　注1)</t>
    <rPh sb="1" eb="3">
      <t>ヨウト</t>
    </rPh>
    <rPh sb="3" eb="4">
      <t>ベツ</t>
    </rPh>
    <rPh sb="4" eb="5">
      <t>ノ</t>
    </rPh>
    <rPh sb="5" eb="6">
      <t>ユカ</t>
    </rPh>
    <rPh sb="6" eb="8">
      <t>メンセキ</t>
    </rPh>
    <rPh sb="9" eb="10">
      <t>チュウ</t>
    </rPh>
    <phoneticPr fontId="20"/>
  </si>
  <si>
    <t>評　価　ソ　フ　ト</t>
    <rPh sb="0" eb="1">
      <t>ヒョウ</t>
    </rPh>
    <rPh sb="2" eb="3">
      <t>アタイ</t>
    </rPh>
    <phoneticPr fontId="20"/>
  </si>
  <si>
    <t>バージョン</t>
    <phoneticPr fontId="20"/>
  </si>
  <si>
    <t>■使用評価マニュアル：</t>
    <rPh sb="1" eb="3">
      <t>シヨウ</t>
    </rPh>
    <rPh sb="3" eb="5">
      <t>ヒョウカ</t>
    </rPh>
    <phoneticPr fontId="20"/>
  </si>
  <si>
    <t>1）概要入力</t>
    <rPh sb="2" eb="4">
      <t>ガイヨウ</t>
    </rPh>
    <rPh sb="4" eb="6">
      <t>ニュウリョク</t>
    </rPh>
    <phoneticPr fontId="20"/>
  </si>
  <si>
    <t>① 建物概要</t>
    <rPh sb="2" eb="4">
      <t>ﾀﾃﾓﾉ</t>
    </rPh>
    <rPh sb="4" eb="6">
      <t>ｶﾞｲﾖｳ</t>
    </rPh>
    <phoneticPr fontId="30" type="noConversion"/>
  </si>
  <si>
    <t>改修前</t>
    <rPh sb="0" eb="2">
      <t>カイシュウ</t>
    </rPh>
    <rPh sb="2" eb="3">
      <t>マエ</t>
    </rPh>
    <phoneticPr fontId="20"/>
  </si>
  <si>
    <t>改修後</t>
    <rPh sb="0" eb="2">
      <t>カイシュウ</t>
    </rPh>
    <rPh sb="2" eb="3">
      <t>ゴ</t>
    </rPh>
    <phoneticPr fontId="20"/>
  </si>
  <si>
    <t>地域区分Ⅱ</t>
  </si>
  <si>
    <t>■建物名称</t>
    <rPh sb="1" eb="3">
      <t>ﾀﾃﾓﾉ</t>
    </rPh>
    <rPh sb="3" eb="5">
      <t>ﾒｲｼｮｳ</t>
    </rPh>
    <phoneticPr fontId="30" type="noConversion"/>
  </si>
  <si>
    <t>旧ビル</t>
    <rPh sb="0" eb="1">
      <t>キュウ</t>
    </rPh>
    <phoneticPr fontId="20"/>
  </si>
  <si>
    <t>新ビル</t>
    <rPh sb="0" eb="1">
      <t>シン</t>
    </rPh>
    <phoneticPr fontId="20"/>
  </si>
  <si>
    <t>地域区分Ⅲ</t>
  </si>
  <si>
    <t>■建設地</t>
    <rPh sb="1" eb="4">
      <t>ｹﾝｾﾂﾁ</t>
    </rPh>
    <phoneticPr fontId="30" type="noConversion"/>
  </si>
  <si>
    <t>○○県○○市</t>
    <rPh sb="2" eb="3">
      <t>ケン</t>
    </rPh>
    <rPh sb="5" eb="6">
      <t>シ</t>
    </rPh>
    <phoneticPr fontId="20"/>
  </si>
  <si>
    <t>地域区分Ⅳ</t>
  </si>
  <si>
    <t>■気候区分</t>
    <rPh sb="1" eb="3">
      <t>ｷｺｳ</t>
    </rPh>
    <rPh sb="3" eb="5">
      <t>ｸﾌﾞﾝ</t>
    </rPh>
    <phoneticPr fontId="30" type="noConversion"/>
  </si>
  <si>
    <t>地域区分Ⅴ</t>
  </si>
  <si>
    <t>■地域・地区</t>
    <rPh sb="1" eb="3">
      <t>ﾁｲｷ</t>
    </rPh>
    <rPh sb="4" eb="6">
      <t>ﾁｸ</t>
    </rPh>
    <phoneticPr fontId="30" type="noConversion"/>
  </si>
  <si>
    <t>商業地域、防火地域</t>
    <rPh sb="0" eb="2">
      <t>ショウギョウ</t>
    </rPh>
    <rPh sb="2" eb="4">
      <t>チイキ</t>
    </rPh>
    <rPh sb="5" eb="7">
      <t>ボウカ</t>
    </rPh>
    <rPh sb="7" eb="9">
      <t>チイキ</t>
    </rPh>
    <phoneticPr fontId="20"/>
  </si>
  <si>
    <t>地域区分Ⅵ</t>
  </si>
  <si>
    <t>■新築時の竣工年</t>
    <rPh sb="1" eb="3">
      <t>ｼﾝﾁｸ</t>
    </rPh>
    <rPh sb="3" eb="4">
      <t>ｼﾞ</t>
    </rPh>
    <rPh sb="5" eb="7">
      <t>ｼｭﾝｺｳ</t>
    </rPh>
    <rPh sb="7" eb="8">
      <t>ﾈﾝ</t>
    </rPh>
    <phoneticPr fontId="30" type="noConversion"/>
  </si>
  <si>
    <t>■改修竣工年</t>
    <rPh sb="1" eb="3">
      <t>ｶｲｼｭｳ</t>
    </rPh>
    <rPh sb="3" eb="5">
      <t>ｼｭﾝｺｳ</t>
    </rPh>
    <rPh sb="5" eb="6">
      <t>ﾈﾝ</t>
    </rPh>
    <phoneticPr fontId="30" type="noConversion"/>
  </si>
  <si>
    <t xml:space="preserve"> (予定/竣工)</t>
    <phoneticPr fontId="30" type="noConversion"/>
  </si>
  <si>
    <t>■敷地面積</t>
    <rPh sb="1" eb="3">
      <t>ｼｷﾁ</t>
    </rPh>
    <rPh sb="3" eb="5">
      <t>ﾒﾝｾｷ</t>
    </rPh>
    <phoneticPr fontId="30" type="noConversion"/>
  </si>
  <si>
    <t>㎡</t>
    <phoneticPr fontId="20"/>
  </si>
  <si>
    <t>■建築面積</t>
    <rPh sb="1" eb="3">
      <t>ｹﾝﾁｸ</t>
    </rPh>
    <rPh sb="3" eb="5">
      <t>ﾒﾝｾｷ</t>
    </rPh>
    <phoneticPr fontId="30" type="noConversion"/>
  </si>
  <si>
    <t>㎡</t>
  </si>
  <si>
    <t>㎡</t>
    <phoneticPr fontId="20"/>
  </si>
  <si>
    <t>■延床面積</t>
    <rPh sb="1" eb="2">
      <t>ﾉ</t>
    </rPh>
    <rPh sb="2" eb="5">
      <t>ﾕｶﾒﾝｾｷ</t>
    </rPh>
    <phoneticPr fontId="30" type="noConversion"/>
  </si>
  <si>
    <t>■建物用途名</t>
    <rPh sb="1" eb="3">
      <t>タテモノ</t>
    </rPh>
    <rPh sb="3" eb="5">
      <t>ヨウト</t>
    </rPh>
    <rPh sb="5" eb="6">
      <t>メイ</t>
    </rPh>
    <phoneticPr fontId="20"/>
  </si>
  <si>
    <t>○○</t>
    <phoneticPr fontId="20"/>
  </si>
  <si>
    <t>■階数</t>
    <rPh sb="1" eb="3">
      <t>カイスウ</t>
    </rPh>
    <phoneticPr fontId="20"/>
  </si>
  <si>
    <t>地上12F</t>
    <rPh sb="0" eb="2">
      <t>チジョウ</t>
    </rPh>
    <phoneticPr fontId="20"/>
  </si>
  <si>
    <t>■構造</t>
    <rPh sb="1" eb="3">
      <t>コウゾウ</t>
    </rPh>
    <phoneticPr fontId="20"/>
  </si>
  <si>
    <t>S造</t>
    <rPh sb="1" eb="2">
      <t>ゾウ</t>
    </rPh>
    <phoneticPr fontId="20"/>
  </si>
  <si>
    <t>RC造</t>
    <rPh sb="2" eb="3">
      <t>ゾウ</t>
    </rPh>
    <phoneticPr fontId="20"/>
  </si>
  <si>
    <t>SRC造</t>
    <rPh sb="3" eb="4">
      <t>ゾウ</t>
    </rPh>
    <phoneticPr fontId="20"/>
  </si>
  <si>
    <t>■平均居住人員</t>
    <rPh sb="1" eb="3">
      <t>ﾍｲｷﾝ</t>
    </rPh>
    <rPh sb="3" eb="5">
      <t>ｷｮｼﾞｭｳ</t>
    </rPh>
    <rPh sb="5" eb="7">
      <t>ｼﾞﾝｲﾝ</t>
    </rPh>
    <phoneticPr fontId="30" type="noConversion"/>
  </si>
  <si>
    <t>○○</t>
    <phoneticPr fontId="20"/>
  </si>
  <si>
    <t>人（想定値）</t>
    <rPh sb="0" eb="1">
      <t>ニン</t>
    </rPh>
    <rPh sb="2" eb="4">
      <t>ソウテイ</t>
    </rPh>
    <rPh sb="4" eb="5">
      <t>アタイ</t>
    </rPh>
    <phoneticPr fontId="20"/>
  </si>
  <si>
    <t>■年間使用時間</t>
    <rPh sb="1" eb="3">
      <t>ﾈﾝｶﾝ</t>
    </rPh>
    <rPh sb="3" eb="5">
      <t>ｼﾖｳ</t>
    </rPh>
    <rPh sb="5" eb="7">
      <t>ｼﾞｶﾝ</t>
    </rPh>
    <phoneticPr fontId="30" type="noConversion"/>
  </si>
  <si>
    <t>○○</t>
    <phoneticPr fontId="20"/>
  </si>
  <si>
    <t>時間/年（想定値）</t>
    <rPh sb="0" eb="2">
      <t>ジカン</t>
    </rPh>
    <rPh sb="3" eb="4">
      <t>ネン</t>
    </rPh>
    <phoneticPr fontId="20"/>
  </si>
  <si>
    <t>■経過年数</t>
    <rPh sb="1" eb="3">
      <t>ｹｲｶ</t>
    </rPh>
    <rPh sb="3" eb="5">
      <t>ﾈﾝｽｳ</t>
    </rPh>
    <phoneticPr fontId="30" type="noConversion"/>
  </si>
  <si>
    <t>年</t>
    <rPh sb="0" eb="1">
      <t>ﾈﾝ</t>
    </rPh>
    <phoneticPr fontId="30" type="noConversion"/>
  </si>
  <si>
    <t>■改修後の
　 使用想定年数</t>
    <rPh sb="1" eb="3">
      <t>ｶｲｼｭｳ</t>
    </rPh>
    <rPh sb="3" eb="4">
      <t>ｺﾞ</t>
    </rPh>
    <rPh sb="8" eb="10">
      <t>ｼﾖｳ</t>
    </rPh>
    <rPh sb="10" eb="12">
      <t>ｿｳﾃｲ</t>
    </rPh>
    <rPh sb="12" eb="14">
      <t>ﾈﾝｽｳ</t>
    </rPh>
    <phoneticPr fontId="30" type="noConversion"/>
  </si>
  <si>
    <t>○○</t>
    <phoneticPr fontId="20"/>
  </si>
  <si>
    <t>■現在までの</t>
    <rPh sb="1" eb="3">
      <t>ｹﾞﾝｻﾞｲ</t>
    </rPh>
    <phoneticPr fontId="30" type="noConversion"/>
  </si>
  <si>
    <t>○○○</t>
    <phoneticPr fontId="20"/>
  </si>
  <si>
    <t>■改修目的</t>
    <rPh sb="1" eb="3">
      <t>ｶｲｼｭｳ</t>
    </rPh>
    <rPh sb="3" eb="5">
      <t>ﾓｸﾃｷ</t>
    </rPh>
    <phoneticPr fontId="30" type="noConversion"/>
  </si>
  <si>
    <t>○○○</t>
    <phoneticPr fontId="20"/>
  </si>
  <si>
    <t>　 主な改修履歴</t>
    <phoneticPr fontId="30" type="noConversion"/>
  </si>
  <si>
    <t>■改修対象項目</t>
    <rPh sb="1" eb="3">
      <t>ｶｲｼｭｳ</t>
    </rPh>
    <rPh sb="3" eb="5">
      <t>ﾀｲｼｮｳ</t>
    </rPh>
    <rPh sb="5" eb="7">
      <t>ｺｳﾓｸ</t>
    </rPh>
    <phoneticPr fontId="30" type="noConversion"/>
  </si>
  <si>
    <t>躯体</t>
    <rPh sb="0" eb="2">
      <t>ｸﾀｲ</t>
    </rPh>
    <phoneticPr fontId="30" type="noConversion"/>
  </si>
  <si>
    <t>○○○</t>
    <phoneticPr fontId="20"/>
  </si>
  <si>
    <t>外装</t>
    <rPh sb="0" eb="2">
      <t>ｶﾞｲｿｳ</t>
    </rPh>
    <phoneticPr fontId="30" type="noConversion"/>
  </si>
  <si>
    <t>内装</t>
    <rPh sb="0" eb="2">
      <t>ﾅｲｿｳ</t>
    </rPh>
    <phoneticPr fontId="30" type="noConversion"/>
  </si>
  <si>
    <t>設備</t>
    <rPh sb="0" eb="2">
      <t>ｾﾂﾋﾞ</t>
    </rPh>
    <phoneticPr fontId="30" type="noConversion"/>
  </si>
  <si>
    <t>■改修工事期間</t>
    <rPh sb="1" eb="3">
      <t>ｶｲｼｭｳ</t>
    </rPh>
    <rPh sb="3" eb="5">
      <t>ｺｳｼﾞ</t>
    </rPh>
    <rPh sb="5" eb="7">
      <t>ｷｶﾝ</t>
    </rPh>
    <phoneticPr fontId="30" type="noConversion"/>
  </si>
  <si>
    <t>② 評価の実施</t>
    <rPh sb="2" eb="4">
      <t>ヒョウカ</t>
    </rPh>
    <rPh sb="5" eb="7">
      <t>ジッシ</t>
    </rPh>
    <phoneticPr fontId="20"/>
  </si>
  <si>
    <r>
      <t xml:space="preserve">■ </t>
    </r>
    <r>
      <rPr>
        <sz val="9"/>
        <color indexed="8"/>
        <rFont val="ＭＳ Ｐゴシック"/>
        <family val="3"/>
        <charset val="128"/>
      </rPr>
      <t>評価の実施</t>
    </r>
    <rPh sb="2" eb="4">
      <t>ヒョウカ</t>
    </rPh>
    <rPh sb="5" eb="7">
      <t>ジッシ</t>
    </rPh>
    <phoneticPr fontId="20"/>
  </si>
  <si>
    <r>
      <t xml:space="preserve">■ </t>
    </r>
    <r>
      <rPr>
        <sz val="9"/>
        <color indexed="8"/>
        <rFont val="ＭＳ Ｐゴシック"/>
        <family val="3"/>
        <charset val="128"/>
      </rPr>
      <t>作成者</t>
    </r>
    <rPh sb="2" eb="5">
      <t>サクセイシャ</t>
    </rPh>
    <phoneticPr fontId="20"/>
  </si>
  <si>
    <r>
      <t xml:space="preserve">■ </t>
    </r>
    <r>
      <rPr>
        <sz val="9"/>
        <color indexed="8"/>
        <rFont val="ＭＳ Ｐゴシック"/>
        <family val="3"/>
        <charset val="128"/>
      </rPr>
      <t>確認日</t>
    </r>
    <rPh sb="2" eb="4">
      <t>カクニン</t>
    </rPh>
    <rPh sb="4" eb="5">
      <t>ビ</t>
    </rPh>
    <phoneticPr fontId="20"/>
  </si>
  <si>
    <r>
      <t xml:space="preserve">■ </t>
    </r>
    <r>
      <rPr>
        <sz val="9"/>
        <color indexed="8"/>
        <rFont val="ＭＳ Ｐゴシック"/>
        <family val="3"/>
        <charset val="128"/>
      </rPr>
      <t>確認者</t>
    </r>
    <rPh sb="2" eb="4">
      <t>カクニン</t>
    </rPh>
    <rPh sb="4" eb="5">
      <t>シャ</t>
    </rPh>
    <phoneticPr fontId="20"/>
  </si>
  <si>
    <r>
      <t>■</t>
    </r>
    <r>
      <rPr>
        <sz val="9"/>
        <color indexed="8"/>
        <rFont val="ＭＳ Ｐゴシック"/>
        <family val="3"/>
        <charset val="128"/>
      </rPr>
      <t>LCCO</t>
    </r>
    <r>
      <rPr>
        <vertAlign val="subscript"/>
        <sz val="9"/>
        <color indexed="8"/>
        <rFont val="ＭＳ Ｐゴシック"/>
        <family val="3"/>
        <charset val="128"/>
      </rPr>
      <t>2</t>
    </r>
    <r>
      <rPr>
        <sz val="9"/>
        <color indexed="8"/>
        <rFont val="ＭＳ Ｐゴシック"/>
        <family val="3"/>
        <charset val="128"/>
      </rPr>
      <t>の計算</t>
    </r>
    <rPh sb="7" eb="9">
      <t>ケイサン</t>
    </rPh>
    <phoneticPr fontId="20"/>
  </si>
  <si>
    <t>標準計算</t>
    <rPh sb="0" eb="2">
      <t>ヒョウジュン</t>
    </rPh>
    <rPh sb="2" eb="4">
      <t>ケイサン</t>
    </rPh>
    <phoneticPr fontId="20"/>
  </si>
  <si>
    <t>→LCCO2算定条件シート（標準計算）を入力</t>
    <rPh sb="6" eb="8">
      <t>サンテイ</t>
    </rPh>
    <rPh sb="8" eb="10">
      <t>ジョウケン</t>
    </rPh>
    <rPh sb="14" eb="16">
      <t>ヒョウジュン</t>
    </rPh>
    <rPh sb="16" eb="18">
      <t>ケイサン</t>
    </rPh>
    <rPh sb="20" eb="22">
      <t>ニュウリョク</t>
    </rPh>
    <phoneticPr fontId="20"/>
  </si>
  <si>
    <t>個別計算</t>
    <rPh sb="0" eb="2">
      <t>コベツ</t>
    </rPh>
    <rPh sb="2" eb="4">
      <t>ケイサン</t>
    </rPh>
    <phoneticPr fontId="20"/>
  </si>
  <si>
    <t>→LCCO2算定条件シート（個別計算）を入力</t>
    <rPh sb="6" eb="8">
      <t>サンテイ</t>
    </rPh>
    <rPh sb="8" eb="10">
      <t>ジョウケン</t>
    </rPh>
    <rPh sb="14" eb="16">
      <t>コベツ</t>
    </rPh>
    <rPh sb="16" eb="18">
      <t>ケイサン</t>
    </rPh>
    <rPh sb="20" eb="22">
      <t>ニュウリョク</t>
    </rPh>
    <phoneticPr fontId="20"/>
  </si>
  <si>
    <t>2) 個別用途入力</t>
    <rPh sb="3" eb="5">
      <t>コベツ</t>
    </rPh>
    <rPh sb="5" eb="7">
      <t>ヨウト</t>
    </rPh>
    <rPh sb="7" eb="9">
      <t>ニュウリョク</t>
    </rPh>
    <phoneticPr fontId="20"/>
  </si>
  <si>
    <t>before</t>
    <phoneticPr fontId="20"/>
  </si>
  <si>
    <r>
      <t>c</t>
    </r>
    <r>
      <rPr>
        <sz val="11"/>
        <rFont val="ＭＳ Ｐゴシック"/>
        <family val="3"/>
        <charset val="128"/>
      </rPr>
      <t>ommon</t>
    </r>
    <phoneticPr fontId="20"/>
  </si>
  <si>
    <t>Residential</t>
    <phoneticPr fontId="20"/>
  </si>
  <si>
    <t>after</t>
    <phoneticPr fontId="20"/>
  </si>
  <si>
    <t xml:space="preserve"> 事務所</t>
  </si>
  <si>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</si>
  <si>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</si>
  <si>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</si>
  <si>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</si>
  <si>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</si>
  <si>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</si>
  <si>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</si>
  <si>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0"/>
  </si>
  <si>
    <t>集会所</t>
    <rPh sb="2" eb="3">
      <t>ショ</t>
    </rPh>
    <phoneticPr fontId="20"/>
  </si>
  <si>
    <t xml:space="preserve"> 工場</t>
    <rPh sb="1" eb="3">
      <t>コウジョウ</t>
    </rPh>
    <phoneticPr fontId="20"/>
  </si>
  <si>
    <t>病院</t>
  </si>
  <si>
    <t xml:space="preserve"> 病院</t>
  </si>
  <si>
    <t>ホテル</t>
    <phoneticPr fontId="20"/>
  </si>
  <si>
    <t xml:space="preserve"> ホテル</t>
  </si>
  <si>
    <t>集合住宅</t>
  </si>
  <si>
    <t xml:space="preserve"> 集合住宅</t>
  </si>
  <si>
    <t>工場</t>
    <rPh sb="0" eb="2">
      <t>コウジョウ</t>
    </rPh>
    <phoneticPr fontId="20"/>
  </si>
  <si>
    <t>② 住居・宿泊部分の比率</t>
    <rPh sb="2" eb="4">
      <t>ジュウキョ</t>
    </rPh>
    <rPh sb="5" eb="7">
      <t>シュクハク</t>
    </rPh>
    <rPh sb="7" eb="9">
      <t>ブブン</t>
    </rPh>
    <rPh sb="10" eb="12">
      <t>ヒリツ</t>
    </rPh>
    <phoneticPr fontId="20"/>
  </si>
  <si>
    <t>合計</t>
    <rPh sb="0" eb="2">
      <t>ゴウケイ</t>
    </rPh>
    <phoneticPr fontId="20"/>
  </si>
  <si>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0"/>
  </si>
  <si>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0"/>
  </si>
  <si>
    <t>3）結果出力</t>
    <rPh sb="2" eb="4">
      <t>ケッカ</t>
    </rPh>
    <rPh sb="4" eb="6">
      <t>シュツリョク</t>
    </rPh>
    <phoneticPr fontId="20"/>
  </si>
  <si>
    <t>スコアシート</t>
    <phoneticPr fontId="20"/>
  </si>
  <si>
    <t>●スコア入力</t>
    <phoneticPr fontId="20"/>
  </si>
  <si>
    <t>●スコア表示</t>
    <phoneticPr fontId="20"/>
  </si>
  <si>
    <t>評価結果表示シート</t>
    <rPh sb="0" eb="2">
      <t>ヒョウカ</t>
    </rPh>
    <rPh sb="2" eb="4">
      <t>ケッカ</t>
    </rPh>
    <rPh sb="4" eb="6">
      <t>ヒョウジ</t>
    </rPh>
    <phoneticPr fontId="20"/>
  </si>
  <si>
    <t>●改修前の結果</t>
    <rPh sb="1" eb="3">
      <t>カイシュウ</t>
    </rPh>
    <rPh sb="3" eb="4">
      <t>マエ</t>
    </rPh>
    <rPh sb="5" eb="7">
      <t>ケッカ</t>
    </rPh>
    <phoneticPr fontId="20"/>
  </si>
  <si>
    <t>●改修後の結果</t>
    <rPh sb="1" eb="3">
      <t>カイシュウ</t>
    </rPh>
    <rPh sb="3" eb="4">
      <t>ゴ</t>
    </rPh>
    <rPh sb="5" eb="7">
      <t>ケッカ</t>
    </rPh>
    <phoneticPr fontId="20"/>
  </si>
  <si>
    <t>●改修前後の比較</t>
    <rPh sb="1" eb="3">
      <t>カイシュウ</t>
    </rPh>
    <rPh sb="3" eb="5">
      <t>ゼンゴ</t>
    </rPh>
    <rPh sb="6" eb="8">
      <t>ヒカク</t>
    </rPh>
    <phoneticPr fontId="20"/>
  </si>
  <si>
    <t>●LCCO2計算</t>
    <rPh sb="6" eb="8">
      <t>ケイサン</t>
    </rPh>
    <phoneticPr fontId="20"/>
  </si>
  <si>
    <t>LCCO2算定条件シート</t>
    <rPh sb="5" eb="7">
      <t>サンテイ</t>
    </rPh>
    <rPh sb="7" eb="9">
      <t>ジョウケン</t>
    </rPh>
    <phoneticPr fontId="20"/>
  </si>
  <si>
    <t>●標準計算</t>
    <rPh sb="1" eb="3">
      <t>ヒョウジュン</t>
    </rPh>
    <rPh sb="3" eb="5">
      <t>ケイサン</t>
    </rPh>
    <phoneticPr fontId="20"/>
  </si>
  <si>
    <t>●個別計算</t>
    <rPh sb="1" eb="3">
      <t>ｺﾍﾞﾂ</t>
    </rPh>
    <rPh sb="3" eb="5">
      <t>ｹｲｻﾝ</t>
    </rPh>
    <phoneticPr fontId="30" type="noConversion"/>
  </si>
  <si>
    <t>用途名</t>
    <rPh sb="0" eb="2">
      <t>ヨウト</t>
    </rPh>
    <rPh sb="2" eb="3">
      <t>メイ</t>
    </rPh>
    <phoneticPr fontId="20"/>
  </si>
  <si>
    <t xml:space="preserve"> 含まれる用途</t>
    <rPh sb="1" eb="2">
      <t>フク</t>
    </rPh>
    <rPh sb="5" eb="7">
      <t>ヨウト</t>
    </rPh>
    <phoneticPr fontId="20"/>
  </si>
  <si>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0"/>
  </si>
  <si>
    <t xml:space="preserve"> 百貨店、マーケット など</t>
    <rPh sb="1" eb="4">
      <t>ヒャッカテン</t>
    </rPh>
    <phoneticPr fontId="20"/>
  </si>
  <si>
    <t xml:space="preserve"> 飲食店、食堂、喫茶店 など</t>
    <rPh sb="1" eb="3">
      <t>インショク</t>
    </rPh>
    <rPh sb="3" eb="4">
      <t>テン</t>
    </rPh>
    <rPh sb="5" eb="7">
      <t>ショクドウ</t>
    </rPh>
    <rPh sb="8" eb="11">
      <t>キッサテン</t>
    </rPh>
    <phoneticPr fontId="20"/>
  </si>
  <si>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phoneticPr fontId="20"/>
  </si>
  <si>
    <t xml:space="preserve"> 病院、老人ホーム、身体障害者福祉ホームなど</t>
    <rPh sb="1" eb="3">
      <t>ビョウイン</t>
    </rPh>
    <rPh sb="4" eb="6">
      <t>ロウジン</t>
    </rPh>
    <rPh sb="10" eb="12">
      <t>シンタイ</t>
    </rPh>
    <rPh sb="12" eb="15">
      <t>ショウガイシャ</t>
    </rPh>
    <rPh sb="15" eb="17">
      <t>フクシ</t>
    </rPh>
    <phoneticPr fontId="20"/>
  </si>
  <si>
    <t xml:space="preserve"> ホテル、旅館など</t>
    <rPh sb="5" eb="7">
      <t>リョカン</t>
    </rPh>
    <phoneticPr fontId="20"/>
  </si>
  <si>
    <t xml:space="preserve"> 集合住宅（戸建は対象外）</t>
    <phoneticPr fontId="20"/>
  </si>
  <si>
    <t>■　環境設計の配慮事項</t>
    <rPh sb="2" eb="4">
      <t>カンキョウ</t>
    </rPh>
    <rPh sb="4" eb="6">
      <t>セッケイ</t>
    </rPh>
    <rPh sb="7" eb="9">
      <t>ハイリョ</t>
    </rPh>
    <rPh sb="9" eb="11">
      <t>ジコウ</t>
    </rPh>
    <phoneticPr fontId="20"/>
  </si>
  <si>
    <t>■作成日</t>
    <rPh sb="1" eb="4">
      <t>サクセイビ</t>
    </rPh>
    <phoneticPr fontId="20"/>
  </si>
  <si>
    <t>■建物用途</t>
    <rPh sb="1" eb="3">
      <t>ﾀﾃﾓﾉ</t>
    </rPh>
    <rPh sb="3" eb="5">
      <t>ﾖｳﾄ</t>
    </rPh>
    <phoneticPr fontId="30" type="noConversion"/>
  </si>
  <si>
    <t>■作成者</t>
    <rPh sb="1" eb="4">
      <t>サクセイシャ</t>
    </rPh>
    <phoneticPr fontId="20"/>
  </si>
  <si>
    <t>■改修目的</t>
    <rPh sb="1" eb="3">
      <t>カイシュウ</t>
    </rPh>
    <rPh sb="3" eb="5">
      <t>モクテキ</t>
    </rPh>
    <phoneticPr fontId="20"/>
  </si>
  <si>
    <t>計画上の配慮事項</t>
    <rPh sb="0" eb="2">
      <t>ケイカク</t>
    </rPh>
    <rPh sb="2" eb="3">
      <t>ジョウ</t>
    </rPh>
    <rPh sb="4" eb="6">
      <t>ハイリョ</t>
    </rPh>
    <rPh sb="6" eb="8">
      <t>ジコウ</t>
    </rPh>
    <phoneticPr fontId="20"/>
  </si>
  <si>
    <t>主な環境配慮の具体策</t>
    <rPh sb="0" eb="1">
      <t>オモ</t>
    </rPh>
    <rPh sb="2" eb="4">
      <t>カンキョウ</t>
    </rPh>
    <rPh sb="4" eb="6">
      <t>ハイリョ</t>
    </rPh>
    <rPh sb="7" eb="9">
      <t>グタイ</t>
    </rPh>
    <rPh sb="9" eb="10">
      <t>サク</t>
    </rPh>
    <phoneticPr fontId="20"/>
  </si>
  <si>
    <t>総合</t>
    <rPh sb="0" eb="2">
      <t>ソウゴウ</t>
    </rPh>
    <phoneticPr fontId="20"/>
  </si>
  <si>
    <t>Q1 
室内環境</t>
    <rPh sb="4" eb="6">
      <t>シツナイ</t>
    </rPh>
    <rPh sb="6" eb="8">
      <t>カンキョウ</t>
    </rPh>
    <phoneticPr fontId="20"/>
  </si>
  <si>
    <t>注）　改修における「Q1　室内環境」に対する配慮事項を簡潔に記載してください。</t>
    <rPh sb="22" eb="24">
      <t>ハイリョ</t>
    </rPh>
    <rPh sb="24" eb="26">
      <t>ジコウ</t>
    </rPh>
    <phoneticPr fontId="20"/>
  </si>
  <si>
    <t>Q2 
サービス性能</t>
    <rPh sb="8" eb="10">
      <t>セイノウ</t>
    </rPh>
    <phoneticPr fontId="20"/>
  </si>
  <si>
    <t>注）　改修における「Q2　サービス性能」に対する配慮事項を簡潔に記載してください。</t>
    <phoneticPr fontId="20"/>
  </si>
  <si>
    <t>Q3 
室外環境（敷地内）</t>
    <rPh sb="4" eb="6">
      <t>シツガイ</t>
    </rPh>
    <rPh sb="6" eb="8">
      <t>カンキョウ</t>
    </rPh>
    <rPh sb="9" eb="11">
      <t>シキチ</t>
    </rPh>
    <rPh sb="11" eb="12">
      <t>ナイ</t>
    </rPh>
    <phoneticPr fontId="20"/>
  </si>
  <si>
    <t>注）　改修における「Q3　室外環境（敷地内）」に対する配慮事項を簡潔に記載してください。</t>
    <phoneticPr fontId="20"/>
  </si>
  <si>
    <t>LR1 
エネルギー</t>
    <phoneticPr fontId="20"/>
  </si>
  <si>
    <r>
      <t xml:space="preserve"> </t>
    </r>
    <r>
      <rPr>
        <sz val="11"/>
        <rFont val="ＭＳ Ｐゴシック"/>
        <family val="3"/>
        <charset val="128"/>
      </rPr>
      <t>④上記</t>
    </r>
    <r>
      <rPr>
        <sz val="11"/>
        <rFont val="Arial"/>
        <family val="2"/>
      </rPr>
      <t xml:space="preserve">+
</t>
    </r>
    <r>
      <rPr>
        <sz val="11"/>
        <rFont val="ＭＳ Ｐゴシック"/>
        <family val="3"/>
        <charset val="128"/>
      </rPr>
      <t>　オフサイト手法
（改修前）
（改修後）</t>
    </r>
    <rPh sb="16" eb="18">
      <t>カイシュウ</t>
    </rPh>
    <rPh sb="18" eb="19">
      <t>マエ</t>
    </rPh>
    <rPh sb="22" eb="24">
      <t>カイシュウ</t>
    </rPh>
    <rPh sb="24" eb="25">
      <t>ゴ</t>
    </rPh>
    <phoneticPr fontId="20"/>
  </si>
  <si>
    <t>注）　改修における「LR1　エネルギー」に対する配慮事項を簡潔に記載してください。</t>
    <phoneticPr fontId="20"/>
  </si>
  <si>
    <t>LR2 
資源・マテリアル</t>
    <rPh sb="5" eb="7">
      <t>シゲン</t>
    </rPh>
    <phoneticPr fontId="20"/>
  </si>
  <si>
    <t>注）　改修における「LR2　資源・マテリアル」に対する配慮事項を簡潔に記載してください。</t>
    <phoneticPr fontId="20"/>
  </si>
  <si>
    <t>LR3 
敷地外環境</t>
    <rPh sb="5" eb="7">
      <t>シキチ</t>
    </rPh>
    <rPh sb="7" eb="8">
      <t>ガイ</t>
    </rPh>
    <rPh sb="8" eb="10">
      <t>カンキョウ</t>
    </rPh>
    <phoneticPr fontId="20"/>
  </si>
  <si>
    <t>注）　改修における「LR3　敷地外環境」に対する配慮事項を簡潔に記載してください。</t>
    <phoneticPr fontId="20"/>
  </si>
  <si>
    <t>その他</t>
    <rPh sb="2" eb="3">
      <t>ホカ</t>
    </rPh>
    <phoneticPr fontId="20"/>
  </si>
  <si>
    <t>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t>
  </si>
  <si>
    <t>スコア入力シート</t>
    <rPh sb="3" eb="5">
      <t>ニュウリョク</t>
    </rPh>
    <phoneticPr fontId="20"/>
  </si>
  <si>
    <t>改修しない</t>
    <rPh sb="0" eb="2">
      <t>カイシュウ</t>
    </rPh>
    <phoneticPr fontId="20"/>
  </si>
  <si>
    <t>建物全体・共用部分</t>
    <rPh sb="0" eb="2">
      <t>タテモノ</t>
    </rPh>
    <rPh sb="2" eb="4">
      <t>ゼンタイ</t>
    </rPh>
    <rPh sb="5" eb="7">
      <t>キョウヨウ</t>
    </rPh>
    <rPh sb="7" eb="9">
      <t>ブブン</t>
    </rPh>
    <phoneticPr fontId="20"/>
  </si>
  <si>
    <t>住居・宿泊部分</t>
    <rPh sb="0" eb="2">
      <t>ジュウキョ</t>
    </rPh>
    <rPh sb="3" eb="5">
      <t>シュクハク</t>
    </rPh>
    <rPh sb="5" eb="7">
      <t>ブブン</t>
    </rPh>
    <phoneticPr fontId="20"/>
  </si>
  <si>
    <t>建物全体・共用</t>
    <phoneticPr fontId="20"/>
  </si>
  <si>
    <t>住居宿泊</t>
    <rPh sb="0" eb="2">
      <t>ジュウキョ</t>
    </rPh>
    <rPh sb="2" eb="4">
      <t>シュクハク</t>
    </rPh>
    <phoneticPr fontId="20"/>
  </si>
  <si>
    <t>参照する重み</t>
    <rPh sb="0" eb="2">
      <t>サンショウ</t>
    </rPh>
    <rPh sb="4" eb="5">
      <t>オモ</t>
    </rPh>
    <phoneticPr fontId="20"/>
  </si>
  <si>
    <t>参照する基準</t>
    <rPh sb="0" eb="2">
      <t>サンショウ</t>
    </rPh>
    <rPh sb="4" eb="6">
      <t>キジュン</t>
    </rPh>
    <phoneticPr fontId="20"/>
  </si>
  <si>
    <t>②改修前（ｵﾌﾟｼｮﾝ）</t>
    <rPh sb="1" eb="3">
      <t>カイシュウ</t>
    </rPh>
    <rPh sb="3" eb="4">
      <t>マエ</t>
    </rPh>
    <phoneticPr fontId="20"/>
  </si>
  <si>
    <t>③改修後</t>
    <rPh sb="1" eb="3">
      <t>カイシュウ</t>
    </rPh>
    <rPh sb="3" eb="4">
      <t>ゴ</t>
    </rPh>
    <phoneticPr fontId="20"/>
  </si>
  <si>
    <t>評価項目</t>
    <rPh sb="0" eb="2">
      <t>ヒョウカ</t>
    </rPh>
    <phoneticPr fontId="20"/>
  </si>
  <si>
    <t>[　] 内；CASBEE-既存の項目名</t>
    <rPh sb="4" eb="5">
      <t>ナイ</t>
    </rPh>
    <phoneticPr fontId="20"/>
  </si>
  <si>
    <t>内装</t>
    <rPh sb="0" eb="2">
      <t>ナイソウ</t>
    </rPh>
    <phoneticPr fontId="20"/>
  </si>
  <si>
    <t>外装</t>
    <rPh sb="0" eb="2">
      <t>ガイソウ</t>
    </rPh>
    <phoneticPr fontId="20"/>
  </si>
  <si>
    <t>改修対象外</t>
    <rPh sb="0" eb="2">
      <t>カイシュウ</t>
    </rPh>
    <rPh sb="2" eb="4">
      <t>タイショウ</t>
    </rPh>
    <rPh sb="4" eb="5">
      <t>ガイ</t>
    </rPh>
    <phoneticPr fontId="20"/>
  </si>
  <si>
    <t>改修
対象外</t>
    <rPh sb="0" eb="2">
      <t>カイシュウ</t>
    </rPh>
    <rPh sb="3" eb="5">
      <t>タイショウ</t>
    </rPh>
    <rPh sb="5" eb="6">
      <t>ガイ</t>
    </rPh>
    <phoneticPr fontId="20"/>
  </si>
  <si>
    <t>①改修対象外の選択</t>
    <rPh sb="7" eb="9">
      <t>センタク</t>
    </rPh>
    <phoneticPr fontId="20"/>
  </si>
  <si>
    <t>参照基準</t>
    <rPh sb="0" eb="2">
      <t>サンショウ</t>
    </rPh>
    <rPh sb="2" eb="4">
      <t>キジュン</t>
    </rPh>
    <phoneticPr fontId="20"/>
  </si>
  <si>
    <t>スコア</t>
    <phoneticPr fontId="20"/>
  </si>
  <si>
    <t>weight(set)
before</t>
    <phoneticPr fontId="20"/>
  </si>
  <si>
    <t>weight(set)
after</t>
    <phoneticPr fontId="20"/>
  </si>
  <si>
    <t>weight(corrected)before</t>
    <phoneticPr fontId="20"/>
  </si>
  <si>
    <t>weight(corrected)after</t>
    <phoneticPr fontId="20"/>
  </si>
  <si>
    <t>Ｑ　建築物の環境品質</t>
    <phoneticPr fontId="20"/>
  </si>
  <si>
    <t>Q1</t>
    <phoneticPr fontId="30" type="noConversion"/>
  </si>
  <si>
    <t>室内環境</t>
  </si>
  <si>
    <t>音環境</t>
    <rPh sb="0" eb="1">
      <t>ｵﾄ</t>
    </rPh>
    <rPh sb="1" eb="3">
      <t>ｶﾝｷｮｳ</t>
    </rPh>
    <phoneticPr fontId="30" type="noConversion"/>
  </si>
  <si>
    <t>EB</t>
    <phoneticPr fontId="20"/>
  </si>
  <si>
    <t>NC</t>
    <phoneticPr fontId="20"/>
  </si>
  <si>
    <t>騒音</t>
  </si>
  <si>
    <t>EB</t>
    <phoneticPr fontId="20"/>
  </si>
  <si>
    <t>NC</t>
    <phoneticPr fontId="20"/>
  </si>
  <si>
    <t>EB</t>
    <phoneticPr fontId="20"/>
  </si>
  <si>
    <t>NC</t>
  </si>
  <si>
    <t>遮音</t>
  </si>
  <si>
    <t>NC</t>
    <phoneticPr fontId="20"/>
  </si>
  <si>
    <t>開口部遮音性能</t>
    <phoneticPr fontId="20"/>
  </si>
  <si>
    <t>界壁遮音性能</t>
  </si>
  <si>
    <t>界床遮音性能（軽量衝撃源）</t>
  </si>
  <si>
    <t>界床遮音性能（重量衝撃源）</t>
  </si>
  <si>
    <t>吸音</t>
  </si>
  <si>
    <t>温熱環境</t>
    <rPh sb="0" eb="2">
      <t>ｵﾝﾈﾂ</t>
    </rPh>
    <rPh sb="2" eb="4">
      <t>ｶﾝｷｮｳ</t>
    </rPh>
    <phoneticPr fontId="30" type="noConversion"/>
  </si>
  <si>
    <t>EB</t>
    <phoneticPr fontId="20"/>
  </si>
  <si>
    <t>NC</t>
    <phoneticPr fontId="20"/>
  </si>
  <si>
    <t>室温制御</t>
    <rPh sb="0" eb="2">
      <t>ｼﾂｵﾝ</t>
    </rPh>
    <rPh sb="2" eb="4">
      <t>ｾｲｷﾞｮ</t>
    </rPh>
    <phoneticPr fontId="30" type="noConversion"/>
  </si>
  <si>
    <t>EB</t>
    <phoneticPr fontId="20"/>
  </si>
  <si>
    <t>外皮性能</t>
    <rPh sb="0" eb="2">
      <t>ガイヒ</t>
    </rPh>
    <rPh sb="2" eb="4">
      <t>セイノウ</t>
    </rPh>
    <phoneticPr fontId="20"/>
  </si>
  <si>
    <t>EB</t>
    <phoneticPr fontId="20"/>
  </si>
  <si>
    <t>ゾーン別制御性</t>
    <rPh sb="3" eb="4">
      <t>ベツ</t>
    </rPh>
    <rPh sb="4" eb="7">
      <t>セイギョセイ</t>
    </rPh>
    <phoneticPr fontId="20"/>
  </si>
  <si>
    <t>EB</t>
    <phoneticPr fontId="20"/>
  </si>
  <si>
    <t>個別制御</t>
    <rPh sb="0" eb="2">
      <t>コベツ</t>
    </rPh>
    <rPh sb="2" eb="4">
      <t>セイギョ</t>
    </rPh>
    <phoneticPr fontId="20"/>
  </si>
  <si>
    <t>EB</t>
    <phoneticPr fontId="20"/>
  </si>
  <si>
    <t>監視システム</t>
    <rPh sb="0" eb="2">
      <t>カンシ</t>
    </rPh>
    <phoneticPr fontId="20"/>
  </si>
  <si>
    <t>空調方式</t>
    <rPh sb="0" eb="2">
      <t>クウチョウ</t>
    </rPh>
    <rPh sb="2" eb="4">
      <t>ホウシキ</t>
    </rPh>
    <phoneticPr fontId="20"/>
  </si>
  <si>
    <t>NC</t>
    <phoneticPr fontId="20"/>
  </si>
  <si>
    <t>上下温度差</t>
    <rPh sb="0" eb="2">
      <t>ジョウゲ</t>
    </rPh>
    <rPh sb="2" eb="5">
      <t>オンドサ</t>
    </rPh>
    <phoneticPr fontId="20"/>
  </si>
  <si>
    <t>EB</t>
    <phoneticPr fontId="20"/>
  </si>
  <si>
    <t>NC</t>
    <phoneticPr fontId="20"/>
  </si>
  <si>
    <t>平均気流速度</t>
    <rPh sb="0" eb="2">
      <t>ヘイキン</t>
    </rPh>
    <rPh sb="2" eb="4">
      <t>キリュウ</t>
    </rPh>
    <rPh sb="4" eb="6">
      <t>ソクド</t>
    </rPh>
    <phoneticPr fontId="20"/>
  </si>
  <si>
    <t>EB</t>
    <phoneticPr fontId="20"/>
  </si>
  <si>
    <t>NC</t>
    <phoneticPr fontId="20"/>
  </si>
  <si>
    <t>光・視環境</t>
    <rPh sb="0" eb="1">
      <t>ﾋｶﾘ</t>
    </rPh>
    <rPh sb="2" eb="3">
      <t>ｼ</t>
    </rPh>
    <rPh sb="3" eb="5">
      <t>ｶﾝｷｮｳ</t>
    </rPh>
    <phoneticPr fontId="30" type="noConversion"/>
  </si>
  <si>
    <t>昼光利用</t>
    <rPh sb="0" eb="1">
      <t>ﾋﾙ</t>
    </rPh>
    <rPh sb="1" eb="2">
      <t>ﾋｶﾘ</t>
    </rPh>
    <rPh sb="2" eb="4">
      <t>ﾘﾖｳ</t>
    </rPh>
    <phoneticPr fontId="30" type="noConversion"/>
  </si>
  <si>
    <t>EB</t>
    <phoneticPr fontId="20"/>
  </si>
  <si>
    <t>NC</t>
    <phoneticPr fontId="20"/>
  </si>
  <si>
    <t>風害、砂塵、日照阻害の抑制</t>
    <rPh sb="0" eb="2">
      <t>ﾌｳｶﾞｲ</t>
    </rPh>
    <rPh sb="3" eb="5">
      <t>ｻｼﾞﾝ</t>
    </rPh>
    <rPh sb="6" eb="8">
      <t>ﾆｯｼｮｳ</t>
    </rPh>
    <rPh sb="8" eb="10">
      <t>ｿｶﾞｲ</t>
    </rPh>
    <rPh sb="11" eb="13">
      <t>ﾖｸｾｲ</t>
    </rPh>
    <phoneticPr fontId="30" type="noConversion"/>
  </si>
  <si>
    <t>風害、砂塵、日照阻害の抑制</t>
    <rPh sb="0" eb="2">
      <t>フウガイ</t>
    </rPh>
    <rPh sb="3" eb="5">
      <t>サジン</t>
    </rPh>
    <rPh sb="6" eb="8">
      <t>ニッショウ</t>
    </rPh>
    <rPh sb="8" eb="10">
      <t>ソガイ</t>
    </rPh>
    <rPh sb="11" eb="13">
      <t>ヨクセイ</t>
    </rPh>
    <phoneticPr fontId="20"/>
  </si>
  <si>
    <t>昼光率</t>
    <rPh sb="0" eb="1">
      <t>ヒル</t>
    </rPh>
    <rPh sb="1" eb="2">
      <t>ヒカリ</t>
    </rPh>
    <rPh sb="2" eb="3">
      <t>リツ</t>
    </rPh>
    <phoneticPr fontId="20"/>
  </si>
  <si>
    <t>EB</t>
    <phoneticPr fontId="20"/>
  </si>
  <si>
    <t>方位別開口</t>
    <rPh sb="0" eb="2">
      <t>ホウイ</t>
    </rPh>
    <rPh sb="2" eb="3">
      <t>ベツ</t>
    </rPh>
    <rPh sb="3" eb="5">
      <t>カイコウ</t>
    </rPh>
    <phoneticPr fontId="20"/>
  </si>
  <si>
    <t>EB</t>
    <phoneticPr fontId="20"/>
  </si>
  <si>
    <t>昼光利用設備</t>
    <rPh sb="0" eb="1">
      <t>ヒル</t>
    </rPh>
    <rPh sb="1" eb="2">
      <t>ヒカリ</t>
    </rPh>
    <rPh sb="2" eb="4">
      <t>リヨウ</t>
    </rPh>
    <rPh sb="4" eb="6">
      <t>セツビ</t>
    </rPh>
    <phoneticPr fontId="20"/>
  </si>
  <si>
    <t>EB</t>
    <phoneticPr fontId="20"/>
  </si>
  <si>
    <t>グレア対策</t>
    <rPh sb="3" eb="5">
      <t>ﾀｲｻｸ</t>
    </rPh>
    <phoneticPr fontId="30" type="noConversion"/>
  </si>
  <si>
    <t>EB</t>
    <phoneticPr fontId="20"/>
  </si>
  <si>
    <t>NC</t>
    <phoneticPr fontId="20"/>
  </si>
  <si>
    <t>照明器具のグレア</t>
    <rPh sb="0" eb="2">
      <t>ショウメイ</t>
    </rPh>
    <rPh sb="2" eb="4">
      <t>キグ</t>
    </rPh>
    <phoneticPr fontId="20"/>
  </si>
  <si>
    <t>EB</t>
    <phoneticPr fontId="20"/>
  </si>
  <si>
    <t>昼光制御</t>
    <rPh sb="0" eb="1">
      <t>ヒル</t>
    </rPh>
    <rPh sb="1" eb="2">
      <t>ヒカリ</t>
    </rPh>
    <rPh sb="2" eb="4">
      <t>セイギョ</t>
    </rPh>
    <phoneticPr fontId="20"/>
  </si>
  <si>
    <t>照度</t>
    <rPh sb="0" eb="2">
      <t>ｼｮｳﾄﾞ</t>
    </rPh>
    <phoneticPr fontId="30" type="noConversion"/>
  </si>
  <si>
    <t>照明制御</t>
    <rPh sb="0" eb="2">
      <t>ショウメイ</t>
    </rPh>
    <rPh sb="2" eb="4">
      <t>セイギョ</t>
    </rPh>
    <phoneticPr fontId="20"/>
  </si>
  <si>
    <t>空気質環境</t>
    <rPh sb="0" eb="2">
      <t>クウキ</t>
    </rPh>
    <rPh sb="2" eb="3">
      <t>シツ</t>
    </rPh>
    <rPh sb="3" eb="5">
      <t>カンキョウ</t>
    </rPh>
    <phoneticPr fontId="20"/>
  </si>
  <si>
    <t>発生源対策</t>
    <rPh sb="0" eb="3">
      <t>ﾊｯｾｲｹﾞﾝ</t>
    </rPh>
    <rPh sb="3" eb="5">
      <t>ﾀｲｻｸ</t>
    </rPh>
    <phoneticPr fontId="30" type="noConversion"/>
  </si>
  <si>
    <t>EB</t>
    <phoneticPr fontId="20"/>
  </si>
  <si>
    <t>NC</t>
    <phoneticPr fontId="20"/>
  </si>
  <si>
    <t>化学汚染物質</t>
    <rPh sb="0" eb="2">
      <t>カガク</t>
    </rPh>
    <rPh sb="4" eb="6">
      <t>ブッシツ</t>
    </rPh>
    <phoneticPr fontId="20"/>
  </si>
  <si>
    <t>アスベスト対策</t>
    <rPh sb="5" eb="7">
      <t>タイサク</t>
    </rPh>
    <phoneticPr fontId="20"/>
  </si>
  <si>
    <t>ダニ・カビ等</t>
    <rPh sb="5" eb="6">
      <t>ナド</t>
    </rPh>
    <phoneticPr fontId="20"/>
  </si>
  <si>
    <t>レジオネラ対策</t>
    <rPh sb="5" eb="7">
      <t>タイサク</t>
    </rPh>
    <phoneticPr fontId="20"/>
  </si>
  <si>
    <t>換気</t>
    <rPh sb="0" eb="2">
      <t>ｶﾝｷ</t>
    </rPh>
    <phoneticPr fontId="30" type="noConversion"/>
  </si>
  <si>
    <t>EB</t>
    <phoneticPr fontId="20"/>
  </si>
  <si>
    <t>NC</t>
    <phoneticPr fontId="20"/>
  </si>
  <si>
    <t>換気量</t>
    <rPh sb="0" eb="3">
      <t>カンキリョウ</t>
    </rPh>
    <phoneticPr fontId="20"/>
  </si>
  <si>
    <t>自然換気性能</t>
    <rPh sb="0" eb="2">
      <t>シゼン</t>
    </rPh>
    <rPh sb="2" eb="4">
      <t>カンキ</t>
    </rPh>
    <rPh sb="4" eb="6">
      <t>セイノウ</t>
    </rPh>
    <phoneticPr fontId="20"/>
  </si>
  <si>
    <t>取り入れ外気への配慮</t>
    <rPh sb="0" eb="1">
      <t>ト</t>
    </rPh>
    <rPh sb="2" eb="3">
      <t>イ</t>
    </rPh>
    <rPh sb="4" eb="6">
      <t>ガイキ</t>
    </rPh>
    <rPh sb="8" eb="10">
      <t>ハイリョ</t>
    </rPh>
    <phoneticPr fontId="20"/>
  </si>
  <si>
    <t>給気計画</t>
    <rPh sb="0" eb="1">
      <t>キュウ</t>
    </rPh>
    <rPh sb="1" eb="2">
      <t>キ</t>
    </rPh>
    <rPh sb="2" eb="4">
      <t>ケイカク</t>
    </rPh>
    <phoneticPr fontId="20"/>
  </si>
  <si>
    <t>EB</t>
    <phoneticPr fontId="20"/>
  </si>
  <si>
    <t>運用管理</t>
    <rPh sb="0" eb="2">
      <t>ウンヨウ</t>
    </rPh>
    <rPh sb="2" eb="4">
      <t>カンリ</t>
    </rPh>
    <phoneticPr fontId="20"/>
  </si>
  <si>
    <t>EB</t>
    <phoneticPr fontId="20"/>
  </si>
  <si>
    <t>NC</t>
    <phoneticPr fontId="20"/>
  </si>
  <si>
    <r>
      <t>CO</t>
    </r>
    <r>
      <rPr>
        <vertAlign val="subscript"/>
        <sz val="10"/>
        <rFont val="ＭＳ Ｐゴシック"/>
        <family val="3"/>
        <charset val="128"/>
      </rPr>
      <t>2</t>
    </r>
    <r>
      <rPr>
        <sz val="10"/>
        <rFont val="ＭＳ Ｐゴシック"/>
        <family val="3"/>
        <charset val="128"/>
      </rPr>
      <t>の監視</t>
    </r>
    <rPh sb="4" eb="6">
      <t>カンシ</t>
    </rPh>
    <phoneticPr fontId="20"/>
  </si>
  <si>
    <t>喫煙の制御</t>
    <rPh sb="0" eb="2">
      <t>キツエン</t>
    </rPh>
    <rPh sb="3" eb="5">
      <t>セイギョ</t>
    </rPh>
    <phoneticPr fontId="20"/>
  </si>
  <si>
    <t>EB</t>
    <phoneticPr fontId="20"/>
  </si>
  <si>
    <t>Q2</t>
    <phoneticPr fontId="30" type="noConversion"/>
  </si>
  <si>
    <t>サービス性能</t>
    <phoneticPr fontId="20"/>
  </si>
  <si>
    <t>機能性</t>
    <rPh sb="0" eb="3">
      <t>ｷﾉｳｾｲ</t>
    </rPh>
    <phoneticPr fontId="30" type="noConversion"/>
  </si>
  <si>
    <t>機能性・使いやすさ</t>
    <rPh sb="0" eb="3">
      <t>キノウセイ</t>
    </rPh>
    <rPh sb="4" eb="5">
      <t>ツカ</t>
    </rPh>
    <phoneticPr fontId="20"/>
  </si>
  <si>
    <t>NC</t>
    <phoneticPr fontId="20"/>
  </si>
  <si>
    <t>広さ・収納性</t>
    <rPh sb="0" eb="1">
      <t>ヒロ</t>
    </rPh>
    <rPh sb="3" eb="5">
      <t>シュウノウ</t>
    </rPh>
    <rPh sb="5" eb="6">
      <t>セイ</t>
    </rPh>
    <phoneticPr fontId="20"/>
  </si>
  <si>
    <t>高度情報通信設備対応</t>
    <rPh sb="0" eb="2">
      <t>コウド</t>
    </rPh>
    <rPh sb="2" eb="4">
      <t>ジョウホウ</t>
    </rPh>
    <rPh sb="4" eb="6">
      <t>ツウシン</t>
    </rPh>
    <rPh sb="6" eb="8">
      <t>セツビ</t>
    </rPh>
    <rPh sb="8" eb="10">
      <t>タイオウ</t>
    </rPh>
    <phoneticPr fontId="20"/>
  </si>
  <si>
    <t>バリアフリー計画</t>
    <rPh sb="6" eb="8">
      <t>ケイカク</t>
    </rPh>
    <phoneticPr fontId="20"/>
  </si>
  <si>
    <t>心理性・快適性</t>
    <rPh sb="0" eb="1">
      <t>ｺｺﾛ</t>
    </rPh>
    <rPh sb="1" eb="3">
      <t>ﾘｾｲ</t>
    </rPh>
    <rPh sb="4" eb="7">
      <t>ｶｲﾃｷｾｲ</t>
    </rPh>
    <phoneticPr fontId="30" type="noConversion"/>
  </si>
  <si>
    <t>EB</t>
    <phoneticPr fontId="20"/>
  </si>
  <si>
    <t>NC</t>
    <phoneticPr fontId="20"/>
  </si>
  <si>
    <t>広さ感・景観</t>
    <rPh sb="0" eb="1">
      <t>ヒロ</t>
    </rPh>
    <rPh sb="2" eb="3">
      <t>カン</t>
    </rPh>
    <rPh sb="4" eb="6">
      <t>ケイカン</t>
    </rPh>
    <phoneticPr fontId="20"/>
  </si>
  <si>
    <t>リフレッシュスペース</t>
    <phoneticPr fontId="20"/>
  </si>
  <si>
    <t>内装計画</t>
    <rPh sb="0" eb="2">
      <t>ナイソウ</t>
    </rPh>
    <rPh sb="2" eb="4">
      <t>ケイカク</t>
    </rPh>
    <phoneticPr fontId="20"/>
  </si>
  <si>
    <t>維持管理</t>
    <rPh sb="0" eb="2">
      <t>ｲｼﾞ</t>
    </rPh>
    <rPh sb="2" eb="4">
      <t>ｶﾝﾘ</t>
    </rPh>
    <phoneticPr fontId="2" type="noConversion"/>
  </si>
  <si>
    <t>EB</t>
    <phoneticPr fontId="20"/>
  </si>
  <si>
    <t>維持管理用機能の確保　[清掃管理業務]</t>
    <rPh sb="12" eb="14">
      <t>セイソウ</t>
    </rPh>
    <rPh sb="14" eb="16">
      <t>カンリ</t>
    </rPh>
    <rPh sb="16" eb="18">
      <t>ギョウム</t>
    </rPh>
    <phoneticPr fontId="20"/>
  </si>
  <si>
    <t>衛生管理業務</t>
    <rPh sb="0" eb="2">
      <t>エイセイ</t>
    </rPh>
    <rPh sb="2" eb="4">
      <t>カンリ</t>
    </rPh>
    <rPh sb="4" eb="6">
      <t>ギョウム</t>
    </rPh>
    <phoneticPr fontId="20"/>
  </si>
  <si>
    <t>耐用性・信頼性</t>
    <rPh sb="0" eb="3">
      <t>ﾀｲﾖｳｾｲ</t>
    </rPh>
    <rPh sb="4" eb="6">
      <t>ｼﾝﾗｲ</t>
    </rPh>
    <rPh sb="6" eb="7">
      <t>ｾｲ</t>
    </rPh>
    <phoneticPr fontId="30" type="noConversion"/>
  </si>
  <si>
    <t>EB</t>
    <phoneticPr fontId="20"/>
  </si>
  <si>
    <t>NC</t>
    <phoneticPr fontId="20"/>
  </si>
  <si>
    <t>耐震･免震</t>
    <rPh sb="0" eb="2">
      <t>タイシン</t>
    </rPh>
    <rPh sb="3" eb="4">
      <t>メン</t>
    </rPh>
    <rPh sb="4" eb="5">
      <t>フル</t>
    </rPh>
    <phoneticPr fontId="20"/>
  </si>
  <si>
    <t>EB</t>
    <phoneticPr fontId="20"/>
  </si>
  <si>
    <t>NC</t>
    <phoneticPr fontId="20"/>
  </si>
  <si>
    <t>耐震性</t>
    <rPh sb="0" eb="3">
      <t>タイシンセイ</t>
    </rPh>
    <phoneticPr fontId="20"/>
  </si>
  <si>
    <t>免震制振性能</t>
    <rPh sb="0" eb="1">
      <t>メン</t>
    </rPh>
    <rPh sb="1" eb="2">
      <t>シン</t>
    </rPh>
    <rPh sb="2" eb="3">
      <t>セイ</t>
    </rPh>
    <rPh sb="3" eb="4">
      <t>オサム</t>
    </rPh>
    <rPh sb="4" eb="6">
      <t>セイノウ</t>
    </rPh>
    <phoneticPr fontId="20"/>
  </si>
  <si>
    <t>EB</t>
    <phoneticPr fontId="20"/>
  </si>
  <si>
    <t>部品・部材の耐用年数</t>
    <rPh sb="0" eb="2">
      <t>ブヒン</t>
    </rPh>
    <rPh sb="3" eb="4">
      <t>ブ</t>
    </rPh>
    <rPh sb="4" eb="5">
      <t>ザイ</t>
    </rPh>
    <rPh sb="6" eb="8">
      <t>タイヨウ</t>
    </rPh>
    <rPh sb="8" eb="10">
      <t>ネンスウ</t>
    </rPh>
    <phoneticPr fontId="20"/>
  </si>
  <si>
    <t>NC</t>
    <phoneticPr fontId="20"/>
  </si>
  <si>
    <t>躯体材料の耐用年数</t>
    <rPh sb="0" eb="2">
      <t>クタイ</t>
    </rPh>
    <rPh sb="2" eb="4">
      <t>ザイリョウ</t>
    </rPh>
    <rPh sb="5" eb="7">
      <t>タイヨウ</t>
    </rPh>
    <rPh sb="7" eb="9">
      <t>ネンスウ</t>
    </rPh>
    <phoneticPr fontId="20"/>
  </si>
  <si>
    <t>オンサイト</t>
    <phoneticPr fontId="20"/>
  </si>
  <si>
    <t>オフサイト</t>
    <phoneticPr fontId="20"/>
  </si>
  <si>
    <t>外壁仕上げ材の補修必要間隔</t>
    <rPh sb="0" eb="2">
      <t>ガイヘキ</t>
    </rPh>
    <rPh sb="2" eb="4">
      <t>シア</t>
    </rPh>
    <rPh sb="5" eb="6">
      <t>ザイ</t>
    </rPh>
    <rPh sb="7" eb="9">
      <t>ホシュウ</t>
    </rPh>
    <rPh sb="9" eb="11">
      <t>ヒツヨウ</t>
    </rPh>
    <rPh sb="11" eb="13">
      <t>カンカク</t>
    </rPh>
    <phoneticPr fontId="20"/>
  </si>
  <si>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0"/>
  </si>
  <si>
    <t>空調換気ダクトの更新必要間隔</t>
    <rPh sb="0" eb="2">
      <t>クウチョウ</t>
    </rPh>
    <rPh sb="2" eb="4">
      <t>カンキ</t>
    </rPh>
    <rPh sb="8" eb="10">
      <t>コウシン</t>
    </rPh>
    <rPh sb="10" eb="12">
      <t>ヒツヨウ</t>
    </rPh>
    <rPh sb="12" eb="14">
      <t>カンカク</t>
    </rPh>
    <phoneticPr fontId="20"/>
  </si>
  <si>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0"/>
  </si>
  <si>
    <t>主要設備機器の更新必要間隔</t>
    <rPh sb="0" eb="2">
      <t>シュヨウ</t>
    </rPh>
    <rPh sb="2" eb="4">
      <t>セツビ</t>
    </rPh>
    <rPh sb="4" eb="6">
      <t>キキ</t>
    </rPh>
    <rPh sb="7" eb="9">
      <t>コウシン</t>
    </rPh>
    <rPh sb="9" eb="11">
      <t>ヒツヨウ</t>
    </rPh>
    <rPh sb="11" eb="13">
      <t>カンカク</t>
    </rPh>
    <phoneticPr fontId="20"/>
  </si>
  <si>
    <t>適切な更新</t>
    <rPh sb="3" eb="5">
      <t>コウシン</t>
    </rPh>
    <phoneticPr fontId="20"/>
  </si>
  <si>
    <t>屋上（屋根）・外壁仕上げ材の更新</t>
  </si>
  <si>
    <t>配管・配線材料の更新</t>
  </si>
  <si>
    <t>主要設備機器の更新</t>
  </si>
  <si>
    <t>信頼性</t>
    <rPh sb="0" eb="3">
      <t>シンライセイ</t>
    </rPh>
    <phoneticPr fontId="20"/>
  </si>
  <si>
    <t>空調・換気設備</t>
    <rPh sb="0" eb="2">
      <t>クウチョウ</t>
    </rPh>
    <rPh sb="3" eb="5">
      <t>カンキ</t>
    </rPh>
    <rPh sb="5" eb="7">
      <t>セツビ</t>
    </rPh>
    <phoneticPr fontId="20"/>
  </si>
  <si>
    <t>給排水・衛生設備</t>
    <rPh sb="0" eb="3">
      <t>キュウハイスイ</t>
    </rPh>
    <rPh sb="4" eb="6">
      <t>エイセイ</t>
    </rPh>
    <rPh sb="6" eb="8">
      <t>セツビ</t>
    </rPh>
    <phoneticPr fontId="20"/>
  </si>
  <si>
    <t>電気設備</t>
    <rPh sb="0" eb="2">
      <t>デンキ</t>
    </rPh>
    <rPh sb="2" eb="4">
      <t>セツビ</t>
    </rPh>
    <phoneticPr fontId="20"/>
  </si>
  <si>
    <t>機械・配管支持方法</t>
    <rPh sb="0" eb="2">
      <t>キカイ</t>
    </rPh>
    <rPh sb="3" eb="5">
      <t>ハイカン</t>
    </rPh>
    <rPh sb="5" eb="7">
      <t>シジ</t>
    </rPh>
    <rPh sb="7" eb="9">
      <t>ホウホウ</t>
    </rPh>
    <phoneticPr fontId="20"/>
  </si>
  <si>
    <t>通信・情報設備</t>
    <rPh sb="0" eb="2">
      <t>ツウシン</t>
    </rPh>
    <rPh sb="3" eb="5">
      <t>ジョウホウ</t>
    </rPh>
    <rPh sb="5" eb="7">
      <t>セツビ</t>
    </rPh>
    <phoneticPr fontId="20"/>
  </si>
  <si>
    <t>対応性・更新性</t>
    <rPh sb="0" eb="3">
      <t>タイオウセイ</t>
    </rPh>
    <rPh sb="4" eb="6">
      <t>コウシン</t>
    </rPh>
    <rPh sb="6" eb="7">
      <t>セイ</t>
    </rPh>
    <phoneticPr fontId="20"/>
  </si>
  <si>
    <t>EB</t>
    <phoneticPr fontId="20"/>
  </si>
  <si>
    <t>NC</t>
    <phoneticPr fontId="20"/>
  </si>
  <si>
    <t>空間のゆとり</t>
  </si>
  <si>
    <t>階高のゆとり</t>
    <rPh sb="0" eb="1">
      <t>カイ</t>
    </rPh>
    <rPh sb="1" eb="2">
      <t>ダカ</t>
    </rPh>
    <phoneticPr fontId="20"/>
  </si>
  <si>
    <t>EB</t>
  </si>
  <si>
    <t>空間の形状・自由さ</t>
    <rPh sb="0" eb="2">
      <t>クウカン</t>
    </rPh>
    <rPh sb="3" eb="5">
      <t>ケイジョウ</t>
    </rPh>
    <rPh sb="6" eb="8">
      <t>ジユウ</t>
    </rPh>
    <phoneticPr fontId="20"/>
  </si>
  <si>
    <t>荷重のゆとり</t>
  </si>
  <si>
    <t>設備の更新性</t>
  </si>
  <si>
    <t>EB</t>
    <phoneticPr fontId="20"/>
  </si>
  <si>
    <t>NC</t>
    <phoneticPr fontId="20"/>
  </si>
  <si>
    <t>空調配管の更新性</t>
    <rPh sb="0" eb="2">
      <t>クウチョウ</t>
    </rPh>
    <rPh sb="2" eb="4">
      <t>ハイカン</t>
    </rPh>
    <rPh sb="5" eb="7">
      <t>コウシン</t>
    </rPh>
    <rPh sb="7" eb="8">
      <t>セイ</t>
    </rPh>
    <phoneticPr fontId="20"/>
  </si>
  <si>
    <t>給排水管の更新性</t>
    <rPh sb="0" eb="1">
      <t>キュウ</t>
    </rPh>
    <rPh sb="1" eb="4">
      <t>ハイスイカン</t>
    </rPh>
    <rPh sb="5" eb="7">
      <t>コウシン</t>
    </rPh>
    <rPh sb="7" eb="8">
      <t>セイ</t>
    </rPh>
    <phoneticPr fontId="20"/>
  </si>
  <si>
    <t>電気配線の更新性</t>
    <rPh sb="0" eb="2">
      <t>デンキ</t>
    </rPh>
    <rPh sb="2" eb="4">
      <t>ハイセン</t>
    </rPh>
    <rPh sb="5" eb="7">
      <t>コウシン</t>
    </rPh>
    <rPh sb="7" eb="8">
      <t>セイ</t>
    </rPh>
    <phoneticPr fontId="20"/>
  </si>
  <si>
    <t>通信配線の更新性</t>
    <rPh sb="0" eb="2">
      <t>ツウシン</t>
    </rPh>
    <rPh sb="2" eb="4">
      <t>ハイセン</t>
    </rPh>
    <rPh sb="5" eb="7">
      <t>コウシン</t>
    </rPh>
    <rPh sb="7" eb="8">
      <t>セイ</t>
    </rPh>
    <phoneticPr fontId="20"/>
  </si>
  <si>
    <t>設備機器の更新性</t>
    <rPh sb="0" eb="2">
      <t>セツビ</t>
    </rPh>
    <rPh sb="2" eb="4">
      <t>キキ</t>
    </rPh>
    <rPh sb="5" eb="7">
      <t>コウシン</t>
    </rPh>
    <rPh sb="7" eb="8">
      <t>セイ</t>
    </rPh>
    <phoneticPr fontId="20"/>
  </si>
  <si>
    <t>バックアップスペースの確保</t>
    <rPh sb="11" eb="13">
      <t>カクホ</t>
    </rPh>
    <phoneticPr fontId="20"/>
  </si>
  <si>
    <t>Q3</t>
    <phoneticPr fontId="30" type="noConversion"/>
  </si>
  <si>
    <t>室外環境（敷地内）</t>
    <phoneticPr fontId="20"/>
  </si>
  <si>
    <t>生物環境の保全と創出[生物環境の保全]</t>
    <rPh sb="0" eb="2">
      <t>セイブツ</t>
    </rPh>
    <rPh sb="2" eb="4">
      <t>カンキョウ</t>
    </rPh>
    <rPh sb="5" eb="7">
      <t>ホゼン</t>
    </rPh>
    <rPh sb="8" eb="10">
      <t>ソウシュツ</t>
    </rPh>
    <phoneticPr fontId="20"/>
  </si>
  <si>
    <t>まちなみ・景観への配慮</t>
    <rPh sb="5" eb="7">
      <t>ケイカン</t>
    </rPh>
    <rPh sb="9" eb="11">
      <t>ハイリョ</t>
    </rPh>
    <phoneticPr fontId="20"/>
  </si>
  <si>
    <t>地域性・アメニティへの配慮</t>
    <rPh sb="0" eb="3">
      <t>ﾁｲｷｾｲ</t>
    </rPh>
    <rPh sb="11" eb="13">
      <t>ﾊｲﾘｮ</t>
    </rPh>
    <phoneticPr fontId="30" type="noConversion"/>
  </si>
  <si>
    <t>EB</t>
    <phoneticPr fontId="20"/>
  </si>
  <si>
    <t>NC</t>
    <phoneticPr fontId="20"/>
  </si>
  <si>
    <t>地域性への配慮、快適性の向上</t>
  </si>
  <si>
    <t>敷地内温熱環境の向上</t>
    <rPh sb="0" eb="2">
      <t>シキチ</t>
    </rPh>
    <rPh sb="2" eb="3">
      <t>ナイ</t>
    </rPh>
    <rPh sb="3" eb="5">
      <t>オンネツ</t>
    </rPh>
    <rPh sb="8" eb="10">
      <t>コウジョウ</t>
    </rPh>
    <phoneticPr fontId="20"/>
  </si>
  <si>
    <t>LR　建築物の環境負荷低減性</t>
    <phoneticPr fontId="20"/>
  </si>
  <si>
    <t>LR1</t>
    <phoneticPr fontId="30" type="noConversion"/>
  </si>
  <si>
    <t>エネルギー</t>
    <phoneticPr fontId="20"/>
  </si>
  <si>
    <t>自然エネルギー利用</t>
    <rPh sb="0" eb="2">
      <t>ｼｾﾞﾝ</t>
    </rPh>
    <rPh sb="7" eb="9">
      <t>ﾘﾖｳ</t>
    </rPh>
    <phoneticPr fontId="30" type="noConversion"/>
  </si>
  <si>
    <t>自然エネルギーの直接利用</t>
  </si>
  <si>
    <t>自然エネルギーの変換利用</t>
  </si>
  <si>
    <t>設備システムの高効率化</t>
    <rPh sb="0" eb="2">
      <t>ｾﾂﾋﾞ</t>
    </rPh>
    <rPh sb="7" eb="8">
      <t>ｺｳ</t>
    </rPh>
    <rPh sb="8" eb="10">
      <t>ｺｳﾘﾂ</t>
    </rPh>
    <rPh sb="10" eb="11">
      <t>ｶ</t>
    </rPh>
    <phoneticPr fontId="30" type="noConversion"/>
  </si>
  <si>
    <t>空調設備</t>
  </si>
  <si>
    <t>換気設備</t>
  </si>
  <si>
    <t>照明設備</t>
  </si>
  <si>
    <t>昇降機設備</t>
  </si>
  <si>
    <t>効率的運用</t>
    <rPh sb="0" eb="3">
      <t>ｺｳﾘﾂﾃｷ</t>
    </rPh>
    <rPh sb="3" eb="5">
      <t>ｳﾝﾖｳ</t>
    </rPh>
    <phoneticPr fontId="30" type="noConversion"/>
  </si>
  <si>
    <t>運用管理体制</t>
    <rPh sb="0" eb="2">
      <t>ｳﾝﾖｳ</t>
    </rPh>
    <rPh sb="2" eb="4">
      <t>ｶﾝﾘ</t>
    </rPh>
    <rPh sb="4" eb="6">
      <t>ﾀｲｾｲ</t>
    </rPh>
    <phoneticPr fontId="30" type="noConversion"/>
  </si>
  <si>
    <t>LR2</t>
    <phoneticPr fontId="30" type="noConversion"/>
  </si>
  <si>
    <t>資源・マテリアル</t>
    <phoneticPr fontId="20"/>
  </si>
  <si>
    <t>水資源保護</t>
    <rPh sb="0" eb="1">
      <t>ﾐｽﾞ</t>
    </rPh>
    <rPh sb="1" eb="3">
      <t>ｼｹﾞﾝ</t>
    </rPh>
    <rPh sb="3" eb="5">
      <t>ﾎｺﾞ</t>
    </rPh>
    <phoneticPr fontId="30" type="noConversion"/>
  </si>
  <si>
    <t>節水</t>
    <rPh sb="0" eb="2">
      <t>ｾｯｽｲ</t>
    </rPh>
    <phoneticPr fontId="30" type="noConversion"/>
  </si>
  <si>
    <t>雨水利用・雑排水再利用</t>
    <rPh sb="0" eb="2">
      <t>ｳｽｲ</t>
    </rPh>
    <rPh sb="2" eb="4">
      <t>ﾘﾖｳ</t>
    </rPh>
    <rPh sb="5" eb="8">
      <t>ｻﾞﾂﾊｲｽｲ</t>
    </rPh>
    <rPh sb="8" eb="9">
      <t>ｻｲ</t>
    </rPh>
    <rPh sb="9" eb="11">
      <t>ﾘﾖｳ</t>
    </rPh>
    <phoneticPr fontId="30" type="noConversion"/>
  </si>
  <si>
    <t>EB</t>
    <phoneticPr fontId="20"/>
  </si>
  <si>
    <t>NC</t>
    <phoneticPr fontId="20"/>
  </si>
  <si>
    <t>雨水利用システム導入の有無　[雨水利用率]</t>
    <rPh sb="0" eb="2">
      <t>ウスイ</t>
    </rPh>
    <rPh sb="2" eb="4">
      <t>リヨウ</t>
    </rPh>
    <rPh sb="8" eb="10">
      <t>ドウニュウ</t>
    </rPh>
    <rPh sb="11" eb="13">
      <t>ウム</t>
    </rPh>
    <rPh sb="15" eb="17">
      <t>アマミズ</t>
    </rPh>
    <rPh sb="17" eb="20">
      <t>リヨウリツ</t>
    </rPh>
    <phoneticPr fontId="20"/>
  </si>
  <si>
    <t>非再生性資源の使用量削減</t>
    <rPh sb="0" eb="1">
      <t>ヒ</t>
    </rPh>
    <rPh sb="1" eb="3">
      <t>サイセイ</t>
    </rPh>
    <rPh sb="3" eb="4">
      <t>セイ</t>
    </rPh>
    <rPh sb="4" eb="6">
      <t>シゲン</t>
    </rPh>
    <rPh sb="7" eb="10">
      <t>シヨウリョウ</t>
    </rPh>
    <rPh sb="10" eb="12">
      <t>サクゲン</t>
    </rPh>
    <phoneticPr fontId="20"/>
  </si>
  <si>
    <t>材料使用量の削減</t>
    <rPh sb="0" eb="2">
      <t>ザイリョウ</t>
    </rPh>
    <rPh sb="2" eb="4">
      <t>シヨウ</t>
    </rPh>
    <rPh sb="4" eb="5">
      <t>リョウ</t>
    </rPh>
    <rPh sb="6" eb="8">
      <t>サクゲン</t>
    </rPh>
    <phoneticPr fontId="20"/>
  </si>
  <si>
    <t>既存建築躯体等の継続使用</t>
    <rPh sb="6" eb="7">
      <t>トウ</t>
    </rPh>
    <rPh sb="8" eb="10">
      <t>ケイゾク</t>
    </rPh>
    <rPh sb="10" eb="12">
      <t>シヨウ</t>
    </rPh>
    <phoneticPr fontId="20"/>
  </si>
  <si>
    <t>EB</t>
    <phoneticPr fontId="20"/>
  </si>
  <si>
    <t>躯体材料におけるリサイクル材の使用</t>
    <rPh sb="0" eb="2">
      <t>クタイ</t>
    </rPh>
    <rPh sb="2" eb="4">
      <t>ザイリョウ</t>
    </rPh>
    <rPh sb="13" eb="14">
      <t>ザイ</t>
    </rPh>
    <rPh sb="15" eb="17">
      <t>シヨウ</t>
    </rPh>
    <phoneticPr fontId="20"/>
  </si>
  <si>
    <t>持続可能な森林から産出された木材</t>
    <rPh sb="5" eb="7">
      <t>シンリン</t>
    </rPh>
    <rPh sb="9" eb="11">
      <t>サンシュツ</t>
    </rPh>
    <rPh sb="14" eb="16">
      <t>モクザイ</t>
    </rPh>
    <phoneticPr fontId="20"/>
  </si>
  <si>
    <t>部材の再利用可能性向上への取組み</t>
    <rPh sb="9" eb="11">
      <t>コウジョウ</t>
    </rPh>
    <rPh sb="13" eb="15">
      <t>トリク</t>
    </rPh>
    <phoneticPr fontId="20"/>
  </si>
  <si>
    <t>汚染物質含有材料の使用回避</t>
    <rPh sb="0" eb="2">
      <t>オセン</t>
    </rPh>
    <rPh sb="2" eb="4">
      <t>ブッシツ</t>
    </rPh>
    <rPh sb="4" eb="6">
      <t>ガンユウ</t>
    </rPh>
    <rPh sb="6" eb="8">
      <t>ザイリョウ</t>
    </rPh>
    <rPh sb="9" eb="11">
      <t>シヨウ</t>
    </rPh>
    <rPh sb="11" eb="13">
      <t>カイヒ</t>
    </rPh>
    <phoneticPr fontId="20"/>
  </si>
  <si>
    <t>有害物質を含まない材料の使用</t>
    <rPh sb="0" eb="2">
      <t>ユウガイ</t>
    </rPh>
    <rPh sb="2" eb="4">
      <t>ブッシツ</t>
    </rPh>
    <rPh sb="5" eb="6">
      <t>フク</t>
    </rPh>
    <rPh sb="12" eb="14">
      <t>シヨウ</t>
    </rPh>
    <phoneticPr fontId="20"/>
  </si>
  <si>
    <t>フロン・ハロンの回避</t>
  </si>
  <si>
    <t>NC</t>
    <phoneticPr fontId="20"/>
  </si>
  <si>
    <t>消火剤</t>
    <rPh sb="0" eb="3">
      <t>ショウカザイ</t>
    </rPh>
    <phoneticPr fontId="20"/>
  </si>
  <si>
    <t>冷媒</t>
    <rPh sb="0" eb="2">
      <t>レイバイ</t>
    </rPh>
    <phoneticPr fontId="20"/>
  </si>
  <si>
    <t>地球温暖化への配慮</t>
    <rPh sb="0" eb="2">
      <t>ﾁｷｭｳ</t>
    </rPh>
    <rPh sb="2" eb="5">
      <t>ｵﾝﾀﾞﾝｶ</t>
    </rPh>
    <rPh sb="7" eb="9">
      <t>ﾊｲﾘｮ</t>
    </rPh>
    <phoneticPr fontId="2" type="noConversion"/>
  </si>
  <si>
    <t>地域環境への配慮</t>
    <rPh sb="0" eb="2">
      <t>ﾁｲｷ</t>
    </rPh>
    <rPh sb="2" eb="4">
      <t>ｶﾝｷｮｳ</t>
    </rPh>
    <rPh sb="6" eb="8">
      <t>ﾊｲﾘｮ</t>
    </rPh>
    <phoneticPr fontId="2" type="noConversion"/>
  </si>
  <si>
    <t>EB</t>
    <phoneticPr fontId="20"/>
  </si>
  <si>
    <t>NC</t>
    <phoneticPr fontId="20"/>
  </si>
  <si>
    <t>大気汚染防止</t>
    <rPh sb="0" eb="2">
      <t>タイキ</t>
    </rPh>
    <rPh sb="2" eb="4">
      <t>オセン</t>
    </rPh>
    <rPh sb="4" eb="6">
      <t>ボウシ</t>
    </rPh>
    <phoneticPr fontId="20"/>
  </si>
  <si>
    <t>温熱環境悪化の改善</t>
    <phoneticPr fontId="20"/>
  </si>
  <si>
    <t>地域インフラへの負荷抑制</t>
    <phoneticPr fontId="20"/>
  </si>
  <si>
    <t>EB</t>
    <phoneticPr fontId="20"/>
  </si>
  <si>
    <t>NC</t>
    <phoneticPr fontId="20"/>
  </si>
  <si>
    <t>雨水排水負荷低減</t>
    <phoneticPr fontId="20"/>
  </si>
  <si>
    <t>汚水処理負荷抑制</t>
    <phoneticPr fontId="20"/>
  </si>
  <si>
    <t>交通負荷抑制</t>
    <phoneticPr fontId="20"/>
  </si>
  <si>
    <t>廃棄物処理負荷抑制</t>
    <phoneticPr fontId="20"/>
  </si>
  <si>
    <t>周辺環境への配慮</t>
    <rPh sb="0" eb="2">
      <t>ｼｭｳﾍﾝ</t>
    </rPh>
    <rPh sb="2" eb="4">
      <t>ｶﾝｷｮｳ</t>
    </rPh>
    <rPh sb="6" eb="8">
      <t>ﾊｲﾘｮ</t>
    </rPh>
    <phoneticPr fontId="2" type="noConversion"/>
  </si>
  <si>
    <t>騒音・振動・悪臭の防止</t>
    <rPh sb="0" eb="2">
      <t>ソウオン</t>
    </rPh>
    <rPh sb="3" eb="5">
      <t>シンドウ</t>
    </rPh>
    <rPh sb="6" eb="8">
      <t>アクシュウ</t>
    </rPh>
    <rPh sb="9" eb="11">
      <t>ボウシ</t>
    </rPh>
    <phoneticPr fontId="20"/>
  </si>
  <si>
    <t>騒音</t>
    <phoneticPr fontId="20"/>
  </si>
  <si>
    <t>振動</t>
    <phoneticPr fontId="20"/>
  </si>
  <si>
    <t>悪臭</t>
    <phoneticPr fontId="20"/>
  </si>
  <si>
    <t>光害の抑制</t>
    <rPh sb="0" eb="1">
      <t>ヒカリ</t>
    </rPh>
    <rPh sb="1" eb="2">
      <t>ガイ</t>
    </rPh>
    <rPh sb="3" eb="5">
      <t>ヨクセイ</t>
    </rPh>
    <phoneticPr fontId="20"/>
  </si>
  <si>
    <t>EB</t>
    <phoneticPr fontId="20"/>
  </si>
  <si>
    <t>NC</t>
    <phoneticPr fontId="20"/>
  </si>
  <si>
    <t>外に漏れる光への対策</t>
    <phoneticPr fontId="20"/>
  </si>
  <si>
    <t>昼光の建物外壁による反射光への対策</t>
    <phoneticPr fontId="20"/>
  </si>
  <si>
    <t>■建物名称</t>
    <rPh sb="1" eb="3">
      <t>タテモノ</t>
    </rPh>
    <rPh sb="3" eb="5">
      <t>メイショウ</t>
    </rPh>
    <phoneticPr fontId="20"/>
  </si>
  <si>
    <t xml:space="preserve"> 工場、車庫、倉庫、観覧場、卸売市場、電算室など</t>
    <rPh sb="1" eb="3">
      <t>コウジョウ</t>
    </rPh>
    <rPh sb="4" eb="6">
      <t>シャコ</t>
    </rPh>
    <rPh sb="7" eb="9">
      <t>ソウコ</t>
    </rPh>
    <rPh sb="10" eb="12">
      <t>カンラン</t>
    </rPh>
    <rPh sb="12" eb="13">
      <t>バ</t>
    </rPh>
    <rPh sb="14" eb="16">
      <t>オロシウリ</t>
    </rPh>
    <rPh sb="16" eb="18">
      <t>シジョウ</t>
    </rPh>
    <rPh sb="19" eb="21">
      <t>デンサン</t>
    </rPh>
    <rPh sb="21" eb="22">
      <t>シツ</t>
    </rPh>
    <phoneticPr fontId="20"/>
  </si>
  <si>
    <t>発泡剤（断熱材等）</t>
    <rPh sb="0" eb="2">
      <t>ハッポウ</t>
    </rPh>
    <rPh sb="2" eb="3">
      <t>ザイ</t>
    </rPh>
    <rPh sb="4" eb="6">
      <t>ダンネツ</t>
    </rPh>
    <rPh sb="6" eb="7">
      <t>ザイ</t>
    </rPh>
    <rPh sb="7" eb="8">
      <t>トウ</t>
    </rPh>
    <phoneticPr fontId="20"/>
  </si>
  <si>
    <t>雑排水等利用システム導入の有無　[雑排水再利用率]</t>
    <rPh sb="0" eb="3">
      <t>ザッパイスイ</t>
    </rPh>
    <rPh sb="3" eb="4">
      <t>ナド</t>
    </rPh>
    <rPh sb="4" eb="6">
      <t>リヨウ</t>
    </rPh>
    <rPh sb="10" eb="12">
      <t>ドウニュウ</t>
    </rPh>
    <rPh sb="13" eb="15">
      <t>ウム</t>
    </rPh>
    <rPh sb="17" eb="18">
      <t>ザツ</t>
    </rPh>
    <rPh sb="18" eb="20">
      <t>ハイスイ</t>
    </rPh>
    <rPh sb="20" eb="21">
      <t>サイ</t>
    </rPh>
    <rPh sb="21" eb="23">
      <t>リヨウ</t>
    </rPh>
    <rPh sb="23" eb="24">
      <t>リツ</t>
    </rPh>
    <phoneticPr fontId="20"/>
  </si>
  <si>
    <t>雨水利用・雑排水等の利用</t>
    <rPh sb="0" eb="2">
      <t>ｳｽｲ</t>
    </rPh>
    <rPh sb="2" eb="4">
      <t>ﾘﾖｳ</t>
    </rPh>
    <rPh sb="5" eb="8">
      <t>ｻﾞﾂﾊｲｽｲ</t>
    </rPh>
    <rPh sb="8" eb="9">
      <t>とう</t>
    </rPh>
    <rPh sb="10" eb="12">
      <t>ﾘﾖｳ</t>
    </rPh>
    <phoneticPr fontId="30" type="noConversion"/>
  </si>
  <si>
    <t>設備騒音対策</t>
    <phoneticPr fontId="20"/>
  </si>
  <si>
    <t>室内騒音レベル</t>
    <rPh sb="0" eb="2">
      <t>シツナイ</t>
    </rPh>
    <phoneticPr fontId="20"/>
  </si>
  <si>
    <t>界床遮音性能（軽量衝撃源）</t>
    <phoneticPr fontId="20"/>
  </si>
  <si>
    <t>界床遮音性能（重量衝撃源）</t>
    <phoneticPr fontId="20"/>
  </si>
  <si>
    <t>維持管理に配慮した設計[総合的な取組み]</t>
    <phoneticPr fontId="20"/>
  </si>
  <si>
    <t>※LR1/2.自然エネルギー利用</t>
    <rPh sb="7" eb="9">
      <t>シゼン</t>
    </rPh>
    <rPh sb="14" eb="16">
      <t>リヨウ</t>
    </rPh>
    <phoneticPr fontId="20"/>
  </si>
  <si>
    <t>既存</t>
    <rPh sb="0" eb="2">
      <t>キソン</t>
    </rPh>
    <phoneticPr fontId="20"/>
  </si>
  <si>
    <t>新築</t>
    <rPh sb="0" eb="2">
      <t>シンチク</t>
    </rPh>
    <phoneticPr fontId="20"/>
  </si>
  <si>
    <t>既存学校版</t>
    <rPh sb="0" eb="2">
      <t>キソン</t>
    </rPh>
    <rPh sb="2" eb="4">
      <t>ガッコウ</t>
    </rPh>
    <rPh sb="4" eb="5">
      <t>バン</t>
    </rPh>
    <phoneticPr fontId="20"/>
  </si>
  <si>
    <t>基本設計段階</t>
    <rPh sb="0" eb="2">
      <t>キホン</t>
    </rPh>
    <rPh sb="2" eb="4">
      <t>セッケイ</t>
    </rPh>
    <rPh sb="4" eb="6">
      <t>ダンカイ</t>
    </rPh>
    <phoneticPr fontId="20"/>
  </si>
  <si>
    <t>簡易評価</t>
    <rPh sb="0" eb="2">
      <t>カンイ</t>
    </rPh>
    <rPh sb="2" eb="4">
      <t>ヒョウカ</t>
    </rPh>
    <phoneticPr fontId="20"/>
  </si>
  <si>
    <t>実施設計段階</t>
    <rPh sb="0" eb="2">
      <t>ジッシ</t>
    </rPh>
    <rPh sb="2" eb="4">
      <t>セッケイ</t>
    </rPh>
    <rPh sb="4" eb="6">
      <t>ダンカイ</t>
    </rPh>
    <phoneticPr fontId="20"/>
  </si>
  <si>
    <t>省エネルギー計画書による評価</t>
    <rPh sb="0" eb="1">
      <t>ショウ</t>
    </rPh>
    <rPh sb="6" eb="9">
      <t>ケイカクショ</t>
    </rPh>
    <rPh sb="12" eb="14">
      <t>ヒョウカ</t>
    </rPh>
    <phoneticPr fontId="20"/>
  </si>
  <si>
    <t>竣工段階</t>
    <rPh sb="0" eb="2">
      <t>シュンコウ</t>
    </rPh>
    <rPh sb="2" eb="4">
      <t>ダンカイ</t>
    </rPh>
    <phoneticPr fontId="20"/>
  </si>
  <si>
    <t>維持管理に配慮した設計</t>
    <rPh sb="0" eb="2">
      <t>イジ</t>
    </rPh>
    <rPh sb="2" eb="4">
      <t>カンリ</t>
    </rPh>
    <rPh sb="5" eb="7">
      <t>ハイリョ</t>
    </rPh>
    <rPh sb="9" eb="11">
      <t>セッケイ</t>
    </rPh>
    <phoneticPr fontId="20"/>
  </si>
  <si>
    <t>色欄について、プルダウンメニューから選択、または数値を記入</t>
    <rPh sb="0" eb="1">
      <t>イロ</t>
    </rPh>
    <rPh sb="1" eb="2">
      <t>ラン</t>
    </rPh>
    <rPh sb="18" eb="20">
      <t>センタク</t>
    </rPh>
    <rPh sb="24" eb="26">
      <t>スウチ</t>
    </rPh>
    <rPh sb="27" eb="29">
      <t>キニュウ</t>
    </rPh>
    <phoneticPr fontId="20"/>
  </si>
  <si>
    <t>集合住宅</t>
    <rPh sb="0" eb="2">
      <t>シュウゴウ</t>
    </rPh>
    <rPh sb="2" eb="4">
      <t>ジュウタク</t>
    </rPh>
    <phoneticPr fontId="20"/>
  </si>
  <si>
    <t>非住宅</t>
    <rPh sb="0" eb="1">
      <t>ヒ</t>
    </rPh>
    <rPh sb="1" eb="3">
      <t>ジュウタク</t>
    </rPh>
    <phoneticPr fontId="20"/>
  </si>
  <si>
    <t>建物全体</t>
    <rPh sb="0" eb="2">
      <t>タテモノ</t>
    </rPh>
    <rPh sb="2" eb="4">
      <t>ゼンタイ</t>
    </rPh>
    <phoneticPr fontId="20"/>
  </si>
  <si>
    <t>集会所</t>
    <rPh sb="0" eb="2">
      <t>シュウカイ</t>
    </rPh>
    <rPh sb="2" eb="3">
      <t>ジョ</t>
    </rPh>
    <phoneticPr fontId="20"/>
  </si>
  <si>
    <t>ホテル</t>
  </si>
  <si>
    <t>風害の抑制</t>
    <phoneticPr fontId="30" type="noConversion"/>
  </si>
  <si>
    <t>等級未入力</t>
    <rPh sb="0" eb="2">
      <t>トウキュウ</t>
    </rPh>
    <rPh sb="2" eb="5">
      <t>ミニュウリョク</t>
    </rPh>
    <phoneticPr fontId="20"/>
  </si>
  <si>
    <t>対象外</t>
    <rPh sb="0" eb="3">
      <t>タイショウガイ</t>
    </rPh>
    <phoneticPr fontId="20"/>
  </si>
  <si>
    <t>-</t>
    <phoneticPr fontId="20"/>
  </si>
  <si>
    <t>室温</t>
    <rPh sb="0" eb="2">
      <t>シツオン</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</si>
  <si>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</si>
  <si>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共用部</t>
    <rPh sb="0" eb="2">
      <t>キョウヨウ</t>
    </rPh>
    <rPh sb="2" eb="3">
      <t>ブ</t>
    </rPh>
    <phoneticPr fontId="20"/>
  </si>
  <si>
    <t>※個別計算</t>
    <phoneticPr fontId="20"/>
  </si>
  <si>
    <t>※個別計算</t>
    <phoneticPr fontId="20"/>
  </si>
  <si>
    <t xml:space="preserve"> ④上記+
　オフサイト手法</t>
    <phoneticPr fontId="20"/>
  </si>
  <si>
    <t>オンサイト</t>
  </si>
  <si>
    <t>オフサイト</t>
  </si>
  <si>
    <t>％</t>
    <phoneticPr fontId="20"/>
  </si>
  <si>
    <t>Sum</t>
    <phoneticPr fontId="20"/>
  </si>
  <si>
    <t>before</t>
    <phoneticPr fontId="20"/>
  </si>
  <si>
    <t>after</t>
    <phoneticPr fontId="20"/>
  </si>
  <si>
    <t>Rank(green star)</t>
  </si>
  <si>
    <t>(blank star)</t>
  </si>
  <si>
    <t>MJ/年㎡</t>
    <rPh sb="3" eb="4">
      <t>ネン</t>
    </rPh>
    <phoneticPr fontId="20"/>
  </si>
  <si>
    <t>備考</t>
    <rPh sb="0" eb="2">
      <t>ビコウ</t>
    </rPh>
    <phoneticPr fontId="20"/>
  </si>
  <si>
    <t>建物用途</t>
    <rPh sb="0" eb="2">
      <t>タテモノ</t>
    </rPh>
    <rPh sb="2" eb="4">
      <t>ヨウト</t>
    </rPh>
    <phoneticPr fontId="20"/>
  </si>
  <si>
    <t>－</t>
    <phoneticPr fontId="20"/>
  </si>
  <si>
    <t>その他</t>
    <rPh sb="2" eb="3">
      <t>タ</t>
    </rPh>
    <phoneticPr fontId="20"/>
  </si>
  <si>
    <t>映り込み対策</t>
    <rPh sb="0" eb="1">
      <t>ウツ</t>
    </rPh>
    <rPh sb="2" eb="3">
      <t>コ</t>
    </rPh>
    <rPh sb="4" eb="6">
      <t>タイサク</t>
    </rPh>
    <phoneticPr fontId="20"/>
  </si>
  <si>
    <t>①参照値／
②建築物の取組み</t>
    <phoneticPr fontId="20"/>
  </si>
  <si>
    <t>参考</t>
    <rPh sb="0" eb="2">
      <t>サンコウ</t>
    </rPh>
    <phoneticPr fontId="20"/>
  </si>
  <si>
    <t>太陽光発電による削減分</t>
    <rPh sb="0" eb="2">
      <t>タイヨウ</t>
    </rPh>
    <rPh sb="2" eb="3">
      <t>ヒカリ</t>
    </rPh>
    <rPh sb="3" eb="5">
      <t>ハツデン</t>
    </rPh>
    <rPh sb="8" eb="10">
      <t>サクゲン</t>
    </rPh>
    <rPh sb="10" eb="11">
      <t>ブン</t>
    </rPh>
    <phoneticPr fontId="20"/>
  </si>
  <si>
    <t>(内訳）自家消費分</t>
    <rPh sb="1" eb="3">
      <t>ウチワケ</t>
    </rPh>
    <rPh sb="4" eb="6">
      <t>ジカ</t>
    </rPh>
    <rPh sb="6" eb="8">
      <t>ショウヒ</t>
    </rPh>
    <rPh sb="8" eb="9">
      <t>ブン</t>
    </rPh>
    <phoneticPr fontId="20"/>
  </si>
  <si>
    <t>余剰売電分</t>
    <rPh sb="0" eb="2">
      <t>ヨジョウ</t>
    </rPh>
    <rPh sb="2" eb="4">
      <t>バイデン</t>
    </rPh>
    <rPh sb="4" eb="5">
      <t>ブン</t>
    </rPh>
    <phoneticPr fontId="20"/>
  </si>
  <si>
    <t>その他再生可能エネルギー</t>
    <rPh sb="2" eb="3">
      <t>ホカ</t>
    </rPh>
    <rPh sb="3" eb="5">
      <t>サイセイ</t>
    </rPh>
    <rPh sb="5" eb="7">
      <t>カノウ</t>
    </rPh>
    <phoneticPr fontId="20"/>
  </si>
  <si>
    <t>－</t>
    <phoneticPr fontId="20"/>
  </si>
  <si>
    <t>④上記+
　オフサイト手法</t>
    <phoneticPr fontId="20"/>
  </si>
  <si>
    <t>(a)　グリーン電力証書によるカーボンオフセット</t>
    <phoneticPr fontId="20"/>
  </si>
  <si>
    <t>－</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</si>
  <si>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</si>
  <si>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</si>
  <si>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</si>
  <si>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①参照値／
②建築物の取組み</t>
    <phoneticPr fontId="20"/>
  </si>
  <si>
    <t>－</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</si>
  <si>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</si>
  <si>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</si>
  <si>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</si>
  <si>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</si>
  <si>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</si>
  <si>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</si>
  <si>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○○による</t>
    <phoneticPr fontId="20"/>
  </si>
  <si>
    <t>○○による</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</si>
  <si>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</si>
  <si>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</si>
  <si>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</si>
  <si>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</si>
  <si>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</si>
  <si>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</si>
  <si>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＜参考＞　個別計算にあたって、利用できる計算値</t>
    <rPh sb="1" eb="3">
      <t>サンコウ</t>
    </rPh>
    <rPh sb="5" eb="7">
      <t>コベツ</t>
    </rPh>
    <rPh sb="7" eb="9">
      <t>ケイサン</t>
    </rPh>
    <rPh sb="15" eb="17">
      <t>リヨウ</t>
    </rPh>
    <rPh sb="20" eb="23">
      <t>ケイサンチ</t>
    </rPh>
    <phoneticPr fontId="20"/>
  </si>
  <si>
    <t>太陽光発電によるCO2削減量</t>
    <rPh sb="0" eb="3">
      <t>タイヨウコウ</t>
    </rPh>
    <rPh sb="3" eb="5">
      <t>ハツデン</t>
    </rPh>
    <rPh sb="11" eb="13">
      <t>サクゲン</t>
    </rPh>
    <rPh sb="13" eb="14">
      <t>リョウ</t>
    </rPh>
    <phoneticPr fontId="20"/>
  </si>
  <si>
    <t>太陽光発電の発電量</t>
    <phoneticPr fontId="20"/>
  </si>
  <si>
    <t>合計</t>
    <phoneticPr fontId="20"/>
  </si>
  <si>
    <t>kWh/年</t>
    <phoneticPr fontId="20"/>
  </si>
  <si>
    <t>自家消費分</t>
    <phoneticPr fontId="20"/>
  </si>
  <si>
    <t>kWh/年</t>
    <phoneticPr fontId="20"/>
  </si>
  <si>
    <t>段階</t>
    <phoneticPr fontId="20"/>
  </si>
  <si>
    <t>余剰売電分</t>
    <phoneticPr fontId="20"/>
  </si>
  <si>
    <t>CO2削減量</t>
    <rPh sb="3" eb="5">
      <t>サクゲン</t>
    </rPh>
    <rPh sb="5" eb="6">
      <t>リョウ</t>
    </rPh>
    <phoneticPr fontId="20"/>
  </si>
  <si>
    <t>合計  [1]</t>
    <phoneticPr fontId="20"/>
  </si>
  <si>
    <t>自家消費分</t>
    <phoneticPr fontId="20"/>
  </si>
  <si>
    <t>余剰売電分</t>
    <phoneticPr fontId="20"/>
  </si>
  <si>
    <t>算定に用いた排出係数</t>
    <rPh sb="0" eb="2">
      <t>サンテイ</t>
    </rPh>
    <rPh sb="3" eb="4">
      <t>モチ</t>
    </rPh>
    <rPh sb="6" eb="8">
      <t>ハイシュツ</t>
    </rPh>
    <rPh sb="8" eb="10">
      <t>ケイスウ</t>
    </rPh>
    <phoneticPr fontId="20"/>
  </si>
  <si>
    <t>自家消費分</t>
    <phoneticPr fontId="20"/>
  </si>
  <si>
    <r>
      <t>kg-CO</t>
    </r>
    <r>
      <rPr>
        <vertAlign val="subscript"/>
        <sz val="10"/>
        <rFont val="ＭＳ Ｐゴシック"/>
        <family val="3"/>
        <charset val="128"/>
      </rPr>
      <t>2</t>
    </r>
    <r>
      <rPr>
        <sz val="10"/>
        <rFont val="ＭＳ Ｐゴシック"/>
        <family val="3"/>
        <charset val="128"/>
      </rPr>
      <t>/kWh</t>
    </r>
    <phoneticPr fontId="20"/>
  </si>
  <si>
    <r>
      <t>kg-CO</t>
    </r>
    <r>
      <rPr>
        <vertAlign val="subscript"/>
        <sz val="10"/>
        <rFont val="ＭＳ Ｐゴシック"/>
        <family val="3"/>
        <charset val="128"/>
      </rPr>
      <t>2</t>
    </r>
    <r>
      <rPr>
        <sz val="10"/>
        <rFont val="ＭＳ Ｐゴシック"/>
        <family val="3"/>
        <charset val="128"/>
      </rPr>
      <t>/kWh</t>
    </r>
    <phoneticPr fontId="20"/>
  </si>
  <si>
    <t>実排出係数の場合</t>
    <rPh sb="0" eb="1">
      <t>ジツ</t>
    </rPh>
    <rPh sb="1" eb="3">
      <t>ハイシュツ</t>
    </rPh>
    <rPh sb="3" eb="5">
      <t>ケイスウ</t>
    </rPh>
    <rPh sb="6" eb="8">
      <t>バアイ</t>
    </rPh>
    <phoneticPr fontId="20"/>
  </si>
  <si>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0"/>
  </si>
  <si>
    <t>評価建物(③)の電力消費量</t>
    <phoneticPr fontId="20"/>
  </si>
  <si>
    <t>実排出係数</t>
    <rPh sb="0" eb="1">
      <t>ジツ</t>
    </rPh>
    <rPh sb="1" eb="3">
      <t>ハイシュツ</t>
    </rPh>
    <rPh sb="3" eb="5">
      <t>ケイスウ</t>
    </rPh>
    <phoneticPr fontId="20"/>
  </si>
  <si>
    <r>
      <t>kg-CO</t>
    </r>
    <r>
      <rPr>
        <vertAlign val="subscript"/>
        <sz val="10"/>
        <rFont val="ＭＳ Ｐゴシック"/>
        <family val="3"/>
        <charset val="128"/>
      </rPr>
      <t>2</t>
    </r>
    <r>
      <rPr>
        <sz val="10"/>
        <rFont val="ＭＳ Ｐゴシック"/>
        <family val="3"/>
        <charset val="128"/>
      </rPr>
      <t>/kWh</t>
    </r>
    <phoneticPr fontId="20"/>
  </si>
  <si>
    <t>調整後排出係数</t>
    <rPh sb="0" eb="3">
      <t>チョウセイゴ</t>
    </rPh>
    <rPh sb="3" eb="5">
      <t>ハイシュツ</t>
    </rPh>
    <rPh sb="5" eb="7">
      <t>ケイスウ</t>
    </rPh>
    <phoneticPr fontId="20"/>
  </si>
  <si>
    <t>実排出量との差</t>
    <phoneticPr fontId="20"/>
  </si>
  <si>
    <t>延床面積あたり　[2]</t>
    <rPh sb="0" eb="2">
      <t>ノベユカ</t>
    </rPh>
    <rPh sb="2" eb="4">
      <t>メンセキ</t>
    </rPh>
    <phoneticPr fontId="20"/>
  </si>
  <si>
    <t>小中高</t>
    <rPh sb="0" eb="3">
      <t>ショウチュウコウ</t>
    </rPh>
    <phoneticPr fontId="20"/>
  </si>
  <si>
    <t>室内騒音レベル</t>
    <rPh sb="0" eb="2">
      <t>シツナイ</t>
    </rPh>
    <rPh sb="2" eb="4">
      <t>ソウオン</t>
    </rPh>
    <phoneticPr fontId="20"/>
  </si>
  <si>
    <t>時間外空調に対する配慮</t>
  </si>
  <si>
    <t xml:space="preserve"> ダニ・カビ等</t>
  </si>
  <si>
    <t>生物資源の保全と創出</t>
    <rPh sb="2" eb="4">
      <t>シゲン</t>
    </rPh>
    <phoneticPr fontId="20"/>
  </si>
  <si>
    <t>雑排水等再利用システム導入の有無</t>
  </si>
  <si>
    <t>発泡剤（断熱材等）</t>
  </si>
  <si>
    <t>地域インフラへの負荷抑制</t>
    <rPh sb="0" eb="2">
      <t>チイキ</t>
    </rPh>
    <rPh sb="8" eb="10">
      <t>フカ</t>
    </rPh>
    <rPh sb="10" eb="12">
      <t>ヨクセイ</t>
    </rPh>
    <phoneticPr fontId="20"/>
  </si>
  <si>
    <t>悪臭</t>
    <rPh sb="0" eb="2">
      <t>アクシュウ</t>
    </rPh>
    <phoneticPr fontId="20"/>
  </si>
  <si>
    <t>総合的な取組み</t>
    <rPh sb="0" eb="3">
      <t>ソウゴウテキ</t>
    </rPh>
    <rPh sb="4" eb="5">
      <t>ト</t>
    </rPh>
    <rPh sb="5" eb="6">
      <t>ク</t>
    </rPh>
    <phoneticPr fontId="20"/>
  </si>
  <si>
    <t>清掃管理業務</t>
    <rPh sb="0" eb="2">
      <t>セイソウ</t>
    </rPh>
    <rPh sb="2" eb="4">
      <t>カンリ</t>
    </rPh>
    <rPh sb="4" eb="6">
      <t>ギョウム</t>
    </rPh>
    <phoneticPr fontId="20"/>
  </si>
  <si>
    <t>官公庁</t>
    <rPh sb="0" eb="3">
      <t>カンコウチョウ</t>
    </rPh>
    <phoneticPr fontId="20"/>
  </si>
  <si>
    <t>幼稚園・保育園</t>
    <rPh sb="0" eb="3">
      <t>ヨウチエン</t>
    </rPh>
    <rPh sb="4" eb="7">
      <t>ホイクエン</t>
    </rPh>
    <phoneticPr fontId="20"/>
  </si>
  <si>
    <t>大学・専門学校</t>
    <rPh sb="0" eb="2">
      <t>ダイガク</t>
    </rPh>
    <rPh sb="3" eb="5">
      <t>センモン</t>
    </rPh>
    <rPh sb="5" eb="7">
      <t>ガッコウ</t>
    </rPh>
    <phoneticPr fontId="20"/>
  </si>
  <si>
    <t>デパート・スーパー</t>
  </si>
  <si>
    <t>劇場・ホール</t>
    <rPh sb="0" eb="2">
      <t>ゲキジョウ</t>
    </rPh>
    <phoneticPr fontId="20"/>
  </si>
  <si>
    <t>展示施設</t>
    <rPh sb="0" eb="2">
      <t>テンジ</t>
    </rPh>
    <rPh sb="2" eb="4">
      <t>シセツ</t>
    </rPh>
    <phoneticPr fontId="20"/>
  </si>
  <si>
    <t>スポーツ施設</t>
    <rPh sb="4" eb="6">
      <t>シセツ</t>
    </rPh>
    <phoneticPr fontId="20"/>
  </si>
  <si>
    <t>電算室</t>
    <rPh sb="0" eb="3">
      <t>デンサンシツ</t>
    </rPh>
    <phoneticPr fontId="20"/>
  </si>
  <si>
    <t>福祉施設</t>
    <rPh sb="0" eb="2">
      <t>フクシ</t>
    </rPh>
    <rPh sb="2" eb="4">
      <t>シセツ</t>
    </rPh>
    <phoneticPr fontId="20"/>
  </si>
  <si>
    <t>■評価ソフト：</t>
    <rPh sb="1" eb="3">
      <t>ヒョウカ</t>
    </rPh>
    <phoneticPr fontId="20"/>
  </si>
  <si>
    <t>④スコア表示シート</t>
    <rPh sb="4" eb="6">
      <t>ﾋｮｳｼﾞ</t>
    </rPh>
    <phoneticPr fontId="30" type="noConversion"/>
  </si>
  <si>
    <t>建物全体・共用部分</t>
  </si>
  <si>
    <t>住居・宿泊部分</t>
    <phoneticPr fontId="20"/>
  </si>
  <si>
    <t>全体</t>
    <phoneticPr fontId="20"/>
  </si>
  <si>
    <t>NA</t>
    <phoneticPr fontId="20"/>
  </si>
  <si>
    <t>score</t>
    <phoneticPr fontId="20"/>
  </si>
  <si>
    <t>配慮項目</t>
    <phoneticPr fontId="20"/>
  </si>
  <si>
    <t>重み係数</t>
    <rPh sb="0" eb="1">
      <t>オモ</t>
    </rPh>
    <phoneticPr fontId="20"/>
  </si>
  <si>
    <t>before</t>
    <phoneticPr fontId="20"/>
  </si>
  <si>
    <t>after</t>
    <phoneticPr fontId="20"/>
  </si>
  <si>
    <t>weight(set)
before</t>
    <phoneticPr fontId="20"/>
  </si>
  <si>
    <t>weight(set)
after</t>
    <phoneticPr fontId="20"/>
  </si>
  <si>
    <t>Q 建築物の環境品質</t>
    <phoneticPr fontId="20"/>
  </si>
  <si>
    <t>Q1</t>
    <phoneticPr fontId="30" type="noConversion"/>
  </si>
  <si>
    <t>室内環境</t>
    <phoneticPr fontId="20"/>
  </si>
  <si>
    <t>湿度制御</t>
    <rPh sb="0" eb="2">
      <t>ｼﾂﾄﾞ</t>
    </rPh>
    <rPh sb="2" eb="4">
      <t>ｾｲｷﾞｮ</t>
    </rPh>
    <phoneticPr fontId="30" type="noConversion"/>
  </si>
  <si>
    <t>非再生性資源の使用量削減</t>
    <rPh sb="0" eb="1">
      <t>ﾋ</t>
    </rPh>
    <rPh sb="1" eb="3">
      <t>ｻｲｾｲ</t>
    </rPh>
    <rPh sb="3" eb="4">
      <t>ｾｲ</t>
    </rPh>
    <rPh sb="4" eb="6">
      <t>ｼｹﾞﾝ</t>
    </rPh>
    <rPh sb="7" eb="10">
      <t>ｼﾖｳﾘｮｳ</t>
    </rPh>
    <rPh sb="10" eb="12">
      <t>ｻｸｹﾞﾝ</t>
    </rPh>
    <phoneticPr fontId="30" type="noConversion"/>
  </si>
  <si>
    <t>地域区分Ⅰ</t>
    <phoneticPr fontId="20"/>
  </si>
  <si>
    <t>Rank(green star)</t>
    <phoneticPr fontId="20"/>
  </si>
  <si>
    <t>Subjest1</t>
    <phoneticPr fontId="20"/>
  </si>
  <si>
    <t>N.A.</t>
  </si>
  <si>
    <t>汚染物質含有材料の使用回避</t>
    <rPh sb="0" eb="2">
      <t>ｵｾﾝ</t>
    </rPh>
    <rPh sb="2" eb="4">
      <t>ﾌﾞｯｼﾂ</t>
    </rPh>
    <rPh sb="4" eb="6">
      <t>ｶﾞﾝﾕｳ</t>
    </rPh>
    <rPh sb="6" eb="8">
      <t>ｻﾞｲﾘｮｳ</t>
    </rPh>
    <rPh sb="9" eb="11">
      <t>ｼﾖｳ</t>
    </rPh>
    <rPh sb="11" eb="13">
      <t>ｶｲﾋ</t>
    </rPh>
    <phoneticPr fontId="30" type="noConversion"/>
  </si>
  <si>
    <t>■使用評価ソフト：</t>
    <rPh sb="1" eb="3">
      <t>シヨウ</t>
    </rPh>
    <rPh sb="3" eb="5">
      <t>ヒョウカ</t>
    </rPh>
    <phoneticPr fontId="20"/>
  </si>
  <si>
    <r>
      <t>1-1</t>
    </r>
    <r>
      <rPr>
        <b/>
        <sz val="12"/>
        <color indexed="9"/>
        <rFont val="ＭＳ Ｐゴシック"/>
        <family val="3"/>
        <charset val="128"/>
      </rPr>
      <t>　建物概要</t>
    </r>
    <rPh sb="4" eb="5">
      <t>ｹﾝ</t>
    </rPh>
    <rPh sb="5" eb="6">
      <t>ﾓﾉ</t>
    </rPh>
    <rPh sb="6" eb="8">
      <t>ｶﾞｲﾖｳ</t>
    </rPh>
    <phoneticPr fontId="30" type="noConversion"/>
  </si>
  <si>
    <r>
      <t>1-2</t>
    </r>
    <r>
      <rPr>
        <b/>
        <sz val="12"/>
        <color indexed="9"/>
        <rFont val="ＭＳ Ｐゴシック"/>
        <family val="3"/>
        <charset val="128"/>
      </rPr>
      <t>　外観</t>
    </r>
    <rPh sb="4" eb="6">
      <t>ガイカン</t>
    </rPh>
    <phoneticPr fontId="20"/>
  </si>
  <si>
    <t>BEE rank</t>
    <phoneticPr fontId="20"/>
  </si>
  <si>
    <t>radar chart</t>
    <phoneticPr fontId="20"/>
  </si>
  <si>
    <t>建物名称</t>
    <rPh sb="0" eb="2">
      <t>ﾀﾃﾓﾉ</t>
    </rPh>
    <rPh sb="2" eb="4">
      <t>ﾒｲｼｮｳ</t>
    </rPh>
    <phoneticPr fontId="30" type="noConversion"/>
  </si>
  <si>
    <t>階数</t>
    <rPh sb="0" eb="2">
      <t>カイスウ</t>
    </rPh>
    <phoneticPr fontId="20"/>
  </si>
  <si>
    <t>radar chart</t>
  </si>
  <si>
    <t>建設地</t>
    <rPh sb="0" eb="3">
      <t>ｹﾝｾﾂﾁ</t>
    </rPh>
    <phoneticPr fontId="30" type="noConversion"/>
  </si>
  <si>
    <t>構造</t>
    <rPh sb="0" eb="2">
      <t>コウゾウ</t>
    </rPh>
    <phoneticPr fontId="20"/>
  </si>
  <si>
    <t>用途地域</t>
    <rPh sb="0" eb="2">
      <t>ﾖｳﾄ</t>
    </rPh>
    <rPh sb="2" eb="4">
      <t>ﾁｲｷ</t>
    </rPh>
    <phoneticPr fontId="30" type="noConversion"/>
  </si>
  <si>
    <t>平均居住人員</t>
    <rPh sb="0" eb="2">
      <t>ﾍｲｷﾝ</t>
    </rPh>
    <rPh sb="2" eb="4">
      <t>ｷｮｼﾞｭｳ</t>
    </rPh>
    <rPh sb="4" eb="6">
      <t>ｼﾞﾝｲﾝ</t>
    </rPh>
    <phoneticPr fontId="30" type="noConversion"/>
  </si>
  <si>
    <t>人</t>
    <rPh sb="0" eb="1">
      <t>ニン</t>
    </rPh>
    <phoneticPr fontId="20"/>
  </si>
  <si>
    <t>Q</t>
    <phoneticPr fontId="20"/>
  </si>
  <si>
    <t>Q3</t>
    <phoneticPr fontId="20"/>
  </si>
  <si>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0"/>
  </si>
  <si>
    <t>年間使用時間</t>
    <rPh sb="0" eb="2">
      <t>ﾈﾝｶﾝ</t>
    </rPh>
    <rPh sb="2" eb="4">
      <t>ｼﾖｳ</t>
    </rPh>
    <rPh sb="4" eb="6">
      <t>ｼﾞｶﾝ</t>
    </rPh>
    <phoneticPr fontId="30" type="noConversion"/>
  </si>
  <si>
    <r>
      <t>時間</t>
    </r>
    <r>
      <rPr>
        <sz val="10"/>
        <rFont val="Arial"/>
        <family val="2"/>
      </rPr>
      <t>/</t>
    </r>
    <r>
      <rPr>
        <sz val="10"/>
        <rFont val="ＭＳ Ｐゴシック"/>
        <family val="3"/>
        <charset val="128"/>
      </rPr>
      <t>年</t>
    </r>
    <rPh sb="0" eb="2">
      <t>ジカン</t>
    </rPh>
    <rPh sb="3" eb="4">
      <t>ネン</t>
    </rPh>
    <phoneticPr fontId="20"/>
  </si>
  <si>
    <t>外観パース等</t>
    <rPh sb="0" eb="2">
      <t>ガイカン</t>
    </rPh>
    <rPh sb="5" eb="6">
      <t>トウ</t>
    </rPh>
    <phoneticPr fontId="20"/>
  </si>
  <si>
    <t>L</t>
    <phoneticPr fontId="20"/>
  </si>
  <si>
    <t>LR3</t>
    <phoneticPr fontId="20"/>
  </si>
  <si>
    <t>建物用途</t>
    <rPh sb="0" eb="2">
      <t>ﾀﾃﾓﾉ</t>
    </rPh>
    <rPh sb="2" eb="4">
      <t>ﾖｳﾄ</t>
    </rPh>
    <phoneticPr fontId="30" type="noConversion"/>
  </si>
  <si>
    <t>改修後の想定使用年数</t>
    <rPh sb="6" eb="8">
      <t>シヨウ</t>
    </rPh>
    <phoneticPr fontId="20"/>
  </si>
  <si>
    <t>年</t>
    <rPh sb="0" eb="1">
      <t>ネン</t>
    </rPh>
    <phoneticPr fontId="20"/>
  </si>
  <si>
    <t>BEE</t>
    <phoneticPr fontId="20"/>
  </si>
  <si>
    <t>LR2</t>
    <phoneticPr fontId="20"/>
  </si>
  <si>
    <t>LR2 資源・
マテリアル</t>
    <rPh sb="4" eb="6">
      <t>シゲン</t>
    </rPh>
    <phoneticPr fontId="20"/>
  </si>
  <si>
    <t>改修竣工年月</t>
    <rPh sb="0" eb="2">
      <t>ｶｲｼｭｳ</t>
    </rPh>
    <rPh sb="2" eb="4">
      <t>ｼｭﾝｺｳ</t>
    </rPh>
    <rPh sb="4" eb="6">
      <t>ﾈﾝｹﾞﾂ</t>
    </rPh>
    <phoneticPr fontId="30" type="noConversion"/>
  </si>
  <si>
    <t>改修工事期間</t>
  </si>
  <si>
    <t>BEE(Round)</t>
    <phoneticPr fontId="20"/>
  </si>
  <si>
    <t>LR1</t>
    <phoneticPr fontId="20"/>
  </si>
  <si>
    <t>LR1 
エネルギー</t>
    <phoneticPr fontId="20"/>
  </si>
  <si>
    <t>新築時竣工年月</t>
    <rPh sb="0" eb="2">
      <t>ｼﾝﾁｸ</t>
    </rPh>
    <rPh sb="2" eb="3">
      <t>ｼﾞ</t>
    </rPh>
    <rPh sb="3" eb="5">
      <t>ｼｭﾝｺｳ</t>
    </rPh>
    <rPh sb="5" eb="7">
      <t>ﾈﾝｹﾞﾂ</t>
    </rPh>
    <phoneticPr fontId="30" type="noConversion"/>
  </si>
  <si>
    <t>評価の実施日</t>
    <rPh sb="0" eb="2">
      <t>ヒョウカ</t>
    </rPh>
    <rPh sb="3" eb="6">
      <t>ジッシビ</t>
    </rPh>
    <phoneticPr fontId="20"/>
  </si>
  <si>
    <t>Q1</t>
    <phoneticPr fontId="20"/>
  </si>
  <si>
    <r>
      <t>Q1</t>
    </r>
    <r>
      <rPr>
        <sz val="11"/>
        <rFont val="ＭＳ Ｐゴシック"/>
        <family val="3"/>
        <charset val="128"/>
      </rPr>
      <t>　
室内環境</t>
    </r>
    <rPh sb="4" eb="6">
      <t>シツナイ</t>
    </rPh>
    <rPh sb="6" eb="8">
      <t>カンキョウ</t>
    </rPh>
    <phoneticPr fontId="20"/>
  </si>
  <si>
    <t>敷地面積</t>
    <rPh sb="0" eb="2">
      <t>ｼｷﾁ</t>
    </rPh>
    <rPh sb="2" eb="4">
      <t>ﾒﾝｾｷ</t>
    </rPh>
    <phoneticPr fontId="30" type="noConversion"/>
  </si>
  <si>
    <t>㎡</t>
    <phoneticPr fontId="30" type="noConversion"/>
  </si>
  <si>
    <t>作成者</t>
    <rPh sb="0" eb="3">
      <t>サクセイシャ</t>
    </rPh>
    <phoneticPr fontId="20"/>
  </si>
  <si>
    <t>Rank(red star)</t>
    <phoneticPr fontId="20"/>
  </si>
  <si>
    <t>建築面積</t>
    <rPh sb="0" eb="2">
      <t>ｹﾝﾁｸ</t>
    </rPh>
    <rPh sb="2" eb="4">
      <t>ﾒﾝｾｷ</t>
    </rPh>
    <phoneticPr fontId="30" type="noConversion"/>
  </si>
  <si>
    <t>㎡</t>
    <phoneticPr fontId="30" type="noConversion"/>
  </si>
  <si>
    <t>確認日</t>
    <rPh sb="0" eb="2">
      <t>カクニン</t>
    </rPh>
    <rPh sb="2" eb="3">
      <t>ビ</t>
    </rPh>
    <phoneticPr fontId="20"/>
  </si>
  <si>
    <t>(blank star)</t>
    <phoneticPr fontId="20"/>
  </si>
  <si>
    <t>延床面積</t>
    <rPh sb="0" eb="1">
      <t>ﾉ</t>
    </rPh>
    <rPh sb="1" eb="4">
      <t>ﾕｶﾒﾝｾｷ</t>
    </rPh>
    <phoneticPr fontId="30" type="noConversion"/>
  </si>
  <si>
    <t>確認者</t>
    <rPh sb="0" eb="2">
      <t>カクニン</t>
    </rPh>
    <rPh sb="2" eb="3">
      <t>シャ</t>
    </rPh>
    <phoneticPr fontId="20"/>
  </si>
  <si>
    <t>改修対象項目</t>
  </si>
  <si>
    <t>躯体</t>
  </si>
  <si>
    <t>改修目的</t>
  </si>
  <si>
    <t>現在までの主な改修履歴</t>
  </si>
  <si>
    <t>外装</t>
  </si>
  <si>
    <t>内装</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</si>
  <si>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</si>
  <si>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0" type="noConversion"/>
  </si>
  <si>
    <r>
      <t>BEE</t>
    </r>
    <r>
      <rPr>
        <sz val="11"/>
        <rFont val="ＭＳ Ｐゴシック"/>
        <family val="3"/>
        <charset val="128"/>
      </rPr>
      <t>グラフ</t>
    </r>
    <phoneticPr fontId="20"/>
  </si>
  <si>
    <t>基準</t>
    <rPh sb="0" eb="2">
      <t>キジュン</t>
    </rPh>
    <phoneticPr fontId="20"/>
  </si>
  <si>
    <t>評価</t>
    <rPh sb="0" eb="2">
      <t>ヒョウカ</t>
    </rPh>
    <phoneticPr fontId="20"/>
  </si>
  <si>
    <t>原点</t>
    <rPh sb="0" eb="2">
      <t>ゲンテン</t>
    </rPh>
    <phoneticPr fontId="20"/>
  </si>
  <si>
    <r>
      <t>BEE</t>
    </r>
    <r>
      <rPr>
        <sz val="11"/>
        <rFont val="ＭＳ Ｐゴシック"/>
        <family val="3"/>
        <charset val="128"/>
      </rPr>
      <t>の分母側</t>
    </r>
    <r>
      <rPr>
        <sz val="11"/>
        <rFont val="Arial"/>
        <family val="2"/>
      </rPr>
      <t>(L)</t>
    </r>
    <rPh sb="4" eb="6">
      <t>ブンボ</t>
    </rPh>
    <rPh sb="6" eb="7">
      <t>ガワ</t>
    </rPh>
    <phoneticPr fontId="20"/>
  </si>
  <si>
    <t>X目盛線</t>
    <rPh sb="1" eb="3">
      <t>メモ</t>
    </rPh>
    <rPh sb="3" eb="4">
      <t>セン</t>
    </rPh>
    <phoneticPr fontId="20"/>
  </si>
  <si>
    <t>Y目盛線</t>
    <rPh sb="1" eb="3">
      <t>メモ</t>
    </rPh>
    <rPh sb="3" eb="4">
      <t>セン</t>
    </rPh>
    <phoneticPr fontId="20"/>
  </si>
  <si>
    <r>
      <t>BEE</t>
    </r>
    <r>
      <rPr>
        <sz val="11"/>
        <rFont val="ＭＳ Ｐゴシック"/>
        <family val="3"/>
        <charset val="128"/>
      </rPr>
      <t>の分子側</t>
    </r>
    <r>
      <rPr>
        <sz val="11"/>
        <rFont val="Arial"/>
        <family val="2"/>
      </rPr>
      <t>(Q)</t>
    </r>
    <rPh sb="4" eb="6">
      <t>ブンシ</t>
    </rPh>
    <rPh sb="6" eb="7">
      <t>ガワ</t>
    </rPh>
    <phoneticPr fontId="20"/>
  </si>
  <si>
    <t>BEE</t>
    <phoneticPr fontId="20"/>
  </si>
  <si>
    <t>X</t>
    <phoneticPr fontId="20"/>
  </si>
  <si>
    <t>S</t>
    <phoneticPr fontId="20"/>
  </si>
  <si>
    <t>A</t>
    <phoneticPr fontId="20"/>
  </si>
  <si>
    <t>B+</t>
    <phoneticPr fontId="20"/>
  </si>
  <si>
    <t>B</t>
    <phoneticPr fontId="20"/>
  </si>
  <si>
    <t>B-</t>
    <phoneticPr fontId="20"/>
  </si>
  <si>
    <t>LCCO2(kg-CO2/ym2)</t>
    <phoneticPr fontId="20"/>
  </si>
  <si>
    <t>建設</t>
    <rPh sb="0" eb="2">
      <t>ケンセツ</t>
    </rPh>
    <phoneticPr fontId="20"/>
  </si>
  <si>
    <t>修繕・更新・解体</t>
    <rPh sb="0" eb="2">
      <t>シュウゼン</t>
    </rPh>
    <rPh sb="3" eb="5">
      <t>コウシン</t>
    </rPh>
    <rPh sb="6" eb="8">
      <t>カイタイ</t>
    </rPh>
    <phoneticPr fontId="20"/>
  </si>
  <si>
    <t>運用</t>
    <rPh sb="0" eb="2">
      <t>ウンヨウ</t>
    </rPh>
    <phoneticPr fontId="20"/>
  </si>
  <si>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0"/>
  </si>
  <si>
    <t>N.A.</t>
    <phoneticPr fontId="20"/>
  </si>
  <si>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0"/>
  </si>
  <si>
    <t>※個別計算</t>
    <rPh sb="1" eb="3">
      <t>コベツ</t>
    </rPh>
    <rPh sb="3" eb="5">
      <t>ケイサン</t>
    </rPh>
    <phoneticPr fontId="20"/>
  </si>
  <si>
    <r>
      <t>2-4</t>
    </r>
    <r>
      <rPr>
        <b/>
        <sz val="12"/>
        <color indexed="9"/>
        <rFont val="ＭＳ Ｐゴシック"/>
        <family val="3"/>
        <charset val="128"/>
      </rPr>
      <t>　中項目の評価（バーチャート）</t>
    </r>
    <phoneticPr fontId="20"/>
  </si>
  <si>
    <r>
      <t>Q</t>
    </r>
    <r>
      <rPr>
        <b/>
        <sz val="11"/>
        <color indexed="26"/>
        <rFont val="ＭＳ Ｐゴシック"/>
        <family val="3"/>
        <charset val="128"/>
      </rPr>
      <t>　環境品質</t>
    </r>
    <rPh sb="2" eb="4">
      <t>カンキョウ</t>
    </rPh>
    <rPh sb="4" eb="6">
      <t>ヒンシツ</t>
    </rPh>
    <phoneticPr fontId="20"/>
  </si>
  <si>
    <r>
      <t>Q-1</t>
    </r>
    <r>
      <rPr>
        <sz val="11"/>
        <rFont val="ＭＳ Ｐゴシック"/>
        <family val="3"/>
        <charset val="128"/>
      </rPr>
      <t>　室内環境</t>
    </r>
    <rPh sb="4" eb="6">
      <t>シツナイ</t>
    </rPh>
    <rPh sb="6" eb="8">
      <t>カンキョウ</t>
    </rPh>
    <phoneticPr fontId="20"/>
  </si>
  <si>
    <t>Q-2 サービス性能</t>
    <phoneticPr fontId="20"/>
  </si>
  <si>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0"/>
  </si>
  <si>
    <t>音環境</t>
  </si>
  <si>
    <t>機能性</t>
    <rPh sb="0" eb="3">
      <t>キノウセイ</t>
    </rPh>
    <phoneticPr fontId="20"/>
  </si>
  <si>
    <t>生物環境</t>
    <rPh sb="0" eb="2">
      <t>セイブツ</t>
    </rPh>
    <rPh sb="2" eb="4">
      <t>カンキョウ</t>
    </rPh>
    <phoneticPr fontId="20"/>
  </si>
  <si>
    <t>温熱環境</t>
  </si>
  <si>
    <t>排出係数の設定</t>
    <rPh sb="0" eb="2">
      <t>ハイシュツ</t>
    </rPh>
    <rPh sb="2" eb="4">
      <t>ケイスウ</t>
    </rPh>
    <rPh sb="5" eb="7">
      <t>セッテイ</t>
    </rPh>
    <phoneticPr fontId="20"/>
  </si>
  <si>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0"/>
  </si>
  <si>
    <t>←オプションボタン番号</t>
    <rPh sb="9" eb="11">
      <t>バンゴウ</t>
    </rPh>
    <phoneticPr fontId="20"/>
  </si>
  <si>
    <t>電力事業社名/根拠等</t>
    <rPh sb="0" eb="2">
      <t>デンリョク</t>
    </rPh>
    <rPh sb="2" eb="4">
      <t>ジギョウ</t>
    </rPh>
    <rPh sb="4" eb="6">
      <t>シャメイ</t>
    </rPh>
    <rPh sb="7" eb="9">
      <t>コンキョ</t>
    </rPh>
    <rPh sb="9" eb="10">
      <t>トウ</t>
    </rPh>
    <phoneticPr fontId="20"/>
  </si>
  <si>
    <t>↓事業社名</t>
    <rPh sb="1" eb="3">
      <t>ジギョウ</t>
    </rPh>
    <rPh sb="3" eb="5">
      <t>シャメイ</t>
    </rPh>
    <phoneticPr fontId="20"/>
  </si>
  <si>
    <t>↓排出係数</t>
    <rPh sb="1" eb="3">
      <t>ハイシュツ</t>
    </rPh>
    <rPh sb="3" eb="5">
      <t>ケイスウ</t>
    </rPh>
    <phoneticPr fontId="20"/>
  </si>
  <si>
    <t>　（１）評価条件として、与えられた排出係数を用いる場合</t>
    <phoneticPr fontId="20"/>
  </si>
  <si>
    <t>排出係数</t>
    <phoneticPr fontId="20"/>
  </si>
  <si>
    <t>(t-CO2/kWh)</t>
    <phoneticPr fontId="20"/>
  </si>
  <si>
    <t>　（２）温暖化対策推進法に基づく温室効果ガス排出量の算定方法を参考とする場合</t>
    <rPh sb="31" eb="33">
      <t>サンコウ</t>
    </rPh>
    <phoneticPr fontId="20"/>
  </si>
  <si>
    <t>　　①</t>
    <phoneticPr fontId="20"/>
  </si>
  <si>
    <t>電気事業者（一般電気事業者及び特定規模電気事業者（PPS））から供給された電気</t>
    <phoneticPr fontId="20"/>
  </si>
  <si>
    <t>事業者名</t>
  </si>
  <si>
    <t>東京電力株式会社</t>
  </si>
  <si>
    <t>(t-CO2/kWh)</t>
  </si>
  <si>
    <t>　　②</t>
    <phoneticPr fontId="20"/>
  </si>
  <si>
    <t>根拠等</t>
    <rPh sb="0" eb="2">
      <t>コンキョ</t>
    </rPh>
    <rPh sb="2" eb="3">
      <t>トウ</t>
    </rPh>
    <phoneticPr fontId="20"/>
  </si>
  <si>
    <t>降順並び替え</t>
    <rPh sb="0" eb="2">
      <t>コウジュン</t>
    </rPh>
    <rPh sb="2" eb="3">
      <t>ナラ</t>
    </rPh>
    <rPh sb="4" eb="5">
      <t>カ</t>
    </rPh>
    <phoneticPr fontId="20"/>
  </si>
  <si>
    <t>イーレックス株式会社</t>
  </si>
  <si>
    <t>実排出係数との差</t>
    <rPh sb="0" eb="1">
      <t>ジツ</t>
    </rPh>
    <rPh sb="1" eb="3">
      <t>ハイシュツ</t>
    </rPh>
    <rPh sb="3" eb="5">
      <t>ケイスウ</t>
    </rPh>
    <rPh sb="7" eb="8">
      <t>サ</t>
    </rPh>
    <phoneticPr fontId="20"/>
  </si>
  <si>
    <t>エネサーブ株式会社</t>
  </si>
  <si>
    <t>サミットエナジー株式会社</t>
  </si>
  <si>
    <t>ダイヤモンドパワー株式会社</t>
  </si>
  <si>
    <t>パナソニック株式会社</t>
  </si>
  <si>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</si>
  <si>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</si>
  <si>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</si>
  <si>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</si>
  <si>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</si>
  <si>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</si>
  <si>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</si>
  <si>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</si>
  <si>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</si>
  <si>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</si>
  <si>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</si>
  <si>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東北電力株式会社</t>
  </si>
  <si>
    <t>北海道電力株式会社</t>
  </si>
  <si>
    <t>北陸電力株式会社</t>
  </si>
  <si>
    <t>■エネルギー消費実績に基づくレベルの加点・減点（工場、集合住宅を除く）</t>
    <rPh sb="24" eb="26">
      <t>コウジョウ</t>
    </rPh>
    <rPh sb="27" eb="29">
      <t>シュウゴウ</t>
    </rPh>
    <rPh sb="29" eb="31">
      <t>ジュウタク</t>
    </rPh>
    <rPh sb="32" eb="33">
      <t>ノゾ</t>
    </rPh>
    <phoneticPr fontId="20"/>
  </si>
  <si>
    <r>
      <t>改修後 BEE</t>
    </r>
    <r>
      <rPr>
        <vertAlign val="subscript"/>
        <sz val="12"/>
        <rFont val="ＭＳ Ｐゴシック"/>
        <family val="3"/>
        <charset val="128"/>
      </rPr>
      <t>ES</t>
    </r>
    <rPh sb="0" eb="2">
      <t>カイシュウ</t>
    </rPh>
    <rPh sb="2" eb="3">
      <t>ゴ</t>
    </rPh>
    <phoneticPr fontId="20"/>
  </si>
  <si>
    <t>-</t>
  </si>
  <si>
    <t>室用途</t>
    <rPh sb="0" eb="1">
      <t>シツ</t>
    </rPh>
    <rPh sb="1" eb="3">
      <t>ヨウト</t>
    </rPh>
    <phoneticPr fontId="20"/>
  </si>
  <si>
    <t>エネルギー消費量</t>
    <rPh sb="5" eb="7">
      <t>ショウヒ</t>
    </rPh>
    <rPh sb="7" eb="8">
      <t>リョウ</t>
    </rPh>
    <phoneticPr fontId="20"/>
  </si>
  <si>
    <t>厨房</t>
    <rPh sb="0" eb="2">
      <t>チュウボウ</t>
    </rPh>
    <phoneticPr fontId="20"/>
  </si>
  <si>
    <t>3)　評価対象となるエネルギー消費量</t>
    <rPh sb="3" eb="5">
      <t>ヒョウカ</t>
    </rPh>
    <rPh sb="5" eb="7">
      <t>タイショウ</t>
    </rPh>
    <rPh sb="15" eb="18">
      <t>ショウヒリョウ</t>
    </rPh>
    <phoneticPr fontId="20"/>
  </si>
  <si>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0"/>
  </si>
  <si>
    <t>　　　　3.　地区の選択</t>
    <rPh sb="7" eb="9">
      <t>チク</t>
    </rPh>
    <rPh sb="10" eb="12">
      <t>センタク</t>
    </rPh>
    <phoneticPr fontId="20"/>
  </si>
  <si>
    <t>関東</t>
    <rPh sb="0" eb="2">
      <t>カントウ</t>
    </rPh>
    <phoneticPr fontId="20"/>
  </si>
  <si>
    <t>1)　実績評価の対象面積</t>
    <rPh sb="3" eb="5">
      <t>ジッセキ</t>
    </rPh>
    <rPh sb="5" eb="7">
      <t>ヒョウカ</t>
    </rPh>
    <rPh sb="8" eb="10">
      <t>タイショウ</t>
    </rPh>
    <rPh sb="10" eb="12">
      <t>メンセキ</t>
    </rPh>
    <phoneticPr fontId="20"/>
  </si>
  <si>
    <t>2)　延床面積の構成比率入力</t>
    <rPh sb="3" eb="7">
      <t>ノベユカメンセキ</t>
    </rPh>
    <rPh sb="8" eb="10">
      <t>コウセイ</t>
    </rPh>
    <rPh sb="10" eb="12">
      <t>ヒリツ</t>
    </rPh>
    <rPh sb="12" eb="14">
      <t>ニュウリョク</t>
    </rPh>
    <phoneticPr fontId="20"/>
  </si>
  <si>
    <t>地区選択に基づく境界値aおよびb</t>
    <rPh sb="0" eb="2">
      <t>チク</t>
    </rPh>
    <rPh sb="2" eb="4">
      <t>センタク</t>
    </rPh>
    <rPh sb="5" eb="6">
      <t>モト</t>
    </rPh>
    <rPh sb="8" eb="10">
      <t>キョウカイ</t>
    </rPh>
    <rPh sb="10" eb="11">
      <t>チ</t>
    </rPh>
    <phoneticPr fontId="20"/>
  </si>
  <si>
    <t>用途別面積(㎡)</t>
    <rPh sb="0" eb="2">
      <t>ヨウト</t>
    </rPh>
    <rPh sb="2" eb="3">
      <t>ベツ</t>
    </rPh>
    <rPh sb="3" eb="5">
      <t>メンセキ</t>
    </rPh>
    <phoneticPr fontId="20"/>
  </si>
  <si>
    <t>構成比率</t>
    <rPh sb="0" eb="2">
      <t>コウセイ</t>
    </rPh>
    <rPh sb="2" eb="4">
      <t>ヒリツ</t>
    </rPh>
    <phoneticPr fontId="20"/>
  </si>
  <si>
    <t>北海道</t>
    <rPh sb="0" eb="3">
      <t>ホッカイドウ</t>
    </rPh>
    <phoneticPr fontId="20"/>
  </si>
  <si>
    <t>関西</t>
    <rPh sb="0" eb="2">
      <t>カンサイ</t>
    </rPh>
    <phoneticPr fontId="20"/>
  </si>
  <si>
    <t>e</t>
  </si>
  <si>
    <t>東北</t>
    <rPh sb="0" eb="2">
      <t>トウホク</t>
    </rPh>
    <phoneticPr fontId="20"/>
  </si>
  <si>
    <t>c</t>
  </si>
  <si>
    <t>九州</t>
    <rPh sb="0" eb="2">
      <t>キュウシュウ</t>
    </rPh>
    <phoneticPr fontId="20"/>
  </si>
  <si>
    <t>g</t>
  </si>
  <si>
    <t>電算･情報センター</t>
    <rPh sb="0" eb="2">
      <t>デンサン</t>
    </rPh>
    <rPh sb="3" eb="5">
      <t>ジョウホウ</t>
    </rPh>
    <phoneticPr fontId="20"/>
  </si>
  <si>
    <t>中部</t>
    <rPh sb="0" eb="2">
      <t>チュウブ</t>
    </rPh>
    <phoneticPr fontId="20"/>
  </si>
  <si>
    <t>中国・四国</t>
    <rPh sb="0" eb="2">
      <t>チュウゴク</t>
    </rPh>
    <rPh sb="3" eb="5">
      <t>シコク</t>
    </rPh>
    <phoneticPr fontId="20"/>
  </si>
  <si>
    <t>f</t>
  </si>
  <si>
    <t>d</t>
  </si>
  <si>
    <t>b</t>
  </si>
  <si>
    <t>小・中学校</t>
    <rPh sb="0" eb="1">
      <t>ショウ</t>
    </rPh>
    <rPh sb="2" eb="3">
      <t>チュウ</t>
    </rPh>
    <rPh sb="3" eb="5">
      <t>ガッコウ</t>
    </rPh>
    <phoneticPr fontId="20"/>
  </si>
  <si>
    <t>a</t>
  </si>
  <si>
    <t>0.　既存</t>
    <rPh sb="3" eb="5">
      <t>キソン</t>
    </rPh>
    <phoneticPr fontId="20"/>
  </si>
  <si>
    <t>延面積比率</t>
    <rPh sb="0" eb="1">
      <t>ノ</t>
    </rPh>
    <rPh sb="1" eb="3">
      <t>メンセキ</t>
    </rPh>
    <rPh sb="3" eb="5">
      <t>ヒリツ</t>
    </rPh>
    <phoneticPr fontId="20"/>
  </si>
  <si>
    <t xml:space="preserve"> Q</t>
    <phoneticPr fontId="20"/>
  </si>
  <si>
    <t>住居宿泊・共用部面積比率</t>
    <rPh sb="0" eb="2">
      <t>ジュウキョ</t>
    </rPh>
    <rPh sb="2" eb="4">
      <t>シュクハク</t>
    </rPh>
    <rPh sb="5" eb="7">
      <t>キョウヨウ</t>
    </rPh>
    <rPh sb="7" eb="8">
      <t>ブ</t>
    </rPh>
    <rPh sb="8" eb="10">
      <t>メンセキ</t>
    </rPh>
    <rPh sb="10" eb="12">
      <t>ヒリツ</t>
    </rPh>
    <phoneticPr fontId="20"/>
  </si>
  <si>
    <t>Q</t>
    <phoneticPr fontId="20"/>
  </si>
  <si>
    <t>建築物の環境品質</t>
    <phoneticPr fontId="20"/>
  </si>
  <si>
    <t>3.2.3</t>
    <phoneticPr fontId="20"/>
  </si>
  <si>
    <t>病院o</t>
    <phoneticPr fontId="20"/>
  </si>
  <si>
    <t>ホテルo</t>
    <phoneticPr fontId="20"/>
  </si>
  <si>
    <t>集合住宅o</t>
    <phoneticPr fontId="20"/>
  </si>
  <si>
    <t>延面積比率</t>
    <phoneticPr fontId="20"/>
  </si>
  <si>
    <t>地球温暖化への配慮</t>
    <rPh sb="0" eb="2">
      <t>ﾁｷｭｳ</t>
    </rPh>
    <rPh sb="2" eb="5">
      <t>ｵﾝﾀﾞﾝｶ</t>
    </rPh>
    <rPh sb="7" eb="9">
      <t>ﾊｲﾘｮ</t>
    </rPh>
    <phoneticPr fontId="30" type="noConversion"/>
  </si>
  <si>
    <t>地域環境への配慮</t>
    <rPh sb="0" eb="2">
      <t>ﾁｲｷ</t>
    </rPh>
    <rPh sb="2" eb="4">
      <t>ｶﾝｷｮｳ</t>
    </rPh>
    <rPh sb="6" eb="8">
      <t>ﾊｲﾘｮ</t>
    </rPh>
    <phoneticPr fontId="30" type="noConversion"/>
  </si>
  <si>
    <t>大気汚染防止</t>
    <rPh sb="0" eb="2">
      <t>ﾀｲｷ</t>
    </rPh>
    <rPh sb="2" eb="4">
      <t>ｵｾﾝ</t>
    </rPh>
    <rPh sb="4" eb="6">
      <t>ﾎﾞｳｼ</t>
    </rPh>
    <phoneticPr fontId="30" type="noConversion"/>
  </si>
  <si>
    <t>交通負荷抑制</t>
    <rPh sb="0" eb="2">
      <t>ｺｳﾂｳ</t>
    </rPh>
    <rPh sb="2" eb="4">
      <t>ﾌｶ</t>
    </rPh>
    <rPh sb="4" eb="6">
      <t>ﾖｸｾｲ</t>
    </rPh>
    <phoneticPr fontId="30" type="noConversion"/>
  </si>
  <si>
    <t>廃棄物処理負荷抑制</t>
    <rPh sb="0" eb="3">
      <t>ﾊｲｷﾌﾞﾂ</t>
    </rPh>
    <rPh sb="3" eb="5">
      <t>ｼｮﾘ</t>
    </rPh>
    <rPh sb="5" eb="7">
      <t>ﾌｶ</t>
    </rPh>
    <rPh sb="7" eb="9">
      <t>ﾖｸｾｲ</t>
    </rPh>
    <phoneticPr fontId="30" type="noConversion"/>
  </si>
  <si>
    <t>周辺環境への配慮</t>
    <rPh sb="0" eb="2">
      <t>ｼｭｳﾍﾝ</t>
    </rPh>
    <rPh sb="2" eb="4">
      <t>ｶﾝｷｮｳ</t>
    </rPh>
    <rPh sb="6" eb="8">
      <t>ﾊｲﾘｮ</t>
    </rPh>
    <phoneticPr fontId="30" type="noConversion"/>
  </si>
  <si>
    <t>騒音・振動・悪臭の防止</t>
    <rPh sb="0" eb="2">
      <t>ｿｳｵﾝ</t>
    </rPh>
    <rPh sb="3" eb="5">
      <t>ｼﾝﾄﾞｳ</t>
    </rPh>
    <rPh sb="6" eb="8">
      <t>ｱｸｼｭｳ</t>
    </rPh>
    <rPh sb="9" eb="11">
      <t>ﾎﾞｳｼ</t>
    </rPh>
    <phoneticPr fontId="30" type="noConversion"/>
  </si>
  <si>
    <t>騒音</t>
    <rPh sb="0" eb="2">
      <t>ｿｳｵﾝ</t>
    </rPh>
    <phoneticPr fontId="30" type="noConversion"/>
  </si>
  <si>
    <t>振動</t>
    <rPh sb="0" eb="2">
      <t>ｼﾝﾄﾞｳ</t>
    </rPh>
    <phoneticPr fontId="30" type="noConversion"/>
  </si>
  <si>
    <t>砂塵の抑制</t>
    <rPh sb="0" eb="2">
      <t>ｻｼﾞﾝ</t>
    </rPh>
    <rPh sb="3" eb="5">
      <t>ﾖｸｾｲ</t>
    </rPh>
    <phoneticPr fontId="30" type="noConversion"/>
  </si>
  <si>
    <t>日照阻害の抑制</t>
    <phoneticPr fontId="30" type="noConversion"/>
  </si>
  <si>
    <t>光害の抑制</t>
    <rPh sb="0" eb="1">
      <t>ﾋｶﾘ</t>
    </rPh>
    <phoneticPr fontId="30" type="noConversion"/>
  </si>
  <si>
    <t>高等学校</t>
    <rPh sb="0" eb="2">
      <t>コウトウ</t>
    </rPh>
    <rPh sb="2" eb="4">
      <t>ガッコウ</t>
    </rPh>
    <phoneticPr fontId="20"/>
  </si>
  <si>
    <t>研究機関</t>
    <rPh sb="0" eb="2">
      <t>ケンキュウ</t>
    </rPh>
    <rPh sb="2" eb="4">
      <t>キカン</t>
    </rPh>
    <phoneticPr fontId="20"/>
  </si>
  <si>
    <t>4.　エネルギー消費実績に基づくレベルの上下</t>
    <rPh sb="20" eb="22">
      <t>ジョウゲ</t>
    </rPh>
    <phoneticPr fontId="20"/>
  </si>
  <si>
    <t>2)　延床面積あたりのエネルギー消費量実績　</t>
    <rPh sb="3" eb="5">
      <t>ノベユカ</t>
    </rPh>
    <rPh sb="5" eb="7">
      <t>メンセキ</t>
    </rPh>
    <rPh sb="16" eb="18">
      <t>ショウヒ</t>
    </rPh>
    <rPh sb="18" eb="19">
      <t>リョウ</t>
    </rPh>
    <rPh sb="19" eb="21">
      <t>ジッセキ</t>
    </rPh>
    <phoneticPr fontId="20"/>
  </si>
  <si>
    <t>3)　境界値</t>
    <rPh sb="3" eb="5">
      <t>キョウカイ</t>
    </rPh>
    <rPh sb="5" eb="6">
      <t>チ</t>
    </rPh>
    <phoneticPr fontId="20"/>
  </si>
  <si>
    <t>境界値 a</t>
    <rPh sb="0" eb="2">
      <t>キョウカイ</t>
    </rPh>
    <rPh sb="2" eb="3">
      <t>チ</t>
    </rPh>
    <phoneticPr fontId="20"/>
  </si>
  <si>
    <t>境界値 b</t>
    <rPh sb="0" eb="2">
      <t>キョウカイ</t>
    </rPh>
    <rPh sb="2" eb="3">
      <t>チ</t>
    </rPh>
    <phoneticPr fontId="20"/>
  </si>
  <si>
    <t>4)　エネルギー消費実績に基づくレベルの上下</t>
    <rPh sb="8" eb="10">
      <t>ショウヒ</t>
    </rPh>
    <rPh sb="10" eb="12">
      <t>ジッセキ</t>
    </rPh>
    <rPh sb="13" eb="14">
      <t>モト</t>
    </rPh>
    <rPh sb="20" eb="22">
      <t>ジョウゲ</t>
    </rPh>
    <phoneticPr fontId="20"/>
  </si>
  <si>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0"/>
  </si>
  <si>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0"/>
  </si>
  <si>
    <t>境界値a</t>
    <rPh sb="0" eb="2">
      <t>キョウカイ</t>
    </rPh>
    <rPh sb="2" eb="3">
      <t>チ</t>
    </rPh>
    <phoneticPr fontId="20"/>
  </si>
  <si>
    <t>a（傾き）</t>
    <rPh sb="2" eb="3">
      <t>カタム</t>
    </rPh>
    <phoneticPr fontId="20"/>
  </si>
  <si>
    <t>ｂ（切片）</t>
    <rPh sb="2" eb="4">
      <t>セッペン</t>
    </rPh>
    <phoneticPr fontId="20"/>
  </si>
  <si>
    <t>3-1.　建築物の取組み（②）</t>
    <rPh sb="5" eb="8">
      <t>ケンチクブツ</t>
    </rPh>
    <rPh sb="9" eb="11">
      <t>トリク</t>
    </rPh>
    <phoneticPr fontId="20"/>
  </si>
  <si>
    <t>参照値（①）</t>
    <rPh sb="0" eb="2">
      <t>サンショウ</t>
    </rPh>
    <rPh sb="2" eb="3">
      <t>チ</t>
    </rPh>
    <phoneticPr fontId="20"/>
  </si>
  <si>
    <t>3-2.　上記+上記以外のオンサイト手法（③）</t>
    <rPh sb="5" eb="7">
      <t>ジョウキ</t>
    </rPh>
    <rPh sb="8" eb="10">
      <t>ジョウキ</t>
    </rPh>
    <rPh sb="10" eb="12">
      <t>イガイ</t>
    </rPh>
    <rPh sb="18" eb="20">
      <t>シュホウ</t>
    </rPh>
    <phoneticPr fontId="20"/>
  </si>
  <si>
    <t>削減量</t>
    <rPh sb="0" eb="2">
      <t>サクゲン</t>
    </rPh>
    <rPh sb="2" eb="3">
      <t>リョウ</t>
    </rPh>
    <phoneticPr fontId="20"/>
  </si>
  <si>
    <t>売電分</t>
    <rPh sb="0" eb="2">
      <t>バイデン</t>
    </rPh>
    <rPh sb="2" eb="3">
      <t>ブン</t>
    </rPh>
    <phoneticPr fontId="20"/>
  </si>
  <si>
    <r>
      <t xml:space="preserve"> [</t>
    </r>
    <r>
      <rPr>
        <sz val="11"/>
        <rFont val="ＭＳ Ｐゴシック"/>
        <family val="3"/>
        <charset val="128"/>
      </rPr>
      <t>2</t>
    </r>
    <r>
      <rPr>
        <sz val="11"/>
        <rFont val="ＭＳ Ｐゴシック"/>
        <family val="3"/>
        <charset val="128"/>
      </rPr>
      <t>]代替値</t>
    </r>
    <rPh sb="4" eb="6">
      <t>ダイタイ</t>
    </rPh>
    <rPh sb="6" eb="7">
      <t>チ</t>
    </rPh>
    <phoneticPr fontId="20"/>
  </si>
  <si>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0"/>
  </si>
  <si>
    <r>
      <t>1)　実績評価の対象面積</t>
    </r>
    <r>
      <rPr>
        <b/>
        <sz val="10"/>
        <color indexed="10"/>
        <rFont val="ＭＳ Ｐゴシック"/>
        <family val="3"/>
        <charset val="128"/>
      </rPr>
      <t>（工場、集合住宅を除く）</t>
    </r>
    <rPh sb="3" eb="5">
      <t>ジッセキ</t>
    </rPh>
    <rPh sb="5" eb="7">
      <t>ヒョウカ</t>
    </rPh>
    <rPh sb="8" eb="10">
      <t>タイショウ</t>
    </rPh>
    <rPh sb="10" eb="12">
      <t>メンセキ</t>
    </rPh>
    <phoneticPr fontId="20"/>
  </si>
  <si>
    <r>
      <t>kg-CO</t>
    </r>
    <r>
      <rPr>
        <vertAlign val="subscript"/>
        <sz val="10"/>
        <rFont val="ＭＳ Ｐゴシック"/>
        <family val="3"/>
        <charset val="128"/>
      </rPr>
      <t>2</t>
    </r>
    <r>
      <rPr>
        <sz val="10"/>
        <rFont val="ＭＳ Ｐゴシック"/>
        <family val="3"/>
        <charset val="128"/>
      </rPr>
      <t>/MJ</t>
    </r>
    <phoneticPr fontId="20"/>
  </si>
  <si>
    <t>（調整後排出係数</t>
    <rPh sb="1" eb="4">
      <t>チョウセイゴ</t>
    </rPh>
    <rPh sb="4" eb="6">
      <t>ハイシュツ</t>
    </rPh>
    <rPh sb="6" eb="8">
      <t>ケイスウ</t>
    </rPh>
    <phoneticPr fontId="20"/>
  </si>
  <si>
    <t>kg-CO2/kWh）</t>
    <phoneticPr fontId="20"/>
  </si>
  <si>
    <t>代替値</t>
  </si>
  <si>
    <t>■CO2データベース</t>
    <phoneticPr fontId="20"/>
  </si>
  <si>
    <t>電力　（実排出係数）</t>
    <rPh sb="0" eb="2">
      <t>デンリョク</t>
    </rPh>
    <rPh sb="4" eb="5">
      <t>ジツ</t>
    </rPh>
    <rPh sb="5" eb="7">
      <t>ハイシュツ</t>
    </rPh>
    <rPh sb="7" eb="9">
      <t>ケイスウ</t>
    </rPh>
    <phoneticPr fontId="28"/>
  </si>
  <si>
    <t>耐用性・信頼性</t>
    <rPh sb="1" eb="2">
      <t>ヨウ</t>
    </rPh>
    <rPh sb="4" eb="7">
      <t>シンライセイ</t>
    </rPh>
    <phoneticPr fontId="20"/>
  </si>
  <si>
    <t>まちなみ景観</t>
    <phoneticPr fontId="20"/>
  </si>
  <si>
    <t>光・視環境</t>
  </si>
  <si>
    <t>対応性･更新性</t>
    <rPh sb="0" eb="3">
      <t>タイオウセイ</t>
    </rPh>
    <rPh sb="4" eb="6">
      <t>コウシン</t>
    </rPh>
    <rPh sb="6" eb="7">
      <t>セイ</t>
    </rPh>
    <phoneticPr fontId="20"/>
  </si>
  <si>
    <t>地域性・文化</t>
    <rPh sb="0" eb="3">
      <t>チイキセイ</t>
    </rPh>
    <rPh sb="4" eb="6">
      <t>ブンカ</t>
    </rPh>
    <phoneticPr fontId="20"/>
  </si>
  <si>
    <t>空気質環境</t>
    <rPh sb="3" eb="5">
      <t>カンキョウ</t>
    </rPh>
    <phoneticPr fontId="20"/>
  </si>
  <si>
    <r>
      <t>LR</t>
    </r>
    <r>
      <rPr>
        <b/>
        <sz val="11"/>
        <color indexed="42"/>
        <rFont val="ＭＳ Ｐゴシック"/>
        <family val="3"/>
        <charset val="128"/>
      </rPr>
      <t>　環境負荷低減性</t>
    </r>
    <phoneticPr fontId="20"/>
  </si>
  <si>
    <r>
      <t>LR</t>
    </r>
    <r>
      <rPr>
        <b/>
        <i/>
        <sz val="14"/>
        <color indexed="9"/>
        <rFont val="ＭＳ Ｐゴシック"/>
        <family val="3"/>
        <charset val="128"/>
      </rPr>
      <t>のスコア</t>
    </r>
    <r>
      <rPr>
        <b/>
        <i/>
        <sz val="14"/>
        <color indexed="9"/>
        <rFont val="Arial"/>
        <family val="2"/>
      </rPr>
      <t>=</t>
    </r>
    <phoneticPr fontId="20"/>
  </si>
  <si>
    <t>Score(RoundDown)</t>
    <phoneticPr fontId="20"/>
  </si>
  <si>
    <t>Score</t>
    <phoneticPr fontId="20"/>
  </si>
  <si>
    <t>LR-1 エネルギー</t>
    <phoneticPr fontId="20"/>
  </si>
  <si>
    <t>LR-2 資源ﾏﾃﾘｱﾙ</t>
    <rPh sb="5" eb="7">
      <t>シゲン</t>
    </rPh>
    <phoneticPr fontId="20"/>
  </si>
  <si>
    <t>LR-3 敷地外環境</t>
    <rPh sb="5" eb="7">
      <t>シキチ</t>
    </rPh>
    <rPh sb="7" eb="8">
      <t>ガイ</t>
    </rPh>
    <rPh sb="8" eb="10">
      <t>カンキョウ</t>
    </rPh>
    <phoneticPr fontId="20"/>
  </si>
  <si>
    <t>Score(RoundDown)</t>
    <phoneticPr fontId="20"/>
  </si>
  <si>
    <t>NA</t>
    <phoneticPr fontId="20"/>
  </si>
  <si>
    <t>熱負荷抑制</t>
    <rPh sb="0" eb="1">
      <t>ネツ</t>
    </rPh>
    <rPh sb="1" eb="3">
      <t>フカ</t>
    </rPh>
    <rPh sb="3" eb="5">
      <t>ヨクセイ</t>
    </rPh>
    <phoneticPr fontId="20"/>
  </si>
  <si>
    <t>水資源</t>
    <rPh sb="0" eb="1">
      <t>ミズ</t>
    </rPh>
    <rPh sb="1" eb="3">
      <t>シゲン</t>
    </rPh>
    <phoneticPr fontId="20"/>
  </si>
  <si>
    <t>地球温暖化への配慮</t>
    <rPh sb="0" eb="2">
      <t>チキュウ</t>
    </rPh>
    <rPh sb="2" eb="5">
      <t>オンダンカ</t>
    </rPh>
    <rPh sb="7" eb="9">
      <t>ハイリョ</t>
    </rPh>
    <phoneticPr fontId="20"/>
  </si>
  <si>
    <t>自然ｴﾈﾙｷﾞｰ</t>
    <rPh sb="0" eb="2">
      <t>シゼン</t>
    </rPh>
    <phoneticPr fontId="20"/>
  </si>
  <si>
    <t xml:space="preserve">     小・中学校　(北海道)</t>
    <rPh sb="12" eb="15">
      <t>ホッカイドウ</t>
    </rPh>
    <phoneticPr fontId="20"/>
  </si>
  <si>
    <t>小・中学校 (北海道以外）</t>
    <rPh sb="0" eb="1">
      <t>ショウ</t>
    </rPh>
    <rPh sb="2" eb="5">
      <t>チュウガッコウ</t>
    </rPh>
    <rPh sb="7" eb="10">
      <t>ホッカイドウ</t>
    </rPh>
    <rPh sb="10" eb="12">
      <t>イガイ</t>
    </rPh>
    <phoneticPr fontId="20"/>
  </si>
  <si>
    <t xml:space="preserve"> 非住宅　小計</t>
    <rPh sb="1" eb="2">
      <t>ヒ</t>
    </rPh>
    <rPh sb="2" eb="4">
      <t>ジュウタク</t>
    </rPh>
    <rPh sb="5" eb="7">
      <t>ショウケイ</t>
    </rPh>
    <phoneticPr fontId="20"/>
  </si>
  <si>
    <t>㎡                  専用部</t>
    <rPh sb="19" eb="21">
      <t>センヨウ</t>
    </rPh>
    <rPh sb="21" eb="22">
      <t>ブ</t>
    </rPh>
    <phoneticPr fontId="20"/>
  </si>
  <si>
    <t xml:space="preserve">                   共用部</t>
    <rPh sb="19" eb="21">
      <t>キョウヨウ</t>
    </rPh>
    <rPh sb="21" eb="22">
      <t>ブ</t>
    </rPh>
    <phoneticPr fontId="20"/>
  </si>
  <si>
    <t xml:space="preserve"> 事務所</t>
    <phoneticPr fontId="20"/>
  </si>
  <si>
    <t>㎡                  事務所</t>
    <phoneticPr fontId="20"/>
  </si>
  <si>
    <t>官公庁</t>
    <phoneticPr fontId="20"/>
  </si>
  <si>
    <t>㎡</t>
    <phoneticPr fontId="20"/>
  </si>
  <si>
    <t>㎡       幼稚園・保育園</t>
    <phoneticPr fontId="20"/>
  </si>
  <si>
    <t xml:space="preserve">                     高校</t>
    <phoneticPr fontId="20"/>
  </si>
  <si>
    <t xml:space="preserve">         大学・専門学校</t>
    <phoneticPr fontId="20"/>
  </si>
  <si>
    <t>㎡   デパート・スーパー</t>
    <phoneticPr fontId="20"/>
  </si>
  <si>
    <t>その他物販</t>
    <phoneticPr fontId="20"/>
  </si>
  <si>
    <t>㎡          劇場・ホール</t>
    <phoneticPr fontId="20"/>
  </si>
  <si>
    <t>展示施設</t>
    <phoneticPr fontId="20"/>
  </si>
  <si>
    <t>スポーツ施設</t>
    <phoneticPr fontId="20"/>
  </si>
  <si>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0"/>
  </si>
  <si>
    <t>S造、</t>
    <rPh sb="1" eb="2">
      <t>ゾウ</t>
    </rPh>
    <phoneticPr fontId="20"/>
  </si>
  <si>
    <t>レベル3</t>
  </si>
  <si>
    <t>レベル4</t>
  </si>
  <si>
    <t>レベル5</t>
  </si>
  <si>
    <t>ホテル</t>
    <phoneticPr fontId="20"/>
  </si>
  <si>
    <t>レベル3</t>
    <phoneticPr fontId="20"/>
  </si>
  <si>
    <t>レベル4</t>
    <phoneticPr fontId="20"/>
  </si>
  <si>
    <t>レベル5</t>
    <phoneticPr fontId="20"/>
  </si>
  <si>
    <t>ホテル</t>
    <phoneticPr fontId="20"/>
  </si>
  <si>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</si>
  <si>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LPG</t>
    <phoneticPr fontId="20"/>
  </si>
  <si>
    <t>kg-CO2/MJ</t>
    <phoneticPr fontId="20"/>
  </si>
  <si>
    <t>平成２４年度の電気事業者別実排出係数等の公表値</t>
    <phoneticPr fontId="20"/>
  </si>
  <si>
    <t>実排出係数及び代替値</t>
    <phoneticPr fontId="20"/>
  </si>
  <si>
    <t>調整後排出係数</t>
    <phoneticPr fontId="20"/>
  </si>
  <si>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</si>
  <si>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</si>
  <si>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</si>
  <si>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</si>
  <si>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</si>
  <si>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</si>
  <si>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</si>
  <si>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</si>
  <si>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</si>
  <si>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</si>
  <si>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</si>
  <si>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</si>
  <si>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</si>
  <si>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</si>
  <si>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</si>
  <si>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</si>
  <si>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</si>
  <si>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</si>
  <si>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</si>
  <si>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建物用途</t>
  </si>
  <si>
    <t>評価建物</t>
    <rPh sb="0" eb="2">
      <t>ヒョウカ</t>
    </rPh>
    <rPh sb="2" eb="4">
      <t>タテモノ</t>
    </rPh>
    <phoneticPr fontId="20"/>
  </si>
  <si>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</si>
  <si>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エネルギー種別一次エネルギー構成比率</t>
    <rPh sb="5" eb="7">
      <t>シュベツ</t>
    </rPh>
    <rPh sb="7" eb="9">
      <t>イチジ</t>
    </rPh>
    <rPh sb="14" eb="16">
      <t>コウセイ</t>
    </rPh>
    <rPh sb="16" eb="18">
      <t>ヒリツ</t>
    </rPh>
    <phoneticPr fontId="4"/>
  </si>
  <si>
    <t>CO2換算係数</t>
    <rPh sb="3" eb="5">
      <t>カンサン</t>
    </rPh>
    <rPh sb="5" eb="7">
      <t>ケイスウ</t>
    </rPh>
    <phoneticPr fontId="20"/>
  </si>
  <si>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</si>
  <si>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</si>
  <si>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</si>
  <si>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</si>
  <si>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</si>
  <si>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</si>
  <si>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</si>
  <si>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LPG</t>
  </si>
  <si>
    <t>官公庁</t>
  </si>
  <si>
    <t>学校等</t>
    <rPh sb="0" eb="2">
      <t>ガッコウ</t>
    </rPh>
    <rPh sb="2" eb="3">
      <t>トウ</t>
    </rPh>
    <phoneticPr fontId="20"/>
  </si>
  <si>
    <t>幼稚園・保育園</t>
  </si>
  <si>
    <t>小・中学校</t>
  </si>
  <si>
    <t>高校</t>
  </si>
  <si>
    <t>大学・専門学校</t>
  </si>
  <si>
    <t>物販店舗等</t>
    <rPh sb="0" eb="2">
      <t>ブッパン</t>
    </rPh>
    <rPh sb="2" eb="4">
      <t>テンポ</t>
    </rPh>
    <rPh sb="4" eb="5">
      <t>トウ</t>
    </rPh>
    <phoneticPr fontId="20"/>
  </si>
  <si>
    <t>その他物販</t>
  </si>
  <si>
    <t>集会所等</t>
    <rPh sb="0" eb="3">
      <t>シュウカイジョ</t>
    </rPh>
    <rPh sb="3" eb="4">
      <t>トウ</t>
    </rPh>
    <phoneticPr fontId="20"/>
  </si>
  <si>
    <t>劇場・ホール</t>
  </si>
  <si>
    <t>展示施設</t>
  </si>
  <si>
    <t>スポーツ施設</t>
  </si>
  <si>
    <t>ホテル・旅館</t>
  </si>
  <si>
    <t>専有部</t>
    <rPh sb="0" eb="2">
      <t>センユウ</t>
    </rPh>
    <rPh sb="2" eb="3">
      <t>ブ</t>
    </rPh>
    <phoneticPr fontId="20"/>
  </si>
  <si>
    <t>共用部</t>
    <rPh sb="0" eb="3">
      <t>キョウヨウブ</t>
    </rPh>
    <phoneticPr fontId="20"/>
  </si>
  <si>
    <t>出典：</t>
    <rPh sb="0" eb="2">
      <t>シュッテン</t>
    </rPh>
    <phoneticPr fontId="20"/>
  </si>
  <si>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0"/>
  </si>
  <si>
    <t>※集合住宅は灯油</t>
    <rPh sb="1" eb="3">
      <t>シュウゴウ</t>
    </rPh>
    <rPh sb="3" eb="5">
      <t>ジュウタク</t>
    </rPh>
    <rPh sb="6" eb="8">
      <t>トウユ</t>
    </rPh>
    <phoneticPr fontId="20"/>
  </si>
  <si>
    <t>「家庭部門エネルギー種別最終エネルギー消費（平成23年度におけるエネルギー需給実績、資源エネルギー庁）」</t>
    <phoneticPr fontId="20"/>
  </si>
  <si>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0"/>
  </si>
  <si>
    <t>LR1/3c 仕様基準評価の場合のCO2排出量算出に用いる一次エネルギー消費量</t>
    <rPh sb="7" eb="9">
      <t>シヨウ</t>
    </rPh>
    <rPh sb="9" eb="11">
      <t>キジュン</t>
    </rPh>
    <rPh sb="11" eb="13">
      <t>ヒョウカ</t>
    </rPh>
    <rPh sb="14" eb="16">
      <t>バアイ</t>
    </rPh>
    <phoneticPr fontId="20"/>
  </si>
  <si>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0"/>
  </si>
  <si>
    <t>設備の方式</t>
  </si>
  <si>
    <t>LR1/3cの</t>
    <phoneticPr fontId="20"/>
  </si>
  <si>
    <t>地域区分</t>
  </si>
  <si>
    <t>「－」の場合</t>
    <phoneticPr fontId="20"/>
  </si>
  <si>
    <t>暖房</t>
  </si>
  <si>
    <t>冷房</t>
  </si>
  <si>
    <t>評価ﾚﾍﾞﾙ</t>
    <phoneticPr fontId="20"/>
  </si>
  <si>
    <t>Ａａ0</t>
    <phoneticPr fontId="20"/>
  </si>
  <si>
    <t>Ａ</t>
  </si>
  <si>
    <t>ａ</t>
  </si>
  <si>
    <t>レベル１</t>
  </si>
  <si>
    <t>Ａａ1</t>
    <phoneticPr fontId="20"/>
  </si>
  <si>
    <t>レベル４</t>
  </si>
  <si>
    <t>Ａａ4</t>
    <phoneticPr fontId="20"/>
  </si>
  <si>
    <t>Ａｂ0</t>
    <phoneticPr fontId="20"/>
  </si>
  <si>
    <t>ｂ</t>
  </si>
  <si>
    <t>Ａｂ1</t>
    <phoneticPr fontId="20"/>
  </si>
  <si>
    <t>Ａｂ4</t>
    <phoneticPr fontId="20"/>
  </si>
  <si>
    <t>Ｂａ0</t>
    <phoneticPr fontId="20"/>
  </si>
  <si>
    <t>Ｂ</t>
  </si>
  <si>
    <t>Ｂａ1</t>
    <phoneticPr fontId="20"/>
  </si>
  <si>
    <t>Ｂａ4</t>
  </si>
  <si>
    <t>Ｂｂ0</t>
    <phoneticPr fontId="20"/>
  </si>
  <si>
    <t>Ｂｂ1</t>
    <phoneticPr fontId="20"/>
  </si>
  <si>
    <t>Ｂｂ4</t>
    <phoneticPr fontId="20"/>
  </si>
  <si>
    <t>Ｃａ0</t>
    <phoneticPr fontId="20"/>
  </si>
  <si>
    <t>Ｃ</t>
  </si>
  <si>
    <t>Ｃａ1</t>
    <phoneticPr fontId="20"/>
  </si>
  <si>
    <t>Ｃａ4</t>
    <phoneticPr fontId="20"/>
  </si>
  <si>
    <t>Ｃｂ0</t>
    <phoneticPr fontId="20"/>
  </si>
  <si>
    <t>Ｃｂ1</t>
    <phoneticPr fontId="20"/>
  </si>
  <si>
    <t>Ｃｂ4</t>
    <phoneticPr fontId="20"/>
  </si>
  <si>
    <t>平成２４年度の電気事業者別実排出係数等の公表値</t>
    <rPh sb="22" eb="23">
      <t>チ</t>
    </rPh>
    <phoneticPr fontId="20"/>
  </si>
  <si>
    <t>◇算定省令に基づく電気事業者ごとの実排出係数及び代替値</t>
    <phoneticPr fontId="20"/>
  </si>
  <si>
    <t>ｔ-CO2/kWh</t>
    <phoneticPr fontId="20"/>
  </si>
  <si>
    <t xml:space="preserve"> [1]実排出係数 </t>
    <phoneticPr fontId="20"/>
  </si>
  <si>
    <t>排出係数</t>
    <phoneticPr fontId="20"/>
  </si>
  <si>
    <t>(t-CO2/kWh)</t>
    <phoneticPr fontId="20"/>
  </si>
  <si>
    <t>　　③</t>
    <phoneticPr fontId="20"/>
  </si>
  <si>
    <t>代替値</t>
    <phoneticPr fontId="20"/>
  </si>
  <si>
    <t>　（３）上記以外の場合</t>
    <phoneticPr fontId="20"/>
  </si>
  <si>
    <t>(t-CO2/kWh)</t>
    <phoneticPr fontId="20"/>
  </si>
  <si>
    <t>CASBEE-建築(改修)2014年版</t>
    <rPh sb="7" eb="9">
      <t>ケンチク</t>
    </rPh>
    <rPh sb="10" eb="12">
      <t>カイシュウ</t>
    </rPh>
    <rPh sb="17" eb="19">
      <t>ネンバン</t>
    </rPh>
    <phoneticPr fontId="20"/>
  </si>
  <si>
    <t>１地域</t>
    <rPh sb="1" eb="3">
      <t>チイキ</t>
    </rPh>
    <phoneticPr fontId="20"/>
  </si>
  <si>
    <t>２地域</t>
    <rPh sb="1" eb="3">
      <t>チイキ</t>
    </rPh>
    <phoneticPr fontId="20"/>
  </si>
  <si>
    <t>３地域</t>
    <rPh sb="1" eb="3">
      <t>チイキ</t>
    </rPh>
    <phoneticPr fontId="20"/>
  </si>
  <si>
    <t>４地域</t>
    <rPh sb="1" eb="3">
      <t>チイキ</t>
    </rPh>
    <phoneticPr fontId="20"/>
  </si>
  <si>
    <t>５地域</t>
    <rPh sb="1" eb="3">
      <t>チイキ</t>
    </rPh>
    <phoneticPr fontId="20"/>
  </si>
  <si>
    <t>６地域</t>
    <rPh sb="1" eb="3">
      <t>チイキ</t>
    </rPh>
    <phoneticPr fontId="20"/>
  </si>
  <si>
    <t>７地域</t>
    <rPh sb="1" eb="3">
      <t>チイキ</t>
    </rPh>
    <phoneticPr fontId="20"/>
  </si>
  <si>
    <t>８地域</t>
    <rPh sb="1" eb="3">
      <t>チイキ</t>
    </rPh>
    <phoneticPr fontId="20"/>
  </si>
  <si>
    <t>小中（北海道）</t>
    <rPh sb="0" eb="1">
      <t>ショウ</t>
    </rPh>
    <rPh sb="1" eb="2">
      <t>チュウ</t>
    </rPh>
    <rPh sb="3" eb="6">
      <t>ホッカイドウ</t>
    </rPh>
    <phoneticPr fontId="20"/>
  </si>
  <si>
    <t>小中（その他）</t>
    <rPh sb="0" eb="2">
      <t>ショウチュウ</t>
    </rPh>
    <rPh sb="5" eb="6">
      <t>ホカ</t>
    </rPh>
    <phoneticPr fontId="20"/>
  </si>
  <si>
    <t>■LR1　「省エネルギー計画書」等からの必要事項の転記</t>
    <rPh sb="16" eb="17">
      <t>トウ</t>
    </rPh>
    <phoneticPr fontId="20"/>
  </si>
  <si>
    <t>[BPI]での評価</t>
    <rPh sb="7" eb="9">
      <t>ヒョウカ</t>
    </rPh>
    <phoneticPr fontId="20"/>
  </si>
  <si>
    <t>BPI=</t>
    <phoneticPr fontId="20"/>
  </si>
  <si>
    <t>非住宅用途</t>
    <rPh sb="0" eb="1">
      <t>ヒ</t>
    </rPh>
    <rPh sb="1" eb="3">
      <t>ジュウタク</t>
    </rPh>
    <rPh sb="3" eb="5">
      <t>ヨウト</t>
    </rPh>
    <phoneticPr fontId="20"/>
  </si>
  <si>
    <t>住宅用途</t>
    <rPh sb="0" eb="2">
      <t>ジュウタク</t>
    </rPh>
    <rPh sb="2" eb="4">
      <t>ヨウト</t>
    </rPh>
    <phoneticPr fontId="20"/>
  </si>
  <si>
    <t>モデル建物法[BPIm]での評価</t>
    <rPh sb="3" eb="5">
      <t>タテモノ</t>
    </rPh>
    <rPh sb="5" eb="6">
      <t>ホウ</t>
    </rPh>
    <rPh sb="14" eb="16">
      <t>ヒョウカ</t>
    </rPh>
    <phoneticPr fontId="20"/>
  </si>
  <si>
    <t>BPIm=</t>
    <phoneticPr fontId="20"/>
  </si>
  <si>
    <t>1</t>
    <phoneticPr fontId="20"/>
  </si>
  <si>
    <t>建物の外皮性能</t>
    <rPh sb="0" eb="2">
      <t>タテモノ</t>
    </rPh>
    <rPh sb="3" eb="5">
      <t>ガイヒ</t>
    </rPh>
    <rPh sb="5" eb="7">
      <t>セイノウ</t>
    </rPh>
    <phoneticPr fontId="20"/>
  </si>
  <si>
    <t>BPI</t>
    <phoneticPr fontId="20"/>
  </si>
  <si>
    <t>レベル</t>
    <phoneticPr fontId="20"/>
  </si>
  <si>
    <t>1～7地域</t>
    <rPh sb="3" eb="5">
      <t>チイキ</t>
    </rPh>
    <phoneticPr fontId="20"/>
  </si>
  <si>
    <t>品確法</t>
    <rPh sb="0" eb="3">
      <t>ヒンカクホウ</t>
    </rPh>
    <phoneticPr fontId="20"/>
  </si>
  <si>
    <t>BPIによる評価の場合</t>
    <rPh sb="6" eb="8">
      <t>ヒョウカ</t>
    </rPh>
    <rPh sb="9" eb="11">
      <t>バアイ</t>
    </rPh>
    <phoneticPr fontId="20"/>
  </si>
  <si>
    <t>BPImによる評価の場合</t>
    <rPh sb="7" eb="9">
      <t>ヒョウカ</t>
    </rPh>
    <rPh sb="10" eb="12">
      <t>バアイ</t>
    </rPh>
    <phoneticPr fontId="20"/>
  </si>
  <si>
    <t>地域</t>
    <rPh sb="0" eb="2">
      <t>チイキ</t>
    </rPh>
    <phoneticPr fontId="20"/>
  </si>
  <si>
    <t>BPIｍ</t>
    <phoneticPr fontId="20"/>
  </si>
  <si>
    <t>床面積</t>
    <rPh sb="0" eb="3">
      <t>ユカメンセキ</t>
    </rPh>
    <phoneticPr fontId="20"/>
  </si>
  <si>
    <t>㎡（工場除く）</t>
    <rPh sb="2" eb="4">
      <t>コウジョウ</t>
    </rPh>
    <rPh sb="4" eb="5">
      <t>ノゾ</t>
    </rPh>
    <phoneticPr fontId="20"/>
  </si>
  <si>
    <t>㎡</t>
    <phoneticPr fontId="20"/>
  </si>
  <si>
    <t>比率</t>
    <rPh sb="0" eb="2">
      <t>ヒリツ</t>
    </rPh>
    <phoneticPr fontId="20"/>
  </si>
  <si>
    <t>LR1/1. 建物外皮の熱負荷抑制</t>
    <rPh sb="7" eb="9">
      <t>タテモノ</t>
    </rPh>
    <rPh sb="9" eb="11">
      <t>ガイヒ</t>
    </rPh>
    <rPh sb="12" eb="13">
      <t>ネツ</t>
    </rPh>
    <rPh sb="13" eb="15">
      <t>フカ</t>
    </rPh>
    <rPh sb="15" eb="17">
      <t>ヨクセイ</t>
    </rPh>
    <phoneticPr fontId="20"/>
  </si>
  <si>
    <t>旧PAL低減率への換算</t>
    <rPh sb="0" eb="1">
      <t>キュウ</t>
    </rPh>
    <rPh sb="4" eb="6">
      <t>テイゲン</t>
    </rPh>
    <rPh sb="6" eb="7">
      <t>リツ</t>
    </rPh>
    <rPh sb="9" eb="11">
      <t>カンサン</t>
    </rPh>
    <phoneticPr fontId="20"/>
  </si>
  <si>
    <t>％</t>
    <phoneticPr fontId="20"/>
  </si>
  <si>
    <t>PAL*低減率</t>
    <rPh sb="4" eb="6">
      <t>テイゲン</t>
    </rPh>
    <rPh sb="6" eb="7">
      <t>リツ</t>
    </rPh>
    <phoneticPr fontId="20"/>
  </si>
  <si>
    <t>PAL低減率</t>
    <rPh sb="3" eb="5">
      <t>テイゲン</t>
    </rPh>
    <rPh sb="5" eb="6">
      <t>リツ</t>
    </rPh>
    <phoneticPr fontId="20"/>
  </si>
  <si>
    <t>[PAL＊低減率]＜2.5</t>
    <rPh sb="5" eb="7">
      <t>テイゲン</t>
    </rPh>
    <rPh sb="7" eb="8">
      <t>リツ</t>
    </rPh>
    <phoneticPr fontId="20"/>
  </si>
  <si>
    <t>2.5≦[PAL＊低減率]＜7.5</t>
    <rPh sb="9" eb="11">
      <t>テイゲン</t>
    </rPh>
    <rPh sb="11" eb="12">
      <t>リツ</t>
    </rPh>
    <phoneticPr fontId="20"/>
  </si>
  <si>
    <t>3</t>
    <phoneticPr fontId="20"/>
  </si>
  <si>
    <t>建物の一次エネルギー消費量</t>
    <rPh sb="0" eb="2">
      <t>タテモノ</t>
    </rPh>
    <rPh sb="3" eb="5">
      <t>イチジ</t>
    </rPh>
    <rPh sb="10" eb="13">
      <t>ショウヒリョウ</t>
    </rPh>
    <phoneticPr fontId="20"/>
  </si>
  <si>
    <t>7.5≦[PAL＊低減率]＜10</t>
    <rPh sb="9" eb="11">
      <t>テイゲン</t>
    </rPh>
    <rPh sb="11" eb="12">
      <t>リツ</t>
    </rPh>
    <phoneticPr fontId="20"/>
  </si>
  <si>
    <t>モデル建物法[BEIm]での評価</t>
    <rPh sb="3" eb="5">
      <t>タテモノ</t>
    </rPh>
    <rPh sb="5" eb="6">
      <t>ホウ</t>
    </rPh>
    <rPh sb="14" eb="16">
      <t>ヒョウカ</t>
    </rPh>
    <phoneticPr fontId="20"/>
  </si>
  <si>
    <t>専有部（全戸合計）</t>
    <rPh sb="0" eb="2">
      <t>センユウ</t>
    </rPh>
    <rPh sb="2" eb="3">
      <t>ブ</t>
    </rPh>
    <rPh sb="4" eb="6">
      <t>ゼンコ</t>
    </rPh>
    <rPh sb="6" eb="8">
      <t>ゴウケイ</t>
    </rPh>
    <phoneticPr fontId="20"/>
  </si>
  <si>
    <t>10≦[PAL＊低減率]</t>
    <rPh sb="8" eb="10">
      <t>テイゲン</t>
    </rPh>
    <rPh sb="10" eb="11">
      <t>リツ</t>
    </rPh>
    <phoneticPr fontId="20"/>
  </si>
  <si>
    <t>BEIｍ=</t>
    <phoneticPr fontId="20"/>
  </si>
  <si>
    <t>一次エネルギー消費率=</t>
    <rPh sb="0" eb="2">
      <t>イチジ</t>
    </rPh>
    <rPh sb="7" eb="9">
      <t>ショウヒ</t>
    </rPh>
    <rPh sb="9" eb="10">
      <t>リツ</t>
    </rPh>
    <phoneticPr fontId="20"/>
  </si>
  <si>
    <t>※専有部は家電・調理分除く</t>
    <rPh sb="1" eb="3">
      <t>センユウ</t>
    </rPh>
    <rPh sb="3" eb="4">
      <t>ブ</t>
    </rPh>
    <rPh sb="5" eb="7">
      <t>カデン</t>
    </rPh>
    <rPh sb="8" eb="10">
      <t>チョウリ</t>
    </rPh>
    <rPh sb="10" eb="11">
      <t>ブン</t>
    </rPh>
    <rPh sb="11" eb="12">
      <t>ノゾ</t>
    </rPh>
    <phoneticPr fontId="20"/>
  </si>
  <si>
    <t>BEIｍ（ｵﾝｻｲﾄ分含まない）=</t>
    <rPh sb="10" eb="11">
      <t>ブン</t>
    </rPh>
    <rPh sb="11" eb="12">
      <t>フク</t>
    </rPh>
    <phoneticPr fontId="20"/>
  </si>
  <si>
    <t>[BEI]での評価</t>
    <rPh sb="7" eb="9">
      <t>ヒョウカ</t>
    </rPh>
    <phoneticPr fontId="20"/>
  </si>
  <si>
    <t>LR1/3.設備システムの高効率化</t>
    <rPh sb="6" eb="8">
      <t>セツビ</t>
    </rPh>
    <rPh sb="13" eb="17">
      <t>コウコウリツカ</t>
    </rPh>
    <phoneticPr fontId="20"/>
  </si>
  <si>
    <t>LR1/3.2　実績値を用いた総合評価</t>
    <phoneticPr fontId="20"/>
  </si>
  <si>
    <t>(1)補正</t>
    <rPh sb="3" eb="5">
      <t>ホセイ</t>
    </rPh>
    <phoneticPr fontId="20"/>
  </si>
  <si>
    <t>(2)実測値</t>
    <rPh sb="3" eb="6">
      <t>ジッソクチ</t>
    </rPh>
    <phoneticPr fontId="20"/>
  </si>
  <si>
    <t>ERRへの換算</t>
    <rPh sb="5" eb="7">
      <t>カンサン</t>
    </rPh>
    <phoneticPr fontId="20"/>
  </si>
  <si>
    <t>■基準一次エネルギー消費量</t>
    <rPh sb="1" eb="3">
      <t>ｷｼﾞｭﾝ</t>
    </rPh>
    <rPh sb="3" eb="5">
      <t>ｲﾁｼﾞ</t>
    </rPh>
    <rPh sb="10" eb="13">
      <t>ｼｮｳﾋﾘｮｳ</t>
    </rPh>
    <phoneticPr fontId="30" type="noConversion"/>
  </si>
  <si>
    <t>GJ/年</t>
    <rPh sb="3" eb="4">
      <t>ネン</t>
    </rPh>
    <phoneticPr fontId="20"/>
  </si>
  <si>
    <t>うち、その他エネルギー消費量（家電・調理分）</t>
    <rPh sb="5" eb="6">
      <t>ホカ</t>
    </rPh>
    <rPh sb="11" eb="14">
      <t>ショウヒリョウ</t>
    </rPh>
    <rPh sb="15" eb="17">
      <t>カデン</t>
    </rPh>
    <rPh sb="18" eb="20">
      <t>チョウリ</t>
    </rPh>
    <rPh sb="20" eb="21">
      <t>ブン</t>
    </rPh>
    <phoneticPr fontId="20"/>
  </si>
  <si>
    <t>←簡易計算から転記してよい</t>
    <rPh sb="1" eb="3">
      <t>カンイ</t>
    </rPh>
    <rPh sb="3" eb="5">
      <t>ケイサン</t>
    </rPh>
    <rPh sb="7" eb="9">
      <t>テンキ</t>
    </rPh>
    <phoneticPr fontId="20"/>
  </si>
  <si>
    <t>■設計一次エネルギー消費量(1)</t>
    <rPh sb="1" eb="3">
      <t>ｾｯｹｲ</t>
    </rPh>
    <rPh sb="3" eb="5">
      <t>ｲﾁｼﾞ</t>
    </rPh>
    <rPh sb="10" eb="13">
      <t>ｼｮｳﾋﾘｮｳ</t>
    </rPh>
    <phoneticPr fontId="30" type="noConversion"/>
  </si>
  <si>
    <t>■設計一次エネルギー消費量(2)※</t>
    <rPh sb="1" eb="3">
      <t>ｾｯｹｲ</t>
    </rPh>
    <rPh sb="3" eb="5">
      <t>ｲﾁｼﾞ</t>
    </rPh>
    <rPh sb="10" eb="13">
      <t>ｼｮｳﾋﾘｮｳ</t>
    </rPh>
    <phoneticPr fontId="30" type="noConversion"/>
  </si>
  <si>
    <t>■太陽光発電等エネルギー総量（③ｵﾝｻｲﾄの取組）</t>
    <rPh sb="1" eb="4">
      <t>ﾀｲﾖｳｺｳ</t>
    </rPh>
    <rPh sb="4" eb="6">
      <t>ﾊﾂﾃﾞﾝ</t>
    </rPh>
    <rPh sb="6" eb="7">
      <t>ﾄｳ</t>
    </rPh>
    <rPh sb="12" eb="14">
      <t>ｿｳﾘｮｳ</t>
    </rPh>
    <rPh sb="22" eb="24">
      <t>ﾄﾘｸﾐ</t>
    </rPh>
    <phoneticPr fontId="30" type="noConversion"/>
  </si>
  <si>
    <t>BEI(1)</t>
    <phoneticPr fontId="20"/>
  </si>
  <si>
    <t>BEI(2)</t>
    <phoneticPr fontId="20"/>
  </si>
  <si>
    <t>ERRレベル</t>
    <phoneticPr fontId="20"/>
  </si>
  <si>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0"/>
  </si>
  <si>
    <t>　　③オンサイトの取組で評価するエネルギー消費削減量（太陽光発電分等）を足し戻した一次エネルギー量</t>
    <rPh sb="36" eb="37">
      <t>タ</t>
    </rPh>
    <rPh sb="38" eb="39">
      <t>モド</t>
    </rPh>
    <rPh sb="41" eb="43">
      <t>イチジ</t>
    </rPh>
    <rPh sb="48" eb="49">
      <t>リョウ</t>
    </rPh>
    <phoneticPr fontId="20"/>
  </si>
  <si>
    <t>■</t>
    <phoneticPr fontId="20"/>
  </si>
  <si>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0"/>
  </si>
  <si>
    <t>面積比率</t>
    <rPh sb="0" eb="2">
      <t>メンセキ</t>
    </rPh>
    <rPh sb="2" eb="4">
      <t>ヒリツ</t>
    </rPh>
    <phoneticPr fontId="20"/>
  </si>
  <si>
    <r>
      <t>延面積</t>
    </r>
    <r>
      <rPr>
        <sz val="10"/>
        <rFont val="ＭＳ Ｐゴシック"/>
        <family val="3"/>
        <charset val="128"/>
      </rPr>
      <t>(㎡)</t>
    </r>
    <rPh sb="0" eb="1">
      <t>ノ</t>
    </rPh>
    <rPh sb="1" eb="3">
      <t>メンセキ</t>
    </rPh>
    <phoneticPr fontId="20"/>
  </si>
  <si>
    <t>αM</t>
    <phoneticPr fontId="20"/>
  </si>
  <si>
    <t>住戸数</t>
    <rPh sb="0" eb="1">
      <t>ジュウ</t>
    </rPh>
    <rPh sb="1" eb="3">
      <t>コスウ</t>
    </rPh>
    <phoneticPr fontId="20"/>
  </si>
  <si>
    <t>βM</t>
    <phoneticPr fontId="20"/>
  </si>
  <si>
    <t>EM</t>
    <phoneticPr fontId="20"/>
  </si>
  <si>
    <t>計</t>
    <rPh sb="0" eb="1">
      <t>ケイ</t>
    </rPh>
    <phoneticPr fontId="20"/>
  </si>
  <si>
    <t>い（30㎡未満）</t>
    <rPh sb="5" eb="7">
      <t>ミマン</t>
    </rPh>
    <phoneticPr fontId="20"/>
  </si>
  <si>
    <t>ろ（30㎡以上、60㎡未満）</t>
    <rPh sb="5" eb="7">
      <t>イジョウ</t>
    </rPh>
    <rPh sb="11" eb="13">
      <t>ミマン</t>
    </rPh>
    <phoneticPr fontId="20"/>
  </si>
  <si>
    <t>は（60㎡以上、90㎡未満）</t>
    <rPh sb="5" eb="7">
      <t>イジョウ</t>
    </rPh>
    <rPh sb="11" eb="13">
      <t>ミマン</t>
    </rPh>
    <phoneticPr fontId="20"/>
  </si>
  <si>
    <t>に（90㎡以上、120㎡未満）</t>
    <rPh sb="5" eb="7">
      <t>イジョウ</t>
    </rPh>
    <rPh sb="12" eb="14">
      <t>ミマン</t>
    </rPh>
    <phoneticPr fontId="20"/>
  </si>
  <si>
    <t>ほ（120㎡以上）</t>
    <rPh sb="6" eb="8">
      <t>イジョウ</t>
    </rPh>
    <phoneticPr fontId="20"/>
  </si>
  <si>
    <t>算定プログラムによる評価</t>
    <rPh sb="0" eb="2">
      <t>サンテイ</t>
    </rPh>
    <rPh sb="10" eb="12">
      <t>ヒョウカ</t>
    </rPh>
    <phoneticPr fontId="20"/>
  </si>
  <si>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0"/>
  </si>
  <si>
    <t>採点レベル</t>
    <rPh sb="0" eb="2">
      <t>サイテン</t>
    </rPh>
    <phoneticPr fontId="20"/>
  </si>
  <si>
    <t>暖房方式</t>
    <rPh sb="0" eb="2">
      <t>ダンボウ</t>
    </rPh>
    <rPh sb="2" eb="4">
      <t>ホウシキ</t>
    </rPh>
    <phoneticPr fontId="20"/>
  </si>
  <si>
    <t>－</t>
  </si>
  <si>
    <t>冷房方式</t>
    <rPh sb="0" eb="2">
      <t>レイボウ</t>
    </rPh>
    <rPh sb="2" eb="4">
      <t>ホウシキ</t>
    </rPh>
    <phoneticPr fontId="20"/>
  </si>
  <si>
    <t>Ａ：単位住戸全体を暖房する方式</t>
  </si>
  <si>
    <t>ａ ：単位住戸全体を冷房する方式</t>
  </si>
  <si>
    <t>Ｂ：居室のみを暖房する方式（連続運転）</t>
  </si>
  <si>
    <t>ｂ ：居室のみを冷房する方式（間歇運転）</t>
  </si>
  <si>
    <t>－</t>
    <phoneticPr fontId="20"/>
  </si>
  <si>
    <t>Ｃ：居室のみを暖房する方式（間歇運転）</t>
  </si>
  <si>
    <t>－：上記以外（不明な場合を含む）</t>
    <rPh sb="2" eb="4">
      <t>ジョウキ</t>
    </rPh>
    <rPh sb="4" eb="6">
      <t>イガイ</t>
    </rPh>
    <rPh sb="7" eb="9">
      <t>フメイ</t>
    </rPh>
    <rPh sb="10" eb="12">
      <t>バアイ</t>
    </rPh>
    <rPh sb="13" eb="14">
      <t>フク</t>
    </rPh>
    <phoneticPr fontId="3"/>
  </si>
  <si>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0"/>
  </si>
  <si>
    <t>建築物の取組み（②）</t>
    <rPh sb="0" eb="3">
      <t>ケンチクブツ</t>
    </rPh>
    <rPh sb="4" eb="6">
      <t>トリク</t>
    </rPh>
    <phoneticPr fontId="20"/>
  </si>
  <si>
    <t>BEI(2)</t>
    <phoneticPr fontId="20"/>
  </si>
  <si>
    <t>自然エネルギー削減量</t>
    <rPh sb="0" eb="2">
      <t>シゼン</t>
    </rPh>
    <rPh sb="7" eb="9">
      <t>サクゲン</t>
    </rPh>
    <rPh sb="9" eb="10">
      <t>リョウ</t>
    </rPh>
    <phoneticPr fontId="20"/>
  </si>
  <si>
    <t>効率的な運用低減率</t>
    <rPh sb="0" eb="2">
      <t>コウリツ</t>
    </rPh>
    <rPh sb="2" eb="3">
      <t>テキ</t>
    </rPh>
    <rPh sb="4" eb="6">
      <t>ウンヨウ</t>
    </rPh>
    <rPh sb="6" eb="8">
      <t>テイゲン</t>
    </rPh>
    <rPh sb="8" eb="9">
      <t>リツ</t>
    </rPh>
    <phoneticPr fontId="20"/>
  </si>
  <si>
    <t>非住宅部</t>
    <rPh sb="0" eb="1">
      <t>ヒ</t>
    </rPh>
    <rPh sb="1" eb="3">
      <t>ジュウタク</t>
    </rPh>
    <rPh sb="3" eb="4">
      <t>ブ</t>
    </rPh>
    <phoneticPr fontId="20"/>
  </si>
  <si>
    <t>用途別面積</t>
    <rPh sb="0" eb="2">
      <t>ヨウト</t>
    </rPh>
    <rPh sb="2" eb="3">
      <t>ベツ</t>
    </rPh>
    <rPh sb="3" eb="5">
      <t>メンセキ</t>
    </rPh>
    <phoneticPr fontId="32"/>
  </si>
  <si>
    <t>一次エネルギー消費量</t>
    <rPh sb="0" eb="2">
      <t>イチジ</t>
    </rPh>
    <rPh sb="7" eb="10">
      <t>ショウヒリョウ</t>
    </rPh>
    <phoneticPr fontId="32"/>
  </si>
  <si>
    <t>換算係数</t>
    <rPh sb="0" eb="2">
      <t>カンサン</t>
    </rPh>
    <rPh sb="2" eb="4">
      <t>ケイスウ</t>
    </rPh>
    <phoneticPr fontId="32"/>
  </si>
  <si>
    <t>統計値　MJ/年㎡</t>
    <rPh sb="0" eb="2">
      <t>トウケイ</t>
    </rPh>
    <rPh sb="2" eb="3">
      <t>チ</t>
    </rPh>
    <rPh sb="7" eb="8">
      <t>ネン</t>
    </rPh>
    <phoneticPr fontId="20"/>
  </si>
  <si>
    <t>電気％</t>
    <rPh sb="0" eb="2">
      <t>デンキ</t>
    </rPh>
    <phoneticPr fontId="20"/>
  </si>
  <si>
    <t>非住宅部分</t>
    <rPh sb="0" eb="1">
      <t>ヒ</t>
    </rPh>
    <rPh sb="1" eb="3">
      <t>ジュウタク</t>
    </rPh>
    <rPh sb="3" eb="5">
      <t>ブブン</t>
    </rPh>
    <phoneticPr fontId="20"/>
  </si>
  <si>
    <t>(GJ/年）</t>
    <rPh sb="4" eb="5">
      <t>ネン</t>
    </rPh>
    <phoneticPr fontId="20"/>
  </si>
  <si>
    <t>■自然エネルギーの直接利用量</t>
    <rPh sb="1" eb="3">
      <t>シゼン</t>
    </rPh>
    <rPh sb="9" eb="11">
      <t>チョクセツ</t>
    </rPh>
    <rPh sb="11" eb="13">
      <t>リヨウ</t>
    </rPh>
    <rPh sb="13" eb="14">
      <t>リョウ</t>
    </rPh>
    <phoneticPr fontId="20"/>
  </si>
  <si>
    <t>設計段階</t>
    <rPh sb="0" eb="2">
      <t>セッケイ</t>
    </rPh>
    <rPh sb="2" eb="4">
      <t>ダンカイ</t>
    </rPh>
    <phoneticPr fontId="20"/>
  </si>
  <si>
    <t>LR1/2.1　定量評価</t>
    <rPh sb="8" eb="10">
      <t>テイリョウ</t>
    </rPh>
    <rPh sb="10" eb="12">
      <t>ヒョウカ</t>
    </rPh>
    <phoneticPr fontId="20"/>
  </si>
  <si>
    <t>MＪ／年㎡　</t>
    <phoneticPr fontId="20"/>
  </si>
  <si>
    <t>LR1/2. 自然ｴﾈﾙｷﾞｰ利用</t>
    <rPh sb="7" eb="9">
      <t>シゼン</t>
    </rPh>
    <rPh sb="15" eb="17">
      <t>リヨウ</t>
    </rPh>
    <phoneticPr fontId="20"/>
  </si>
  <si>
    <t>小中学校・集合住宅</t>
    <rPh sb="0" eb="4">
      <t>ショウチュウガッコウ</t>
    </rPh>
    <rPh sb="5" eb="7">
      <t>シュウゴウ</t>
    </rPh>
    <rPh sb="7" eb="9">
      <t>ジュウタク</t>
    </rPh>
    <phoneticPr fontId="20"/>
  </si>
  <si>
    <t>上記以外</t>
    <rPh sb="0" eb="2">
      <t>ジョウキ</t>
    </rPh>
    <rPh sb="2" eb="4">
      <t>イガイ</t>
    </rPh>
    <phoneticPr fontId="20"/>
  </si>
  <si>
    <t>■効率的な運用</t>
    <rPh sb="1" eb="4">
      <t>コウリツテキ</t>
    </rPh>
    <rPh sb="5" eb="7">
      <t>ウンヨウ</t>
    </rPh>
    <phoneticPr fontId="20"/>
  </si>
  <si>
    <t>低減率</t>
    <rPh sb="0" eb="2">
      <t>テイゲン</t>
    </rPh>
    <rPh sb="2" eb="3">
      <t>リツ</t>
    </rPh>
    <phoneticPr fontId="20"/>
  </si>
  <si>
    <t>LR1/4.　効率的な運用</t>
    <rPh sb="7" eb="10">
      <t>コウリツテキ</t>
    </rPh>
    <rPh sb="11" eb="13">
      <t>ウンヨウ</t>
    </rPh>
    <phoneticPr fontId="20"/>
  </si>
  <si>
    <t>住宅部</t>
    <rPh sb="0" eb="2">
      <t>ジュウタク</t>
    </rPh>
    <rPh sb="2" eb="3">
      <t>ブ</t>
    </rPh>
    <phoneticPr fontId="20"/>
  </si>
  <si>
    <t>専有部面積</t>
    <rPh sb="0" eb="2">
      <t>センユウ</t>
    </rPh>
    <rPh sb="2" eb="3">
      <t>ブ</t>
    </rPh>
    <rPh sb="3" eb="5">
      <t>メンセキ</t>
    </rPh>
    <phoneticPr fontId="20"/>
  </si>
  <si>
    <t>仕様基準でLR1/3cを評価した場合</t>
    <rPh sb="0" eb="2">
      <t>シヨウ</t>
    </rPh>
    <rPh sb="2" eb="4">
      <t>キジュン</t>
    </rPh>
    <rPh sb="12" eb="14">
      <t>ヒョウカ</t>
    </rPh>
    <rPh sb="16" eb="18">
      <t>バアイ</t>
    </rPh>
    <phoneticPr fontId="20"/>
  </si>
  <si>
    <t>集合住宅</t>
    <phoneticPr fontId="20"/>
  </si>
  <si>
    <t>ｍ3/㎡</t>
    <phoneticPr fontId="20"/>
  </si>
  <si>
    <t>ホテル</t>
    <phoneticPr fontId="20"/>
  </si>
  <si>
    <t>◆</t>
    <phoneticPr fontId="20"/>
  </si>
  <si>
    <t>N.A.</t>
    <phoneticPr fontId="20"/>
  </si>
  <si>
    <t>一次エネ消費量　GJ/年</t>
    <phoneticPr fontId="20"/>
  </si>
  <si>
    <t>参照建物①</t>
    <rPh sb="0" eb="2">
      <t>サンショウ</t>
    </rPh>
    <rPh sb="2" eb="4">
      <t>タテモノ</t>
    </rPh>
    <phoneticPr fontId="20"/>
  </si>
  <si>
    <t>評価建物②</t>
    <rPh sb="0" eb="2">
      <t>ヒョウカ</t>
    </rPh>
    <rPh sb="2" eb="4">
      <t>タテモノ</t>
    </rPh>
    <phoneticPr fontId="20"/>
  </si>
  <si>
    <r>
      <t>kg-CO</t>
    </r>
    <r>
      <rPr>
        <vertAlign val="subscript"/>
        <sz val="10"/>
        <rFont val="ＭＳ Ｐゴシック"/>
        <family val="3"/>
        <charset val="128"/>
      </rPr>
      <t>2</t>
    </r>
    <r>
      <rPr>
        <sz val="10"/>
        <rFont val="ＭＳ Ｐゴシック"/>
        <family val="3"/>
        <charset val="128"/>
      </rPr>
      <t>/MJ</t>
    </r>
    <phoneticPr fontId="20"/>
  </si>
  <si>
    <t>住宅　専有部（住戸全体）</t>
    <rPh sb="0" eb="2">
      <t>ジュウタク</t>
    </rPh>
    <rPh sb="3" eb="5">
      <t>センユウ</t>
    </rPh>
    <rPh sb="5" eb="6">
      <t>ブ</t>
    </rPh>
    <rPh sb="7" eb="9">
      <t>ジュウコ</t>
    </rPh>
    <rPh sb="9" eb="11">
      <t>ゼンタイ</t>
    </rPh>
    <phoneticPr fontId="20"/>
  </si>
  <si>
    <t>住宅　共用部</t>
    <rPh sb="0" eb="2">
      <t>ジュウタク</t>
    </rPh>
    <rPh sb="3" eb="6">
      <t>キョウヨウブ</t>
    </rPh>
    <phoneticPr fontId="20"/>
  </si>
  <si>
    <t>削減分</t>
    <rPh sb="0" eb="2">
      <t>サクゲン</t>
    </rPh>
    <rPh sb="2" eb="3">
      <t>ブン</t>
    </rPh>
    <phoneticPr fontId="20"/>
  </si>
  <si>
    <t>評価建物③</t>
    <rPh sb="0" eb="2">
      <t>ヒョウカ</t>
    </rPh>
    <rPh sb="2" eb="4">
      <t>タテモノ</t>
    </rPh>
    <phoneticPr fontId="20"/>
  </si>
  <si>
    <t>Q1</t>
    <phoneticPr fontId="30" type="noConversion"/>
  </si>
  <si>
    <t>室内環境</t>
    <phoneticPr fontId="20"/>
  </si>
  <si>
    <t>騒音</t>
    <phoneticPr fontId="20"/>
  </si>
  <si>
    <t>騒音</t>
    <phoneticPr fontId="20"/>
  </si>
  <si>
    <t>1.2.1</t>
    <phoneticPr fontId="20"/>
  </si>
  <si>
    <t>開口部遮音性能</t>
    <phoneticPr fontId="20"/>
  </si>
  <si>
    <t>1.2.2</t>
    <phoneticPr fontId="20"/>
  </si>
  <si>
    <t>1.2.3</t>
    <phoneticPr fontId="20"/>
  </si>
  <si>
    <t>1.2.3</t>
    <phoneticPr fontId="20"/>
  </si>
  <si>
    <t>1.2.4</t>
    <phoneticPr fontId="20"/>
  </si>
  <si>
    <t>2.1.1</t>
    <phoneticPr fontId="20"/>
  </si>
  <si>
    <t>2.1.1</t>
    <phoneticPr fontId="20"/>
  </si>
  <si>
    <t>室温</t>
    <phoneticPr fontId="20"/>
  </si>
  <si>
    <t>2.3.1</t>
    <phoneticPr fontId="20"/>
  </si>
  <si>
    <t>2.3.1</t>
    <phoneticPr fontId="20"/>
  </si>
  <si>
    <t>2.3.2</t>
    <phoneticPr fontId="20"/>
  </si>
  <si>
    <t>2.3.2</t>
    <phoneticPr fontId="20"/>
  </si>
  <si>
    <t>3.1.1</t>
    <phoneticPr fontId="20"/>
  </si>
  <si>
    <t>3.1.2</t>
    <phoneticPr fontId="20"/>
  </si>
  <si>
    <t>3.1.2</t>
    <phoneticPr fontId="20"/>
  </si>
  <si>
    <t>3.1.3</t>
    <phoneticPr fontId="20"/>
  </si>
  <si>
    <t>3.2.1</t>
    <phoneticPr fontId="20"/>
  </si>
  <si>
    <t>3.2.1</t>
    <phoneticPr fontId="20"/>
  </si>
  <si>
    <t>3.2.2</t>
    <phoneticPr fontId="20"/>
  </si>
  <si>
    <t>3.2.2</t>
    <phoneticPr fontId="20"/>
  </si>
  <si>
    <t>3.2.3</t>
    <phoneticPr fontId="20"/>
  </si>
  <si>
    <t>3.3.1</t>
    <phoneticPr fontId="20"/>
  </si>
  <si>
    <t>3.3.1</t>
    <phoneticPr fontId="20"/>
  </si>
  <si>
    <t>照度</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</si>
  <si>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</si>
  <si>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</si>
  <si>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</si>
  <si>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</si>
  <si>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</si>
  <si>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</si>
  <si>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</si>
  <si>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</si>
  <si>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4.2.1</t>
    <phoneticPr fontId="20"/>
  </si>
  <si>
    <t>4.2.2</t>
    <phoneticPr fontId="20"/>
  </si>
  <si>
    <t>4.2.2</t>
    <phoneticPr fontId="20"/>
  </si>
  <si>
    <t>4.2.3</t>
    <phoneticPr fontId="20"/>
  </si>
  <si>
    <t>4.2.4</t>
    <phoneticPr fontId="20"/>
  </si>
  <si>
    <t>給気計画</t>
    <phoneticPr fontId="20"/>
  </si>
  <si>
    <t>4.3.1</t>
    <phoneticPr fontId="20"/>
  </si>
  <si>
    <t>CO2の監視</t>
    <phoneticPr fontId="20"/>
  </si>
  <si>
    <t>4.3.2</t>
    <phoneticPr fontId="20"/>
  </si>
  <si>
    <t>喫煙の制御</t>
    <phoneticPr fontId="20"/>
  </si>
  <si>
    <t>Q2</t>
    <phoneticPr fontId="20"/>
  </si>
  <si>
    <t>サービス性能</t>
    <phoneticPr fontId="20"/>
  </si>
  <si>
    <t>1.1.1</t>
    <phoneticPr fontId="20"/>
  </si>
  <si>
    <t>1.1.2</t>
    <phoneticPr fontId="20"/>
  </si>
  <si>
    <t>高度情報通信設備対応</t>
    <phoneticPr fontId="20"/>
  </si>
  <si>
    <t>1.1.3</t>
    <phoneticPr fontId="20"/>
  </si>
  <si>
    <t>1.2.1</t>
    <phoneticPr fontId="20"/>
  </si>
  <si>
    <t>1.2.2</t>
    <phoneticPr fontId="20"/>
  </si>
  <si>
    <t>1.2.3</t>
    <phoneticPr fontId="20"/>
  </si>
  <si>
    <t>0</t>
    <phoneticPr fontId="20"/>
  </si>
  <si>
    <t>2.1.1</t>
    <phoneticPr fontId="20"/>
  </si>
  <si>
    <t>2.1.2</t>
    <phoneticPr fontId="20"/>
  </si>
  <si>
    <t>2.2.1</t>
    <phoneticPr fontId="20"/>
  </si>
  <si>
    <t>2.2.2</t>
    <phoneticPr fontId="20"/>
  </si>
  <si>
    <t>2.2.3</t>
    <phoneticPr fontId="20"/>
  </si>
  <si>
    <t>2.2.4</t>
    <phoneticPr fontId="20"/>
  </si>
  <si>
    <t>2.2.5</t>
    <phoneticPr fontId="20"/>
  </si>
  <si>
    <t>2.2.6</t>
    <phoneticPr fontId="20"/>
  </si>
  <si>
    <t>2.3.1</t>
    <phoneticPr fontId="20"/>
  </si>
  <si>
    <t>2.3.2</t>
    <phoneticPr fontId="20"/>
  </si>
  <si>
    <t>2.3.3</t>
    <phoneticPr fontId="20"/>
  </si>
  <si>
    <t>2.4.1</t>
    <phoneticPr fontId="20"/>
  </si>
  <si>
    <t>3.1.1</t>
    <phoneticPr fontId="20"/>
  </si>
  <si>
    <t>3.1.2</t>
    <phoneticPr fontId="20"/>
  </si>
  <si>
    <t>3.3.1</t>
    <phoneticPr fontId="20"/>
  </si>
  <si>
    <t>3.3.2</t>
    <phoneticPr fontId="20"/>
  </si>
  <si>
    <t>3.3.2</t>
    <phoneticPr fontId="20"/>
  </si>
  <si>
    <t>3.3.3</t>
    <phoneticPr fontId="20"/>
  </si>
  <si>
    <t>3.3.3</t>
    <phoneticPr fontId="20"/>
  </si>
  <si>
    <t>3.3.4</t>
    <phoneticPr fontId="20"/>
  </si>
  <si>
    <t>3.3.5</t>
    <phoneticPr fontId="20"/>
  </si>
  <si>
    <t>3.3.5</t>
    <phoneticPr fontId="20"/>
  </si>
  <si>
    <t>3.3.6</t>
    <phoneticPr fontId="20"/>
  </si>
  <si>
    <t>Q3</t>
    <phoneticPr fontId="20"/>
  </si>
  <si>
    <t>Q3</t>
    <phoneticPr fontId="20"/>
  </si>
  <si>
    <t>室外環境（敷地内）</t>
    <phoneticPr fontId="20"/>
  </si>
  <si>
    <t>室外環境（敷地内）</t>
    <phoneticPr fontId="20"/>
  </si>
  <si>
    <t>まちなみ・景観への配慮</t>
    <phoneticPr fontId="20"/>
  </si>
  <si>
    <t>まちなみ・景観への配慮</t>
    <phoneticPr fontId="20"/>
  </si>
  <si>
    <t>地域性・アメニティへの配慮</t>
    <phoneticPr fontId="20"/>
  </si>
  <si>
    <t>3.1</t>
    <phoneticPr fontId="20"/>
  </si>
  <si>
    <t>3.1</t>
    <phoneticPr fontId="20"/>
  </si>
  <si>
    <t>地域性への配慮、快適性の向上</t>
    <phoneticPr fontId="20"/>
  </si>
  <si>
    <t>地域性への配慮、快適性の向上</t>
    <phoneticPr fontId="20"/>
  </si>
  <si>
    <t>3.2</t>
    <phoneticPr fontId="20"/>
  </si>
  <si>
    <t>3.2</t>
    <phoneticPr fontId="20"/>
  </si>
  <si>
    <t>敷地内温熱環境の向上</t>
    <phoneticPr fontId="20"/>
  </si>
  <si>
    <t>敷地内温熱環境の向上</t>
    <phoneticPr fontId="20"/>
  </si>
  <si>
    <t>LR</t>
    <phoneticPr fontId="30" type="noConversion"/>
  </si>
  <si>
    <t>LR1</t>
    <phoneticPr fontId="30" type="noConversion"/>
  </si>
  <si>
    <t>LR</t>
    <phoneticPr fontId="20"/>
  </si>
  <si>
    <t>LR</t>
    <phoneticPr fontId="20"/>
  </si>
  <si>
    <t>エネルギー</t>
    <phoneticPr fontId="20"/>
  </si>
  <si>
    <t>エネルギー</t>
    <phoneticPr fontId="20"/>
  </si>
  <si>
    <t>建物外皮の熱負荷抑制</t>
    <rPh sb="0" eb="2">
      <t>タテモノ</t>
    </rPh>
    <rPh sb="2" eb="4">
      <t>ガイヒ</t>
    </rPh>
    <rPh sb="5" eb="6">
      <t>ネツ</t>
    </rPh>
    <rPh sb="6" eb="8">
      <t>フカ</t>
    </rPh>
    <rPh sb="8" eb="10">
      <t>ヨクセイ</t>
    </rPh>
    <phoneticPr fontId="20"/>
  </si>
  <si>
    <t>2.1</t>
    <phoneticPr fontId="20"/>
  </si>
  <si>
    <t>2.1</t>
    <phoneticPr fontId="20"/>
  </si>
  <si>
    <t>2.2</t>
    <phoneticPr fontId="20"/>
  </si>
  <si>
    <t>2.2</t>
    <phoneticPr fontId="20"/>
  </si>
  <si>
    <t>3a.3b</t>
    <phoneticPr fontId="20"/>
  </si>
  <si>
    <t>LR1 3</t>
    <phoneticPr fontId="20"/>
  </si>
  <si>
    <t>非住宅部分</t>
    <rPh sb="0" eb="1">
      <t>ﾋ</t>
    </rPh>
    <rPh sb="1" eb="3">
      <t>ｼﾞｭｳﾀｸ</t>
    </rPh>
    <rPh sb="3" eb="5">
      <t>ﾌﾞﾌﾞﾝ</t>
    </rPh>
    <phoneticPr fontId="30" type="noConversion"/>
  </si>
  <si>
    <t>3b.c</t>
    <phoneticPr fontId="20"/>
  </si>
  <si>
    <t>LR1 3b</t>
    <phoneticPr fontId="20"/>
  </si>
  <si>
    <t>LR1 3b</t>
    <phoneticPr fontId="20"/>
  </si>
  <si>
    <t>住宅以外の評価</t>
    <rPh sb="0" eb="2">
      <t>ｼﾞｭｳﾀｸ</t>
    </rPh>
    <rPh sb="2" eb="4">
      <t>ｲｶﾞｲ</t>
    </rPh>
    <rPh sb="5" eb="7">
      <t>ﾋｮｳｶ</t>
    </rPh>
    <phoneticPr fontId="30" type="noConversion"/>
  </si>
  <si>
    <t>4.1.1</t>
    <phoneticPr fontId="20"/>
  </si>
  <si>
    <t>LR1 4.1</t>
    <phoneticPr fontId="20"/>
  </si>
  <si>
    <t>LR1 4.1</t>
    <phoneticPr fontId="20"/>
  </si>
  <si>
    <t>モニタリング</t>
    <phoneticPr fontId="30" type="noConversion"/>
  </si>
  <si>
    <t>4.1.2</t>
    <phoneticPr fontId="20"/>
  </si>
  <si>
    <t>住宅の評価</t>
    <rPh sb="0" eb="2">
      <t>ｼﾞｭｳﾀｸ</t>
    </rPh>
    <rPh sb="3" eb="5">
      <t>ﾋｮｳｶ</t>
    </rPh>
    <phoneticPr fontId="30" type="noConversion"/>
  </si>
  <si>
    <t>4.2.1</t>
    <phoneticPr fontId="20"/>
  </si>
  <si>
    <t>LR1 4.2</t>
    <phoneticPr fontId="20"/>
  </si>
  <si>
    <t>LR1 4.2</t>
    <phoneticPr fontId="20"/>
  </si>
  <si>
    <t>モニタリング</t>
    <phoneticPr fontId="3"/>
  </si>
  <si>
    <t>運用管理体制</t>
    <rPh sb="0" eb="2">
      <t>ウンヨウ</t>
    </rPh>
    <rPh sb="2" eb="4">
      <t>カンリ</t>
    </rPh>
    <rPh sb="4" eb="6">
      <t>タイセイ</t>
    </rPh>
    <phoneticPr fontId="20"/>
  </si>
  <si>
    <t>LR2</t>
    <phoneticPr fontId="30" type="noConversion"/>
  </si>
  <si>
    <t>資源・マテリアル</t>
    <phoneticPr fontId="20"/>
  </si>
  <si>
    <t>雨水利用システム導入の有無</t>
    <phoneticPr fontId="20"/>
  </si>
  <si>
    <t>2.3</t>
    <phoneticPr fontId="20"/>
  </si>
  <si>
    <t>2.4</t>
    <phoneticPr fontId="20"/>
  </si>
  <si>
    <t>躯体材料以外におけるリサイクル材の使用</t>
  </si>
  <si>
    <t>2.5</t>
    <phoneticPr fontId="20"/>
  </si>
  <si>
    <t>持続可能な森林から産出された木材</t>
    <phoneticPr fontId="20"/>
  </si>
  <si>
    <t>2.6</t>
    <phoneticPr fontId="20"/>
  </si>
  <si>
    <t>3.2.1</t>
    <phoneticPr fontId="20"/>
  </si>
  <si>
    <t>消火剤</t>
    <phoneticPr fontId="20"/>
  </si>
  <si>
    <t>消火剤</t>
    <phoneticPr fontId="20"/>
  </si>
  <si>
    <t>3.2.2</t>
    <phoneticPr fontId="20"/>
  </si>
  <si>
    <t>発泡剤（断熱材等）</t>
    <phoneticPr fontId="20"/>
  </si>
  <si>
    <t>3.2.3</t>
    <phoneticPr fontId="20"/>
  </si>
  <si>
    <t>3.2.3</t>
    <phoneticPr fontId="20"/>
  </si>
  <si>
    <t>LR3</t>
    <phoneticPr fontId="30" type="noConversion"/>
  </si>
  <si>
    <t>敷地外環境</t>
    <phoneticPr fontId="20"/>
  </si>
  <si>
    <t>温熱環境悪化の改善</t>
    <phoneticPr fontId="20"/>
  </si>
  <si>
    <t>2.3</t>
    <phoneticPr fontId="20"/>
  </si>
  <si>
    <t>雨水排水負荷低減</t>
    <phoneticPr fontId="30" type="noConversion"/>
  </si>
  <si>
    <t>汚水処理負荷抑制</t>
    <phoneticPr fontId="30" type="noConversion"/>
  </si>
  <si>
    <t>2.3.3</t>
    <phoneticPr fontId="20"/>
  </si>
  <si>
    <t>2.3.4</t>
    <phoneticPr fontId="20"/>
  </si>
  <si>
    <t>3.1.1</t>
    <phoneticPr fontId="20"/>
  </si>
  <si>
    <t>3.1.3</t>
    <phoneticPr fontId="20"/>
  </si>
  <si>
    <t>風害・砂塵、日照阻害の抑制</t>
  </si>
  <si>
    <t>風害の抑制</t>
    <phoneticPr fontId="30" type="noConversion"/>
  </si>
  <si>
    <t>LR3 3.2</t>
    <phoneticPr fontId="20"/>
  </si>
  <si>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</si>
  <si>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</si>
  <si>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</si>
  <si>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</si>
  <si>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1.2.1</t>
    <phoneticPr fontId="20"/>
  </si>
  <si>
    <t>開口部遮音性能</t>
    <phoneticPr fontId="20"/>
  </si>
  <si>
    <t>1.2.2</t>
    <phoneticPr fontId="20"/>
  </si>
  <si>
    <t>1.2.4</t>
    <phoneticPr fontId="20"/>
  </si>
  <si>
    <t>照度均斉度</t>
    <phoneticPr fontId="20"/>
  </si>
  <si>
    <t>Q1</t>
    <phoneticPr fontId="30" type="noConversion"/>
  </si>
  <si>
    <t>室内環境</t>
    <phoneticPr fontId="20"/>
  </si>
  <si>
    <t>1.2.1</t>
    <phoneticPr fontId="20"/>
  </si>
  <si>
    <t>開口部遮音性能</t>
    <phoneticPr fontId="20"/>
  </si>
  <si>
    <t>1.2.2</t>
    <phoneticPr fontId="20"/>
  </si>
  <si>
    <t>1.2.3</t>
    <phoneticPr fontId="20"/>
  </si>
  <si>
    <t>1.2.4</t>
    <phoneticPr fontId="20"/>
  </si>
  <si>
    <t>2.1.1</t>
    <phoneticPr fontId="20"/>
  </si>
  <si>
    <t>室温</t>
    <phoneticPr fontId="20"/>
  </si>
  <si>
    <t>2.3.1</t>
    <phoneticPr fontId="20"/>
  </si>
  <si>
    <t>2.3.2</t>
    <phoneticPr fontId="20"/>
  </si>
  <si>
    <t>3.1.1</t>
    <phoneticPr fontId="20"/>
  </si>
  <si>
    <t>3.1.2</t>
    <phoneticPr fontId="20"/>
  </si>
  <si>
    <t>3.1.3</t>
    <phoneticPr fontId="20"/>
  </si>
  <si>
    <t>3.2.1</t>
    <phoneticPr fontId="20"/>
  </si>
  <si>
    <t>3.2.2</t>
    <phoneticPr fontId="20"/>
  </si>
  <si>
    <t>3.2.3</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</si>
  <si>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</si>
  <si>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</si>
  <si>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</si>
  <si>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</si>
  <si>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</si>
  <si>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</si>
  <si>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</si>
  <si>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</si>
  <si>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</si>
  <si>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2.1</t>
    <phoneticPr fontId="20"/>
  </si>
  <si>
    <t>2.2</t>
    <phoneticPr fontId="20"/>
  </si>
  <si>
    <t>温熱環境悪化の改善</t>
    <phoneticPr fontId="20"/>
  </si>
  <si>
    <t>2.3</t>
    <phoneticPr fontId="20"/>
  </si>
  <si>
    <t>2.3.1</t>
    <phoneticPr fontId="20"/>
  </si>
  <si>
    <t>雨水排水負荷低減</t>
    <phoneticPr fontId="30" type="noConversion"/>
  </si>
  <si>
    <t>2.3.2</t>
    <phoneticPr fontId="20"/>
  </si>
  <si>
    <t>汚水処理負荷抑制</t>
    <phoneticPr fontId="30" type="noConversion"/>
  </si>
  <si>
    <t>2.3.3</t>
    <phoneticPr fontId="20"/>
  </si>
  <si>
    <t>2.3.4</t>
    <phoneticPr fontId="20"/>
  </si>
  <si>
    <t>3.1</t>
    <phoneticPr fontId="20"/>
  </si>
  <si>
    <t>3.1.1</t>
    <phoneticPr fontId="20"/>
  </si>
  <si>
    <t>3.1.2</t>
    <phoneticPr fontId="20"/>
  </si>
  <si>
    <t>3.1.3</t>
    <phoneticPr fontId="20"/>
  </si>
  <si>
    <t>3.2</t>
    <phoneticPr fontId="20"/>
  </si>
  <si>
    <t>3.2.1</t>
    <phoneticPr fontId="20"/>
  </si>
  <si>
    <t>風害の抑制</t>
    <phoneticPr fontId="30" type="noConversion"/>
  </si>
  <si>
    <t>3.2.2</t>
    <phoneticPr fontId="20"/>
  </si>
  <si>
    <t>LR3 3.2</t>
    <phoneticPr fontId="20"/>
  </si>
  <si>
    <t>3.2.3</t>
    <phoneticPr fontId="20"/>
  </si>
  <si>
    <t>日照阻害の抑制</t>
    <phoneticPr fontId="30" type="noConversion"/>
  </si>
  <si>
    <t>3.3</t>
    <phoneticPr fontId="20"/>
  </si>
  <si>
    <t>3.3.1</t>
    <phoneticPr fontId="20"/>
  </si>
  <si>
    <t>屋外照明及び屋内照明のうち外に漏れる光への対策</t>
    <phoneticPr fontId="30" type="noConversion"/>
  </si>
  <si>
    <t>3.3.2</t>
    <phoneticPr fontId="20"/>
  </si>
  <si>
    <t>昼光の建物外壁による反射光（グレア）への対策</t>
    <phoneticPr fontId="30" type="noConversion"/>
  </si>
  <si>
    <t>Q1</t>
    <phoneticPr fontId="30" type="noConversion"/>
  </si>
  <si>
    <t>室内環境</t>
    <phoneticPr fontId="20"/>
  </si>
  <si>
    <t>騒音</t>
    <phoneticPr fontId="20"/>
  </si>
  <si>
    <t>1.2.1</t>
    <phoneticPr fontId="20"/>
  </si>
  <si>
    <t>開口部遮音性能</t>
    <phoneticPr fontId="20"/>
  </si>
  <si>
    <t>1.2.2</t>
    <phoneticPr fontId="20"/>
  </si>
  <si>
    <t>1.2.3</t>
    <phoneticPr fontId="20"/>
  </si>
  <si>
    <t>1.2.4</t>
    <phoneticPr fontId="20"/>
  </si>
  <si>
    <t>2.1.1</t>
    <phoneticPr fontId="20"/>
  </si>
  <si>
    <t>2.3.1</t>
    <phoneticPr fontId="20"/>
  </si>
  <si>
    <t>2.3.2</t>
    <phoneticPr fontId="20"/>
  </si>
  <si>
    <t>3.1.1</t>
    <phoneticPr fontId="20"/>
  </si>
  <si>
    <t>3.1.2</t>
    <phoneticPr fontId="20"/>
  </si>
  <si>
    <t>3.1.3</t>
    <phoneticPr fontId="20"/>
  </si>
  <si>
    <t>3.2.1</t>
    <phoneticPr fontId="20"/>
  </si>
  <si>
    <t>3.2.2</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</si>
  <si>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</si>
  <si>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</si>
  <si>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</si>
  <si>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</si>
  <si>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</si>
  <si>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</si>
  <si>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</si>
  <si>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</si>
  <si>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</si>
  <si>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 xml:space="preserve"> Q2 1.3</t>
    <phoneticPr fontId="20"/>
  </si>
  <si>
    <t xml:space="preserve"> Q2 2</t>
    <phoneticPr fontId="20"/>
  </si>
  <si>
    <t xml:space="preserve"> Q2 2.3</t>
    <phoneticPr fontId="20"/>
  </si>
  <si>
    <t>3.3.4</t>
    <phoneticPr fontId="20"/>
  </si>
  <si>
    <t>3.3.6</t>
    <phoneticPr fontId="20"/>
  </si>
  <si>
    <t>地域性・アメニティへの配慮</t>
    <phoneticPr fontId="20"/>
  </si>
  <si>
    <t>LR</t>
    <phoneticPr fontId="30" type="noConversion"/>
  </si>
  <si>
    <t>LR1</t>
    <phoneticPr fontId="30" type="noConversion"/>
  </si>
  <si>
    <t>3a.3b</t>
    <phoneticPr fontId="20"/>
  </si>
  <si>
    <t>LR1 3.1</t>
    <phoneticPr fontId="20"/>
  </si>
  <si>
    <t>3b.c</t>
    <phoneticPr fontId="20"/>
  </si>
  <si>
    <t>LR1 3.2</t>
    <phoneticPr fontId="20"/>
  </si>
  <si>
    <t>実績値を用いた総合評価</t>
  </si>
  <si>
    <t>モニタリング</t>
    <phoneticPr fontId="30" type="noConversion"/>
  </si>
  <si>
    <t>住まい方の提示</t>
    <rPh sb="5" eb="7">
      <t>テイジ</t>
    </rPh>
    <phoneticPr fontId="3"/>
  </si>
  <si>
    <t>エネルギーの管理と制御</t>
  </si>
  <si>
    <t>LR2</t>
    <phoneticPr fontId="30" type="noConversion"/>
  </si>
  <si>
    <t>資源・マテリアル</t>
    <phoneticPr fontId="20"/>
  </si>
  <si>
    <t>雨水利用システム導入の有無</t>
    <phoneticPr fontId="20"/>
  </si>
  <si>
    <t>2.4</t>
    <phoneticPr fontId="20"/>
  </si>
  <si>
    <t>2.5</t>
    <phoneticPr fontId="20"/>
  </si>
  <si>
    <t>持続可能な森林から産出された木材</t>
    <phoneticPr fontId="20"/>
  </si>
  <si>
    <t>2.6</t>
    <phoneticPr fontId="20"/>
  </si>
  <si>
    <t>LR3</t>
    <phoneticPr fontId="30" type="noConversion"/>
  </si>
  <si>
    <t>敷地外環境</t>
    <phoneticPr fontId="20"/>
  </si>
  <si>
    <t>風害、日照阻害の抑制</t>
    <phoneticPr fontId="30" type="noConversion"/>
  </si>
  <si>
    <t>LR1 3.1</t>
    <phoneticPr fontId="20"/>
  </si>
  <si>
    <t>LR1 3.2</t>
    <phoneticPr fontId="20"/>
  </si>
  <si>
    <t>温熱環境悪化の改善</t>
    <phoneticPr fontId="20"/>
  </si>
  <si>
    <t>雨水排水負荷低減</t>
    <phoneticPr fontId="30" type="noConversion"/>
  </si>
  <si>
    <t>汚水処理負荷抑制</t>
    <phoneticPr fontId="30" type="noConversion"/>
  </si>
  <si>
    <t>2.3.4</t>
    <phoneticPr fontId="20"/>
  </si>
  <si>
    <t>3.1.3</t>
    <phoneticPr fontId="20"/>
  </si>
  <si>
    <t>風害、日照阻害の抑制</t>
    <phoneticPr fontId="30" type="noConversion"/>
  </si>
  <si>
    <t>風害の抑制</t>
    <phoneticPr fontId="30" type="noConversion"/>
  </si>
  <si>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</si>
  <si>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</si>
  <si>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</si>
  <si>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</si>
  <si>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t>
    <phoneticPr fontId="20"/>
  </si>
  <si>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0"/>
  </si>
  <si>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0"/>
  </si>
  <si>
    <t>GJ/年</t>
    <phoneticPr fontId="20"/>
  </si>
  <si>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0"/>
  </si>
  <si>
    <t>その他</t>
    <rPh sb="2" eb="3">
      <t>ホカ</t>
    </rPh>
    <phoneticPr fontId="4"/>
  </si>
  <si>
    <t>　※運用CO2算定のための入力項目</t>
    <rPh sb="2" eb="4">
      <t>ウンヨウ</t>
    </rPh>
    <rPh sb="7" eb="9">
      <t>サンテイ</t>
    </rPh>
    <rPh sb="13" eb="15">
      <t>ニュウリョク</t>
    </rPh>
    <rPh sb="15" eb="17">
      <t>コウモク</t>
    </rPh>
    <phoneticPr fontId="20"/>
  </si>
  <si>
    <t>2)　除外部分の入力</t>
    <phoneticPr fontId="20"/>
  </si>
  <si>
    <t>対象部分の床面積(㎡)</t>
    <rPh sb="0" eb="2">
      <t>タイショウ</t>
    </rPh>
    <rPh sb="2" eb="4">
      <t>ブブン</t>
    </rPh>
    <rPh sb="5" eb="6">
      <t>ユカ</t>
    </rPh>
    <rPh sb="6" eb="8">
      <t>メンセキ</t>
    </rPh>
    <phoneticPr fontId="20"/>
  </si>
  <si>
    <t>※備考；　非住宅部分の延床面積</t>
    <rPh sb="1" eb="3">
      <t>ビコウ</t>
    </rPh>
    <rPh sb="5" eb="6">
      <t>ヒ</t>
    </rPh>
    <rPh sb="6" eb="8">
      <t>ジュウタク</t>
    </rPh>
    <rPh sb="8" eb="10">
      <t>ブブン</t>
    </rPh>
    <phoneticPr fontId="20"/>
  </si>
  <si>
    <t>境界値a</t>
    <phoneticPr fontId="20"/>
  </si>
  <si>
    <t>境界値b</t>
    <phoneticPr fontId="20"/>
  </si>
  <si>
    <t>ﾃﾞﾊﾟｰﾄ･ｽｰﾊﾟｰ</t>
  </si>
  <si>
    <t>ﾃﾞﾊﾟｰﾄ･ｽｰﾊﾟｰ</t>
    <phoneticPr fontId="20"/>
  </si>
  <si>
    <t>物販店</t>
    <phoneticPr fontId="20"/>
  </si>
  <si>
    <t>飲食店</t>
    <phoneticPr fontId="20"/>
  </si>
  <si>
    <t>ホテル</t>
    <phoneticPr fontId="20"/>
  </si>
  <si>
    <t>（メインシートより）</t>
    <phoneticPr fontId="20"/>
  </si>
  <si>
    <t>MJ/㎡年</t>
    <phoneticPr fontId="20"/>
  </si>
  <si>
    <t>a</t>
    <phoneticPr fontId="20"/>
  </si>
  <si>
    <t>b</t>
    <phoneticPr fontId="20"/>
  </si>
  <si>
    <t>c</t>
    <phoneticPr fontId="20"/>
  </si>
  <si>
    <t>d</t>
    <phoneticPr fontId="20"/>
  </si>
  <si>
    <t>e</t>
    <phoneticPr fontId="20"/>
  </si>
  <si>
    <t>f</t>
    <phoneticPr fontId="20"/>
  </si>
  <si>
    <t>g</t>
    <phoneticPr fontId="20"/>
  </si>
  <si>
    <t>ﾃﾞﾊﾟｰﾄ･ｽｰﾊﾟｰ</t>
    <phoneticPr fontId="20"/>
  </si>
  <si>
    <t>物販店</t>
    <phoneticPr fontId="20"/>
  </si>
  <si>
    <t>飲食店</t>
    <phoneticPr fontId="20"/>
  </si>
  <si>
    <t>ホテル</t>
    <phoneticPr fontId="20"/>
  </si>
  <si>
    <t>kg-CO2/MJ</t>
    <phoneticPr fontId="20"/>
  </si>
  <si>
    <t>改修後</t>
    <rPh sb="0" eb="2">
      <t>カイシュウ</t>
    </rPh>
    <rPh sb="2" eb="3">
      <t>ゴ</t>
    </rPh>
    <phoneticPr fontId="20"/>
  </si>
  <si>
    <t>評価建物</t>
    <rPh sb="0" eb="2">
      <t>ヒョウカ</t>
    </rPh>
    <rPh sb="2" eb="4">
      <t>タテモノ</t>
    </rPh>
    <phoneticPr fontId="20"/>
  </si>
  <si>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0"/>
  </si>
  <si>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0"/>
  </si>
  <si>
    <t>対象外</t>
    <rPh sb="0" eb="3">
      <t>タイショウガイ</t>
    </rPh>
    <phoneticPr fontId="20"/>
  </si>
  <si>
    <t>改修前</t>
    <rPh sb="0" eb="2">
      <t>カイシュウ</t>
    </rPh>
    <rPh sb="2" eb="3">
      <t>マエ</t>
    </rPh>
    <phoneticPr fontId="20"/>
  </si>
  <si>
    <t>改修後</t>
    <rPh sb="0" eb="2">
      <t>カイシュウ</t>
    </rPh>
    <rPh sb="2" eb="3">
      <t>ゴ</t>
    </rPh>
    <phoneticPr fontId="20"/>
  </si>
  <si>
    <t>評価建物のLR1の取り組みによる省エネルギー量から推計</t>
    <rPh sb="0" eb="2">
      <t>ヒョウカ</t>
    </rPh>
    <rPh sb="2" eb="4">
      <t>タテモノ</t>
    </rPh>
    <rPh sb="9" eb="10">
      <t>ト</t>
    </rPh>
    <rPh sb="11" eb="12">
      <t>ク</t>
    </rPh>
    <rPh sb="16" eb="17">
      <t>ショウ</t>
    </rPh>
    <rPh sb="22" eb="23">
      <t>リョウ</t>
    </rPh>
    <rPh sb="23" eb="24">
      <t>スイリョウ</t>
    </rPh>
    <rPh sb="25" eb="27">
      <t>スイケイ</t>
    </rPh>
    <phoneticPr fontId="20"/>
  </si>
  <si>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0"/>
  </si>
  <si>
    <t>改修しない</t>
    <rPh sb="0" eb="2">
      <t>カイシュウ</t>
    </rPh>
    <phoneticPr fontId="20"/>
  </si>
  <si>
    <t>新築</t>
    <rPh sb="0" eb="2">
      <t>シンチク</t>
    </rPh>
    <phoneticPr fontId="20"/>
  </si>
  <si>
    <t>既存</t>
    <rPh sb="0" eb="2">
      <t>キソン</t>
    </rPh>
    <phoneticPr fontId="20"/>
  </si>
  <si>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0"/>
  </si>
  <si>
    <t>一次ｴﾈﾙｷﾞｰあたり　非住宅</t>
    <rPh sb="0" eb="2">
      <t>イチジ</t>
    </rPh>
    <rPh sb="12" eb="13">
      <t>ヒ</t>
    </rPh>
    <rPh sb="13" eb="15">
      <t>ジュウタク</t>
    </rPh>
    <phoneticPr fontId="20"/>
  </si>
  <si>
    <t>同上　　住宅（専有部）</t>
    <rPh sb="0" eb="2">
      <t>ドウジョウ</t>
    </rPh>
    <rPh sb="4" eb="6">
      <t>ジュウタク</t>
    </rPh>
    <rPh sb="7" eb="9">
      <t>センユウ</t>
    </rPh>
    <rPh sb="9" eb="10">
      <t>ブ</t>
    </rPh>
    <phoneticPr fontId="20"/>
  </si>
  <si>
    <r>
      <t>kg-CO</t>
    </r>
    <r>
      <rPr>
        <vertAlign val="subscript"/>
        <sz val="10"/>
        <rFont val="ＭＳ Ｐゴシック"/>
        <family val="3"/>
        <charset val="128"/>
      </rPr>
      <t>2</t>
    </r>
    <r>
      <rPr>
        <sz val="10"/>
        <rFont val="ＭＳ Ｐゴシック"/>
        <family val="3"/>
        <charset val="128"/>
      </rPr>
      <t>/ｋWh</t>
    </r>
    <phoneticPr fontId="20"/>
  </si>
  <si>
    <t>④上記+
　オフサイト手法</t>
    <phoneticPr fontId="20"/>
  </si>
  <si>
    <t>ratio</t>
    <phoneticPr fontId="20"/>
  </si>
  <si>
    <t>2014年9月1日～2014年12月10日</t>
    <rPh sb="4" eb="5">
      <t>ネン</t>
    </rPh>
    <rPh sb="6" eb="7">
      <t>ガツ</t>
    </rPh>
    <rPh sb="8" eb="9">
      <t>ニチ</t>
    </rPh>
    <rPh sb="14" eb="15">
      <t>ネン</t>
    </rPh>
    <rPh sb="17" eb="18">
      <t>ガツ</t>
    </rPh>
    <rPh sb="20" eb="21">
      <t>ニチ</t>
    </rPh>
    <phoneticPr fontId="20"/>
  </si>
  <si>
    <t>負荷変動・追従制御性</t>
    <phoneticPr fontId="20"/>
  </si>
  <si>
    <t>温度・湿度制御</t>
    <phoneticPr fontId="20"/>
  </si>
  <si>
    <t>時間外空調に対する配慮</t>
    <rPh sb="0" eb="3">
      <t>ジカンガイ</t>
    </rPh>
    <rPh sb="3" eb="5">
      <t>クウチョウ</t>
    </rPh>
    <rPh sb="6" eb="7">
      <t>タイ</t>
    </rPh>
    <rPh sb="9" eb="11">
      <t>ハイリョ</t>
    </rPh>
    <phoneticPr fontId="20"/>
  </si>
  <si>
    <t>照度</t>
    <rPh sb="0" eb="2">
      <t>ショウド</t>
    </rPh>
    <phoneticPr fontId="20"/>
  </si>
  <si>
    <t>照度均斉度</t>
    <rPh sb="0" eb="2">
      <t>ショウド</t>
    </rPh>
    <rPh sb="2" eb="3">
      <t>タモツ</t>
    </rPh>
    <rPh sb="3" eb="4">
      <t>サイ</t>
    </rPh>
    <rPh sb="4" eb="5">
      <t>タビ</t>
    </rPh>
    <phoneticPr fontId="20"/>
  </si>
  <si>
    <t>集合住宅以外の評価(3.1a. 3.1b)</t>
    <rPh sb="0" eb="2">
      <t>シュウゴウ</t>
    </rPh>
    <rPh sb="2" eb="4">
      <t>ジュウタク</t>
    </rPh>
    <rPh sb="4" eb="6">
      <t>イガイ</t>
    </rPh>
    <rPh sb="7" eb="9">
      <t>ヒョウカ</t>
    </rPh>
    <phoneticPr fontId="20"/>
  </si>
  <si>
    <t>集合住宅の評価(3.1c)</t>
    <rPh sb="0" eb="2">
      <t>シュウゴウ</t>
    </rPh>
    <rPh sb="2" eb="4">
      <t>ジュウタク</t>
    </rPh>
    <rPh sb="5" eb="7">
      <t>ヒョウカ</t>
    </rPh>
    <phoneticPr fontId="20"/>
  </si>
  <si>
    <t>実績値を用いた総合評価</t>
    <phoneticPr fontId="20"/>
  </si>
  <si>
    <t>集合住宅以外の評価</t>
    <rPh sb="0" eb="2">
      <t>ｼｭｳｺﾞｳ</t>
    </rPh>
    <rPh sb="2" eb="4">
      <t>ｼﾞｭｳﾀｸ</t>
    </rPh>
    <rPh sb="4" eb="6">
      <t>ｲｶﾞｲ</t>
    </rPh>
    <rPh sb="7" eb="9">
      <t>ﾋｮｳｶ</t>
    </rPh>
    <phoneticPr fontId="30" type="noConversion"/>
  </si>
  <si>
    <t>モニタリング</t>
    <phoneticPr fontId="20"/>
  </si>
  <si>
    <t>集合住宅の評価</t>
    <rPh sb="0" eb="2">
      <t>ｼｭｳｺﾞｳ</t>
    </rPh>
    <rPh sb="2" eb="4">
      <t>ｼﾞｭｳﾀｸ</t>
    </rPh>
    <rPh sb="5" eb="7">
      <t>ﾋｮｳｶ</t>
    </rPh>
    <phoneticPr fontId="30" type="noConversion"/>
  </si>
  <si>
    <t>躯体材料以外におけるリサイクル材の使用</t>
    <rPh sb="0" eb="2">
      <t>クタイ</t>
    </rPh>
    <rPh sb="2" eb="4">
      <t>ザイリョウ</t>
    </rPh>
    <rPh sb="4" eb="6">
      <t>イガイ</t>
    </rPh>
    <rPh sb="15" eb="16">
      <t>ザイ</t>
    </rPh>
    <rPh sb="17" eb="19">
      <t>シヨウ</t>
    </rPh>
    <phoneticPr fontId="21"/>
  </si>
  <si>
    <t>EB</t>
    <phoneticPr fontId="20"/>
  </si>
  <si>
    <t>建物外皮の熱負荷抑制</t>
  </si>
  <si>
    <t>自然エネルギー利用</t>
  </si>
  <si>
    <t>2.1</t>
  </si>
  <si>
    <t>2.2</t>
  </si>
  <si>
    <t>設備システムの高効率化</t>
  </si>
  <si>
    <t>3a.3b</t>
  </si>
  <si>
    <t>非住宅部分</t>
  </si>
  <si>
    <t>3b.c</t>
  </si>
  <si>
    <t>集合住宅の評価</t>
  </si>
  <si>
    <t>効率的運用</t>
  </si>
  <si>
    <t>住宅以外の評価</t>
  </si>
  <si>
    <t>4.1.1</t>
  </si>
  <si>
    <t>モニタリング</t>
  </si>
  <si>
    <t>4.1.2</t>
  </si>
  <si>
    <t>運用管理体制</t>
  </si>
  <si>
    <t>住宅の評価</t>
  </si>
  <si>
    <t>4.2.1</t>
  </si>
  <si>
    <t>住まい方の提示</t>
  </si>
  <si>
    <t>4.2.2</t>
  </si>
  <si>
    <t>2a</t>
  </si>
  <si>
    <t>2a</t>
    <phoneticPr fontId="20"/>
  </si>
  <si>
    <t>2b</t>
  </si>
  <si>
    <t>2b</t>
    <phoneticPr fontId="20"/>
  </si>
  <si>
    <t>2a</t>
    <phoneticPr fontId="20"/>
  </si>
  <si>
    <t>2b</t>
    <phoneticPr fontId="20"/>
  </si>
  <si>
    <t>LR1 2</t>
    <phoneticPr fontId="20"/>
  </si>
  <si>
    <t>小中学校・集合住宅</t>
  </si>
  <si>
    <t>上記以外</t>
  </si>
  <si>
    <t>８地域</t>
  </si>
  <si>
    <t xml:space="preserve"> 事務所、庁舎、郵便局 など</t>
    <rPh sb="1" eb="3">
      <t>ジム</t>
    </rPh>
    <rPh sb="3" eb="4">
      <t>ショ</t>
    </rPh>
    <rPh sb="5" eb="7">
      <t>チョウシャ</t>
    </rPh>
    <rPh sb="8" eb="11">
      <t>ユウビンキョク</t>
    </rPh>
    <phoneticPr fontId="20"/>
  </si>
  <si>
    <r>
      <t>kg-CO</t>
    </r>
    <r>
      <rPr>
        <vertAlign val="subscript"/>
        <sz val="10"/>
        <rFont val="ＭＳ Ｐゴシック"/>
        <family val="3"/>
        <charset val="128"/>
      </rPr>
      <t>2</t>
    </r>
    <r>
      <rPr>
        <sz val="10"/>
        <rFont val="ＭＳ Ｐゴシック"/>
        <family val="3"/>
        <charset val="128"/>
      </rPr>
      <t>/㎡</t>
    </r>
    <phoneticPr fontId="20"/>
  </si>
  <si>
    <t>○○</t>
  </si>
  <si>
    <t>■算定プログラムを使わない場合の評価　 (以下の３カ所を必ず選択して下さい）</t>
    <rPh sb="1" eb="3">
      <t>ｻﾝﾃｲ</t>
    </rPh>
    <rPh sb="9" eb="10">
      <t>ﾂｶ</t>
    </rPh>
    <rPh sb="13" eb="15">
      <t>ﾊﾞｱｲ</t>
    </rPh>
    <rPh sb="16" eb="18">
      <t>ﾋｮｳｶ</t>
    </rPh>
    <rPh sb="21" eb="23">
      <t>ｲｶ</t>
    </rPh>
    <rPh sb="26" eb="27">
      <t>ｼｮ</t>
    </rPh>
    <rPh sb="28" eb="29">
      <t>ｶﾅﾗ</t>
    </rPh>
    <rPh sb="30" eb="32">
      <t>ｾﾝﾀｸ</t>
    </rPh>
    <rPh sb="34" eb="35">
      <t>ｸﾀﾞ</t>
    </rPh>
    <phoneticPr fontId="30" type="noConversion"/>
  </si>
  <si>
    <t>CASBEE-BD_RN_2014(v.2.0)</t>
    <phoneticPr fontId="20"/>
  </si>
  <si>
    <t>㎡ うち省エネ計画書対象面積</t>
    <rPh sb="4" eb="5">
      <t>ショウ</t>
    </rPh>
    <rPh sb="7" eb="10">
      <t>ケイカクショ</t>
    </rPh>
    <rPh sb="10" eb="12">
      <t>タイショウ</t>
    </rPh>
    <rPh sb="12" eb="14">
      <t>メンセキ</t>
    </rPh>
    <phoneticPr fontId="20"/>
  </si>
  <si>
    <t>㎡</t>
    <phoneticPr fontId="20"/>
  </si>
  <si>
    <t>LCCO2用床面積</t>
    <rPh sb="5" eb="6">
      <t>ヨウ</t>
    </rPh>
    <rPh sb="6" eb="9">
      <t>ユカメンセキ</t>
    </rPh>
    <phoneticPr fontId="20"/>
  </si>
  <si>
    <t>②工場部分（省エネルギー計算対象部分）※</t>
    <rPh sb="1" eb="3">
      <t>コウジョウ</t>
    </rPh>
    <rPh sb="3" eb="5">
      <t>ブブン</t>
    </rPh>
    <rPh sb="6" eb="7">
      <t>ショウ</t>
    </rPh>
    <rPh sb="12" eb="14">
      <t>ケイサン</t>
    </rPh>
    <rPh sb="14" eb="16">
      <t>タイショウ</t>
    </rPh>
    <rPh sb="16" eb="18">
      <t>ブブン</t>
    </rPh>
    <phoneticPr fontId="20"/>
  </si>
  <si>
    <t>※備考；　省エネルギー計算対象の工場用途面積</t>
    <rPh sb="1" eb="3">
      <t>ビコウ</t>
    </rPh>
    <rPh sb="5" eb="6">
      <t>ショウ</t>
    </rPh>
    <rPh sb="11" eb="13">
      <t>ケイサン</t>
    </rPh>
    <rPh sb="13" eb="15">
      <t>タイショウ</t>
    </rPh>
    <rPh sb="16" eb="18">
      <t>コウジョウ</t>
    </rPh>
    <rPh sb="18" eb="20">
      <t>ヨウト</t>
    </rPh>
    <rPh sb="20" eb="22">
      <t>メンセキ</t>
    </rPh>
    <phoneticPr fontId="20"/>
  </si>
  <si>
    <r>
      <t>【外観図】シート（外観図貼付用）　　　</t>
    </r>
    <r>
      <rPr>
        <sz val="11"/>
        <color indexed="10"/>
        <rFont val="ＭＳ Ｐゴシック"/>
        <family val="3"/>
        <charset val="128"/>
      </rPr>
      <t>※本シートは、保護解除されています。</t>
    </r>
    <phoneticPr fontId="20"/>
  </si>
  <si>
    <t>※【性能表示】シート、【結果】シートの「外観」に表示する外観図（パースや写真を含む。）のデータを上の枠内に貼り付けてください。
※貼り付けた外観図が、枠の大きさと合わない場合は、図を伸縮して、枠サイズに合わせてください。
※外観図は、【挿入】－【図】－【ファイルから】により、貼り付けできます。</t>
    <phoneticPr fontId="20"/>
  </si>
  <si>
    <t>外観図の貼り付けは、</t>
    <rPh sb="0" eb="2">
      <t>ガイカン</t>
    </rPh>
    <rPh sb="2" eb="3">
      <t>ズ</t>
    </rPh>
    <rPh sb="4" eb="5">
      <t>ハ</t>
    </rPh>
    <rPh sb="6" eb="7">
      <t>ツ</t>
    </rPh>
    <phoneticPr fontId="20"/>
  </si>
  <si>
    <t>【外観図】シートへ貼り付けしてください。</t>
    <rPh sb="1" eb="3">
      <t>ガイカン</t>
    </rPh>
    <rPh sb="3" eb="4">
      <t>ズ</t>
    </rPh>
    <rPh sb="9" eb="10">
      <t>ハ</t>
    </rPh>
    <rPh sb="11" eb="12">
      <t>ツ</t>
    </rPh>
    <phoneticPr fontId="20"/>
  </si>
  <si>
    <t>1　CASBEE評価結果</t>
    <rPh sb="8" eb="10">
      <t>ﾋｮｳｶ</t>
    </rPh>
    <rPh sb="10" eb="12">
      <t>ｹｯｶ</t>
    </rPh>
    <phoneticPr fontId="30" type="noConversion"/>
  </si>
  <si>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0"/>
  </si>
  <si>
    <t>3　熊本県重点評価結果</t>
    <rPh sb="2" eb="5">
      <t>ｸﾏﾓﾄｹﾝ</t>
    </rPh>
    <rPh sb="5" eb="7">
      <t>ｼﾞｭｳﾃﾝ</t>
    </rPh>
    <rPh sb="7" eb="9">
      <t>ﾋｮｳｶ</t>
    </rPh>
    <rPh sb="9" eb="11">
      <t>ｹｯｶ</t>
    </rPh>
    <phoneticPr fontId="30" type="noConversion"/>
  </si>
  <si>
    <t>■　重点事項総合評価</t>
    <rPh sb="2" eb="4">
      <t>ジュウテン</t>
    </rPh>
    <rPh sb="4" eb="6">
      <t>ジコウ</t>
    </rPh>
    <rPh sb="6" eb="8">
      <t>ソウゴウ</t>
    </rPh>
    <rPh sb="8" eb="10">
      <t>ヒョウカ</t>
    </rPh>
    <phoneticPr fontId="20"/>
  </si>
  <si>
    <t>評価点</t>
    <rPh sb="0" eb="2">
      <t>ヒョウカ</t>
    </rPh>
    <rPh sb="2" eb="3">
      <t>テン</t>
    </rPh>
    <phoneticPr fontId="20"/>
  </si>
  <si>
    <t>【重点事項１】　温室効果ガス排出量削減の推進</t>
  </si>
  <si>
    <t>【重点事項２】　安全安心で暮らしやすい社会の実現</t>
  </si>
  <si>
    <t>【重点事項３】　県の地域資源の有効活用と保全</t>
  </si>
  <si>
    <t>【重点事項４】　循環型社会の実現</t>
  </si>
  <si>
    <t>■　建築物の環境効率（BEEランク&amp;チャート）</t>
    <phoneticPr fontId="20"/>
  </si>
  <si>
    <t>㎡</t>
    <phoneticPr fontId="30" type="noConversion"/>
  </si>
  <si>
    <t>【 配慮事項 】</t>
    <phoneticPr fontId="20"/>
  </si>
  <si>
    <r>
      <t>4</t>
    </r>
    <r>
      <rPr>
        <b/>
        <sz val="12"/>
        <color indexed="9"/>
        <rFont val="ＭＳ Ｐゴシック"/>
        <family val="3"/>
        <charset val="128"/>
      </rPr>
      <t>　設計上の配慮事項</t>
    </r>
    <rPh sb="2" eb="4">
      <t>セッケイ</t>
    </rPh>
    <rPh sb="4" eb="5">
      <t>ジョウ</t>
    </rPh>
    <rPh sb="6" eb="8">
      <t>ハイリョ</t>
    </rPh>
    <rPh sb="8" eb="10">
      <t>ジコウ</t>
    </rPh>
    <phoneticPr fontId="20"/>
  </si>
  <si>
    <t>熊本県重点評価結果スコアシート</t>
    <rPh sb="0" eb="3">
      <t>クマモトケン</t>
    </rPh>
    <rPh sb="3" eb="5">
      <t>ジュウテン</t>
    </rPh>
    <rPh sb="5" eb="7">
      <t>ヒョウカ</t>
    </rPh>
    <rPh sb="7" eb="9">
      <t>ケッカ</t>
    </rPh>
    <phoneticPr fontId="20"/>
  </si>
  <si>
    <t>建物名称</t>
    <rPh sb="0" eb="2">
      <t>タテモノ</t>
    </rPh>
    <rPh sb="2" eb="4">
      <t>メイショウ</t>
    </rPh>
    <phoneticPr fontId="20"/>
  </si>
  <si>
    <t>★熊本県重点評価結果</t>
    <rPh sb="1" eb="4">
      <t>クマモトケン</t>
    </rPh>
    <rPh sb="4" eb="6">
      <t>ジュウテン</t>
    </rPh>
    <rPh sb="6" eb="8">
      <t>ヒョウカ</t>
    </rPh>
    <rPh sb="8" eb="10">
      <t>ケッカ</t>
    </rPh>
    <phoneticPr fontId="20"/>
  </si>
  <si>
    <t>総合評価点</t>
    <rPh sb="0" eb="2">
      <t>ソウゴウ</t>
    </rPh>
    <rPh sb="2" eb="4">
      <t>ヒョウカ</t>
    </rPh>
    <rPh sb="4" eb="5">
      <t>テン</t>
    </rPh>
    <phoneticPr fontId="20"/>
  </si>
  <si>
    <t>全体</t>
    <rPh sb="0" eb="2">
      <t>ゼンタイ</t>
    </rPh>
    <phoneticPr fontId="20"/>
  </si>
  <si>
    <t>■重点事項評価結果</t>
    <rPh sb="1" eb="3">
      <t>ジュウテン</t>
    </rPh>
    <rPh sb="3" eb="5">
      <t>ジコウ</t>
    </rPh>
    <rPh sb="5" eb="7">
      <t>ヒョウカ</t>
    </rPh>
    <rPh sb="7" eb="9">
      <t>ケッカ</t>
    </rPh>
    <phoneticPr fontId="20"/>
  </si>
  <si>
    <t>重点事項</t>
    <rPh sb="0" eb="2">
      <t>ジュウテン</t>
    </rPh>
    <rPh sb="2" eb="4">
      <t>ジコウ</t>
    </rPh>
    <phoneticPr fontId="20"/>
  </si>
  <si>
    <t>評価点</t>
    <rPh sb="0" eb="3">
      <t>ヒョウカテン</t>
    </rPh>
    <phoneticPr fontId="20"/>
  </si>
  <si>
    <t>重点事項
重み係数</t>
    <rPh sb="0" eb="2">
      <t>ジュウテン</t>
    </rPh>
    <rPh sb="2" eb="4">
      <t>ジコウ</t>
    </rPh>
    <rPh sb="5" eb="6">
      <t>オモ</t>
    </rPh>
    <rPh sb="7" eb="9">
      <t>ケイスウ</t>
    </rPh>
    <phoneticPr fontId="20"/>
  </si>
  <si>
    <t>評価配点</t>
    <rPh sb="0" eb="2">
      <t>ヒョウカ</t>
    </rPh>
    <rPh sb="2" eb="4">
      <t>ハイテン</t>
    </rPh>
    <phoneticPr fontId="20"/>
  </si>
  <si>
    <t>重み
係数</t>
    <rPh sb="0" eb="1">
      <t>オモ</t>
    </rPh>
    <rPh sb="3" eb="5">
      <t>ケイスウ</t>
    </rPh>
    <phoneticPr fontId="20"/>
  </si>
  <si>
    <t>補正後
重み係数</t>
    <rPh sb="0" eb="3">
      <t>ホセイゴ</t>
    </rPh>
    <rPh sb="4" eb="5">
      <t>オモ</t>
    </rPh>
    <rPh sb="6" eb="8">
      <t>ケイスウ</t>
    </rPh>
    <phoneticPr fontId="20"/>
  </si>
  <si>
    <t>温室効果ガス排出量削減の推進</t>
    <rPh sb="0" eb="2">
      <t>オンシツ</t>
    </rPh>
    <rPh sb="2" eb="4">
      <t>コウカ</t>
    </rPh>
    <rPh sb="6" eb="9">
      <t>ハイシュツリョウ</t>
    </rPh>
    <rPh sb="9" eb="11">
      <t>サクゲン</t>
    </rPh>
    <rPh sb="12" eb="14">
      <t>スイシン</t>
    </rPh>
    <phoneticPr fontId="20"/>
  </si>
  <si>
    <t>総合評価
結果</t>
    <rPh sb="0" eb="2">
      <t>ソウゴウ</t>
    </rPh>
    <rPh sb="2" eb="4">
      <t>ヒョウカ</t>
    </rPh>
    <rPh sb="5" eb="7">
      <t>ケッカ</t>
    </rPh>
    <phoneticPr fontId="20"/>
  </si>
  <si>
    <t>温室効果ガス
排出量削減の推進</t>
    <rPh sb="0" eb="2">
      <t>オンシツ</t>
    </rPh>
    <rPh sb="2" eb="4">
      <t>コウカ</t>
    </rPh>
    <rPh sb="7" eb="9">
      <t>ハイシュツ</t>
    </rPh>
    <rPh sb="9" eb="10">
      <t>リョウ</t>
    </rPh>
    <rPh sb="10" eb="12">
      <t>サクゲン</t>
    </rPh>
    <rPh sb="13" eb="15">
      <t>スイシン</t>
    </rPh>
    <phoneticPr fontId="20"/>
  </si>
  <si>
    <t>昼光利用設備</t>
    <rPh sb="0" eb="2">
      <t>チュウコウ</t>
    </rPh>
    <rPh sb="2" eb="4">
      <t>リヨウ</t>
    </rPh>
    <rPh sb="4" eb="6">
      <t>セツビ</t>
    </rPh>
    <phoneticPr fontId="20"/>
  </si>
  <si>
    <t>Blank</t>
  </si>
  <si>
    <t>②</t>
    <phoneticPr fontId="20"/>
  </si>
  <si>
    <t>安全安心で
暮らしやすい
社会の実現</t>
    <rPh sb="0" eb="2">
      <t>アンゼン</t>
    </rPh>
    <rPh sb="2" eb="4">
      <t>アンシン</t>
    </rPh>
    <rPh sb="6" eb="7">
      <t>ク</t>
    </rPh>
    <rPh sb="13" eb="14">
      <t>シャ</t>
    </rPh>
    <rPh sb="14" eb="15">
      <t>カイ</t>
    </rPh>
    <rPh sb="16" eb="17">
      <t>ジツ</t>
    </rPh>
    <rPh sb="17" eb="18">
      <t>ウツツ</t>
    </rPh>
    <phoneticPr fontId="20"/>
  </si>
  <si>
    <t>昼光制御</t>
    <rPh sb="0" eb="2">
      <t>チュウコウ</t>
    </rPh>
    <rPh sb="2" eb="4">
      <t>セイギョ</t>
    </rPh>
    <phoneticPr fontId="20"/>
  </si>
  <si>
    <t>県の地域資源の
有効活用と保全</t>
    <rPh sb="0" eb="1">
      <t>ケン</t>
    </rPh>
    <rPh sb="2" eb="4">
      <t>チイキ</t>
    </rPh>
    <rPh sb="4" eb="6">
      <t>シゲン</t>
    </rPh>
    <rPh sb="8" eb="10">
      <t>ユウコウ</t>
    </rPh>
    <rPh sb="10" eb="12">
      <t>カツヨウ</t>
    </rPh>
    <rPh sb="13" eb="15">
      <t>ホゼン</t>
    </rPh>
    <phoneticPr fontId="20"/>
  </si>
  <si>
    <t>循環型社会
の実現</t>
    <rPh sb="0" eb="3">
      <t>ジュンカンガタ</t>
    </rPh>
    <rPh sb="3" eb="5">
      <t>シャカイ</t>
    </rPh>
    <rPh sb="7" eb="9">
      <t>ジツゲン</t>
    </rPh>
    <phoneticPr fontId="20"/>
  </si>
  <si>
    <t>LR2-2.1</t>
    <phoneticPr fontId="20"/>
  </si>
  <si>
    <t>材料使用量の削減</t>
    <rPh sb="0" eb="2">
      <t>ザイリョウ</t>
    </rPh>
    <rPh sb="2" eb="5">
      <t>シヨウリョウ</t>
    </rPh>
    <rPh sb="6" eb="8">
      <t>サクゲン</t>
    </rPh>
    <phoneticPr fontId="20"/>
  </si>
  <si>
    <t>交通負荷抑制</t>
    <rPh sb="0" eb="2">
      <t>コウツウ</t>
    </rPh>
    <rPh sb="2" eb="4">
      <t>フカ</t>
    </rPh>
    <rPh sb="4" eb="6">
      <t>ヨクセイ</t>
    </rPh>
    <phoneticPr fontId="20"/>
  </si>
  <si>
    <t>安全安心で暮らしやすい社会の実現</t>
    <rPh sb="0" eb="2">
      <t>アンゼン</t>
    </rPh>
    <rPh sb="2" eb="4">
      <t>アンシン</t>
    </rPh>
    <rPh sb="5" eb="6">
      <t>ク</t>
    </rPh>
    <rPh sb="11" eb="13">
      <t>シャカイ</t>
    </rPh>
    <rPh sb="14" eb="16">
      <t>ジツゲン</t>
    </rPh>
    <phoneticPr fontId="20"/>
  </si>
  <si>
    <t>Q2-1.1.3</t>
    <phoneticPr fontId="20"/>
  </si>
  <si>
    <t>生物環境の保全と創出</t>
    <rPh sb="0" eb="2">
      <t>セイブツ</t>
    </rPh>
    <rPh sb="2" eb="4">
      <t>カンキョウ</t>
    </rPh>
    <rPh sb="5" eb="7">
      <t>ホゼン</t>
    </rPh>
    <rPh sb="8" eb="10">
      <t>ソウシュツ</t>
    </rPh>
    <phoneticPr fontId="20"/>
  </si>
  <si>
    <t>温熱環境悪化の改善</t>
    <rPh sb="0" eb="2">
      <t>オンネツ</t>
    </rPh>
    <rPh sb="2" eb="4">
      <t>カンキョウ</t>
    </rPh>
    <rPh sb="4" eb="6">
      <t>アッカ</t>
    </rPh>
    <rPh sb="7" eb="9">
      <t>カイゼン</t>
    </rPh>
    <phoneticPr fontId="20"/>
  </si>
  <si>
    <t>県の地域資源の有効活用と保全</t>
    <rPh sb="0" eb="1">
      <t>ケン</t>
    </rPh>
    <rPh sb="2" eb="4">
      <t>チイキ</t>
    </rPh>
    <rPh sb="4" eb="6">
      <t>シゲン</t>
    </rPh>
    <rPh sb="7" eb="9">
      <t>ユウコウ</t>
    </rPh>
    <rPh sb="9" eb="11">
      <t>カツヨウ</t>
    </rPh>
    <rPh sb="12" eb="14">
      <t>ホゼン</t>
    </rPh>
    <phoneticPr fontId="20"/>
  </si>
  <si>
    <t>Q3-2</t>
  </si>
  <si>
    <t>まちなみ・景観への配慮</t>
  </si>
  <si>
    <t>節水</t>
    <rPh sb="0" eb="2">
      <t>セッスイ</t>
    </rPh>
    <phoneticPr fontId="20"/>
  </si>
  <si>
    <t>雨水利用システム導入の有無</t>
    <rPh sb="0" eb="2">
      <t>ウスイ</t>
    </rPh>
    <rPh sb="2" eb="4">
      <t>リヨウ</t>
    </rPh>
    <rPh sb="8" eb="10">
      <t>ドウニュウ</t>
    </rPh>
    <rPh sb="11" eb="13">
      <t>ウム</t>
    </rPh>
    <phoneticPr fontId="20"/>
  </si>
  <si>
    <t>持続可能な森林から産出された木材</t>
    <rPh sb="0" eb="2">
      <t>ジゾク</t>
    </rPh>
    <rPh sb="2" eb="4">
      <t>カノウ</t>
    </rPh>
    <rPh sb="5" eb="7">
      <t>シンリン</t>
    </rPh>
    <rPh sb="9" eb="11">
      <t>サンシュツ</t>
    </rPh>
    <rPh sb="14" eb="16">
      <t>モクザイ</t>
    </rPh>
    <phoneticPr fontId="20"/>
  </si>
  <si>
    <t>循環型社会の実現</t>
    <rPh sb="0" eb="3">
      <t>ジュンカンガタ</t>
    </rPh>
    <rPh sb="3" eb="5">
      <t>シャカイ</t>
    </rPh>
    <rPh sb="6" eb="8">
      <t>ジツゲン</t>
    </rPh>
    <phoneticPr fontId="20"/>
  </si>
  <si>
    <t>部品・部材の耐用年数</t>
    <rPh sb="0" eb="2">
      <t>ブヒン</t>
    </rPh>
    <rPh sb="3" eb="5">
      <t>ブザイ</t>
    </rPh>
    <rPh sb="6" eb="8">
      <t>タイヨウ</t>
    </rPh>
    <rPh sb="8" eb="9">
      <t>ネン</t>
    </rPh>
    <rPh sb="9" eb="10">
      <t>スウ</t>
    </rPh>
    <phoneticPr fontId="20"/>
  </si>
  <si>
    <t>対応性・更新性</t>
    <rPh sb="0" eb="3">
      <t>タイオウセイ</t>
    </rPh>
    <rPh sb="4" eb="7">
      <t>コウシンセイ</t>
    </rPh>
    <phoneticPr fontId="20"/>
  </si>
  <si>
    <t>既存建築躯体等の継続使用</t>
    <rPh sb="0" eb="2">
      <t>キゾン</t>
    </rPh>
    <rPh sb="2" eb="4">
      <t>ケンチク</t>
    </rPh>
    <rPh sb="4" eb="6">
      <t>クタイ</t>
    </rPh>
    <rPh sb="6" eb="7">
      <t>トウ</t>
    </rPh>
    <rPh sb="8" eb="10">
      <t>ケイゾク</t>
    </rPh>
    <rPh sb="10" eb="12">
      <t>シヨウ</t>
    </rPh>
    <phoneticPr fontId="20"/>
  </si>
  <si>
    <t>LR2-2.3</t>
  </si>
  <si>
    <t>躯体材料におけるリサイクル材の使用</t>
  </si>
  <si>
    <t>LR2-2.4</t>
  </si>
  <si>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※（5/4）×20 ： スコア4点を評価点100点に変換するスケーリング定数　</t>
    <rPh sb="1" eb="4">
      <t>ヒョウカテン</t>
    </rPh>
    <rPh sb="4" eb="6">
      <t>サンシュツ</t>
    </rPh>
    <rPh sb="6" eb="7">
      <t>シキ</t>
    </rPh>
    <rPh sb="10" eb="13">
      <t>ヒョウカテン</t>
    </rPh>
    <rPh sb="15" eb="17">
      <t>イカ</t>
    </rPh>
    <rPh sb="18" eb="20">
      <t>ホウホウ</t>
    </rPh>
    <rPh sb="23" eb="25">
      <t>サンシュツ</t>
    </rPh>
    <rPh sb="34" eb="36">
      <t>ソウゴウ</t>
    </rPh>
    <rPh sb="36" eb="38">
      <t>ヒョウカ</t>
    </rPh>
    <rPh sb="38" eb="40">
      <t>ケッカ</t>
    </rPh>
    <rPh sb="45" eb="47">
      <t>ソウゴウ</t>
    </rPh>
    <rPh sb="47" eb="50">
      <t>ヒョウカテン</t>
    </rPh>
    <rPh sb="54" eb="55">
      <t>カク</t>
    </rPh>
    <rPh sb="60" eb="63">
      <t>ヒョウカテン</t>
    </rPh>
    <rPh sb="64" eb="65">
      <t>カク</t>
    </rPh>
    <rPh sb="65" eb="67">
      <t>ジュウテン</t>
    </rPh>
    <rPh sb="67" eb="69">
      <t>ジコウ</t>
    </rPh>
    <rPh sb="115" eb="116">
      <t>カク</t>
    </rPh>
    <rPh sb="116" eb="118">
      <t>ジュウテン</t>
    </rPh>
    <rPh sb="118" eb="120">
      <t>ジコウ</t>
    </rPh>
    <rPh sb="125" eb="127">
      <t>コウモク</t>
    </rPh>
    <rPh sb="133" eb="136">
      <t>ヒョウカテン</t>
    </rPh>
    <rPh sb="140" eb="141">
      <t>カク</t>
    </rPh>
    <rPh sb="141" eb="143">
      <t>ジュウテン</t>
    </rPh>
    <rPh sb="151" eb="153">
      <t>ジュウテン</t>
    </rPh>
    <rPh sb="153" eb="155">
      <t>コウモク</t>
    </rPh>
    <rPh sb="238" eb="239">
      <t>テン</t>
    </rPh>
    <rPh sb="240" eb="243">
      <t>ヒョウカテン</t>
    </rPh>
    <rPh sb="246" eb="247">
      <t>テン</t>
    </rPh>
    <rPh sb="248" eb="250">
      <t>ヘンカン</t>
    </rPh>
    <rPh sb="258" eb="260">
      <t>ジョウスウ</t>
    </rPh>
    <phoneticPr fontId="20"/>
  </si>
  <si>
    <t>std</t>
    <phoneticPr fontId="20"/>
  </si>
  <si>
    <t>熊本県重点評価項目</t>
    <rPh sb="0" eb="3">
      <t>クマモトケン</t>
    </rPh>
    <rPh sb="3" eb="5">
      <t>ジュウテン</t>
    </rPh>
    <rPh sb="5" eb="7">
      <t>ヒョウカ</t>
    </rPh>
    <rPh sb="7" eb="9">
      <t>コウモク</t>
    </rPh>
    <phoneticPr fontId="20"/>
  </si>
  <si>
    <t>材料使用量の削減</t>
  </si>
  <si>
    <t>交通負荷抑制</t>
  </si>
  <si>
    <t>Q2-2.1.1</t>
    <phoneticPr fontId="20"/>
  </si>
  <si>
    <t>生物環境の保全と創出</t>
  </si>
  <si>
    <t>地域性・アメニティへの配慮</t>
  </si>
  <si>
    <t>温熱環境悪化の改善</t>
  </si>
  <si>
    <t>節水</t>
  </si>
  <si>
    <t>雨水利用システム導入の有無</t>
  </si>
  <si>
    <t>持続可能な森林から産出された木材</t>
  </si>
  <si>
    <t>部品・部材の耐用年数</t>
  </si>
  <si>
    <t>既存建築躯体等の継続使用</t>
  </si>
  <si>
    <t>LR3-2.3.3</t>
    <phoneticPr fontId="20"/>
  </si>
  <si>
    <t>雨水利用率</t>
    <rPh sb="4" eb="5">
      <t>リツ</t>
    </rPh>
    <phoneticPr fontId="20"/>
  </si>
  <si>
    <t>CASBEE熊本《改修》2015年版</t>
    <phoneticPr fontId="20"/>
  </si>
  <si>
    <t>■使用評価マニュアル：</t>
    <phoneticPr fontId="20"/>
  </si>
  <si>
    <t>外観図の貼り付けは、</t>
    <phoneticPr fontId="20"/>
  </si>
  <si>
    <t>【外観図】シートへ貼り付けしてください。</t>
    <phoneticPr fontId="20"/>
  </si>
  <si>
    <r>
      <t>3</t>
    </r>
    <r>
      <rPr>
        <b/>
        <sz val="12"/>
        <color indexed="9"/>
        <rFont val="ＭＳ Ｐゴシック"/>
        <family val="3"/>
        <charset val="128"/>
      </rPr>
      <t>　熊本県重点評価結果</t>
    </r>
    <phoneticPr fontId="20"/>
  </si>
  <si>
    <t>重点事項総合評価</t>
    <rPh sb="0" eb="2">
      <t>ｼﾞｭｳﾃﾝ</t>
    </rPh>
    <rPh sb="2" eb="4">
      <t>ｼﾞｺｳ</t>
    </rPh>
    <rPh sb="4" eb="6">
      <t>ｿｳｺﾞｳ</t>
    </rPh>
    <rPh sb="6" eb="8">
      <t>ﾋｮｳｶ</t>
    </rPh>
    <phoneticPr fontId="30" type="noConversion"/>
  </si>
  <si>
    <t>重点事項の評価（レーダーチャート）</t>
    <rPh sb="0" eb="2">
      <t>ｼﾞｭｳﾃﾝ</t>
    </rPh>
    <rPh sb="2" eb="4">
      <t>ｼﾞｺｳ</t>
    </rPh>
    <rPh sb="5" eb="7">
      <t>ﾋｮｳｶ</t>
    </rPh>
    <phoneticPr fontId="30" type="noConversion"/>
  </si>
  <si>
    <r>
      <t>3</t>
    </r>
    <r>
      <rPr>
        <b/>
        <sz val="12"/>
        <color indexed="9"/>
        <rFont val="ＭＳ Ｐゴシック"/>
        <family val="3"/>
        <charset val="128"/>
      </rPr>
      <t>　熊本県重点評価結果</t>
    </r>
    <phoneticPr fontId="20"/>
  </si>
  <si>
    <t>建物全体・共用部分</t>
    <phoneticPr fontId="20"/>
  </si>
  <si>
    <t>住居・宿泊
部分</t>
    <phoneticPr fontId="20"/>
  </si>
  <si>
    <t>■radar chart</t>
    <phoneticPr fontId="20"/>
  </si>
  <si>
    <t>重点項目（配慮項目）</t>
    <phoneticPr fontId="20"/>
  </si>
  <si>
    <t>スコア</t>
    <phoneticPr fontId="20"/>
  </si>
  <si>
    <t>①</t>
    <phoneticPr fontId="20"/>
  </si>
  <si>
    <t>background</t>
    <phoneticPr fontId="20"/>
  </si>
  <si>
    <t>Score(RoundDown)</t>
    <phoneticPr fontId="20"/>
  </si>
  <si>
    <t>評価結果</t>
    <phoneticPr fontId="20"/>
  </si>
  <si>
    <t>①</t>
    <phoneticPr fontId="20"/>
  </si>
  <si>
    <t>②</t>
    <phoneticPr fontId="20"/>
  </si>
  <si>
    <r>
      <t>Q</t>
    </r>
    <r>
      <rPr>
        <sz val="11"/>
        <rFont val="ＭＳ Ｐゴシック"/>
        <family val="3"/>
        <charset val="128"/>
      </rPr>
      <t>1-3.2.2</t>
    </r>
    <phoneticPr fontId="20"/>
  </si>
  <si>
    <t>清正くん</t>
    <phoneticPr fontId="20"/>
  </si>
  <si>
    <t>③</t>
    <phoneticPr fontId="20"/>
  </si>
  <si>
    <t>LR1‐1</t>
    <phoneticPr fontId="20"/>
  </si>
  <si>
    <t>④</t>
    <phoneticPr fontId="20"/>
  </si>
  <si>
    <t>③</t>
    <phoneticPr fontId="20"/>
  </si>
  <si>
    <t>LR2-2.5</t>
    <phoneticPr fontId="20"/>
  </si>
  <si>
    <t>④</t>
    <phoneticPr fontId="20"/>
  </si>
  <si>
    <t>Q2-2.2</t>
    <phoneticPr fontId="20"/>
  </si>
  <si>
    <t>Q2-3</t>
    <phoneticPr fontId="20"/>
  </si>
  <si>
    <t>LR2-2.2</t>
    <phoneticPr fontId="20"/>
  </si>
  <si>
    <t>重点項目（配慮項目）</t>
    <phoneticPr fontId="20"/>
  </si>
  <si>
    <t>スコア</t>
    <phoneticPr fontId="20"/>
  </si>
  <si>
    <t>■radar chart</t>
    <phoneticPr fontId="20"/>
  </si>
  <si>
    <t>①</t>
    <phoneticPr fontId="20"/>
  </si>
  <si>
    <t>background</t>
    <phoneticPr fontId="20"/>
  </si>
  <si>
    <t>std</t>
    <phoneticPr fontId="20"/>
  </si>
  <si>
    <t>Score(RoundDown)</t>
    <phoneticPr fontId="20"/>
  </si>
  <si>
    <t>Q1-2.1.3</t>
    <phoneticPr fontId="20"/>
  </si>
  <si>
    <t>評価結果</t>
    <phoneticPr fontId="20"/>
  </si>
  <si>
    <r>
      <t>Q</t>
    </r>
    <r>
      <rPr>
        <sz val="11"/>
        <rFont val="ＭＳ Ｐゴシック"/>
        <family val="3"/>
        <charset val="128"/>
      </rPr>
      <t>1-3.1.3</t>
    </r>
    <phoneticPr fontId="20"/>
  </si>
  <si>
    <t>清正くん</t>
    <phoneticPr fontId="20"/>
  </si>
  <si>
    <t>LR1‐2</t>
    <phoneticPr fontId="20"/>
  </si>
  <si>
    <t>自然エネルギー利用</t>
    <phoneticPr fontId="20"/>
  </si>
  <si>
    <t>LR1‐3</t>
    <phoneticPr fontId="20"/>
  </si>
  <si>
    <t>設備システムの高効率化</t>
    <phoneticPr fontId="20"/>
  </si>
  <si>
    <t>LR2-2.1</t>
    <phoneticPr fontId="20"/>
  </si>
  <si>
    <t>LR3‐2.3.3</t>
    <phoneticPr fontId="20"/>
  </si>
  <si>
    <t>Q2-1.1.3</t>
    <phoneticPr fontId="20"/>
  </si>
  <si>
    <t>Q2-2.1.1</t>
    <phoneticPr fontId="20"/>
  </si>
  <si>
    <t>Q3-1</t>
    <phoneticPr fontId="20"/>
  </si>
  <si>
    <t>Q3-3</t>
    <phoneticPr fontId="20"/>
  </si>
  <si>
    <t>地域性・アメニティへの配慮</t>
    <phoneticPr fontId="20"/>
  </si>
  <si>
    <t>LR3-2.2</t>
    <phoneticPr fontId="20"/>
  </si>
  <si>
    <t>LR2-1.1</t>
    <phoneticPr fontId="20"/>
  </si>
  <si>
    <r>
      <t>LR2-1.</t>
    </r>
    <r>
      <rPr>
        <sz val="11"/>
        <rFont val="ＭＳ Ｐゴシック"/>
        <family val="3"/>
        <charset val="128"/>
      </rPr>
      <t>2.1</t>
    </r>
    <phoneticPr fontId="20"/>
  </si>
  <si>
    <t>延面積比率</t>
    <phoneticPr fontId="20"/>
  </si>
  <si>
    <t>①</t>
    <phoneticPr fontId="20"/>
  </si>
  <si>
    <t>Q1-3.1.3</t>
    <phoneticPr fontId="20"/>
  </si>
  <si>
    <t>LR1-1</t>
    <phoneticPr fontId="20"/>
  </si>
  <si>
    <t>LR1-2</t>
    <phoneticPr fontId="20"/>
  </si>
  <si>
    <t>LR1-3</t>
    <phoneticPr fontId="20"/>
  </si>
  <si>
    <t>LR2-2.1</t>
    <phoneticPr fontId="20"/>
  </si>
  <si>
    <t>Q3-1</t>
    <phoneticPr fontId="20"/>
  </si>
  <si>
    <t>Q3-3</t>
    <phoneticPr fontId="20"/>
  </si>
  <si>
    <t>LR3-2.2</t>
    <phoneticPr fontId="20"/>
  </si>
  <si>
    <t>③</t>
    <phoneticPr fontId="20"/>
  </si>
  <si>
    <t>Q3-2</t>
    <phoneticPr fontId="20"/>
  </si>
  <si>
    <t>LR2-1.1</t>
    <phoneticPr fontId="20"/>
  </si>
  <si>
    <t>LR2-1.2.1</t>
    <phoneticPr fontId="20"/>
  </si>
  <si>
    <t>LR2-2.5</t>
    <phoneticPr fontId="20"/>
  </si>
  <si>
    <t>④</t>
    <phoneticPr fontId="20"/>
  </si>
  <si>
    <t>Q2-2.2</t>
    <phoneticPr fontId="20"/>
  </si>
  <si>
    <t>Q2-3</t>
    <phoneticPr fontId="20"/>
  </si>
  <si>
    <t>LR2-2.2</t>
    <phoneticPr fontId="20"/>
  </si>
  <si>
    <t>LR2-2.3</t>
    <phoneticPr fontId="20"/>
  </si>
  <si>
    <t>LR2-2.4</t>
    <phoneticPr fontId="20"/>
  </si>
  <si>
    <t>②</t>
    <phoneticPr fontId="20"/>
  </si>
  <si>
    <t>③</t>
    <phoneticPr fontId="20"/>
  </si>
  <si>
    <t>延面積比率</t>
    <phoneticPr fontId="20"/>
  </si>
  <si>
    <t>①</t>
    <phoneticPr fontId="20"/>
  </si>
  <si>
    <t>Q1-3.1.3</t>
    <phoneticPr fontId="20"/>
  </si>
  <si>
    <t>LR1-1</t>
    <phoneticPr fontId="20"/>
  </si>
  <si>
    <t>LR1-2</t>
    <phoneticPr fontId="20"/>
  </si>
  <si>
    <t>LR1-3</t>
    <phoneticPr fontId="20"/>
  </si>
  <si>
    <t>LR3-2.3.3</t>
    <phoneticPr fontId="20"/>
  </si>
  <si>
    <t>②</t>
    <phoneticPr fontId="20"/>
  </si>
  <si>
    <t>Q2-1.1.3</t>
    <phoneticPr fontId="20"/>
  </si>
  <si>
    <t>Q2-2.1.1</t>
    <phoneticPr fontId="20"/>
  </si>
  <si>
    <t>Q3-1</t>
    <phoneticPr fontId="20"/>
  </si>
  <si>
    <t>生物環境の保全</t>
    <phoneticPr fontId="20"/>
  </si>
  <si>
    <t>Q3-3</t>
    <phoneticPr fontId="20"/>
  </si>
  <si>
    <t>LR3-2.2</t>
    <phoneticPr fontId="20"/>
  </si>
  <si>
    <t>③</t>
    <phoneticPr fontId="20"/>
  </si>
  <si>
    <t>Q3-2</t>
    <phoneticPr fontId="20"/>
  </si>
  <si>
    <t>LR2-1.1</t>
    <phoneticPr fontId="20"/>
  </si>
  <si>
    <t>LR2-1.2.1</t>
    <phoneticPr fontId="20"/>
  </si>
  <si>
    <t>LR2-2.5</t>
    <phoneticPr fontId="20"/>
  </si>
  <si>
    <t>④</t>
    <phoneticPr fontId="20"/>
  </si>
  <si>
    <t>Q2-2.2</t>
    <phoneticPr fontId="20"/>
  </si>
  <si>
    <t>Q2-3</t>
    <phoneticPr fontId="20"/>
  </si>
  <si>
    <t>LR2-2.2</t>
    <phoneticPr fontId="20"/>
  </si>
  <si>
    <t>LR2-2.3</t>
    <phoneticPr fontId="20"/>
  </si>
  <si>
    <t>LR2-2.4</t>
    <phoneticPr fontId="20"/>
  </si>
  <si>
    <t>④</t>
    <phoneticPr fontId="20"/>
  </si>
  <si>
    <t>CASBEE-BD_RN_2014(v.2.0)_kmt2015(v1.0)</t>
    <phoneticPr fontId="20"/>
  </si>
  <si>
    <r>
      <t>Q1-2.1.</t>
    </r>
    <r>
      <rPr>
        <sz val="11"/>
        <rFont val="ＭＳ Ｐゴシック"/>
        <family val="3"/>
        <charset val="128"/>
      </rPr>
      <t>2</t>
    </r>
    <phoneticPr fontId="20"/>
  </si>
  <si>
    <r>
      <t>Q</t>
    </r>
    <r>
      <rPr>
        <sz val="11"/>
        <rFont val="ＭＳ Ｐゴシック"/>
        <family val="3"/>
        <charset val="128"/>
      </rPr>
      <t>1-3.2.1</t>
    </r>
    <phoneticPr fontId="20"/>
  </si>
  <si>
    <t>建物外皮の熱負荷抑制</t>
    <rPh sb="2" eb="4">
      <t>ガイヒ</t>
    </rPh>
    <phoneticPr fontId="20"/>
  </si>
  <si>
    <t>躯体材料以外におけるリサイクル材の使用</t>
    <rPh sb="0" eb="2">
      <t>クタイ</t>
    </rPh>
    <rPh sb="2" eb="4">
      <t>ザイリョウ</t>
    </rPh>
    <rPh sb="4" eb="6">
      <t>イガイ</t>
    </rPh>
    <phoneticPr fontId="20"/>
  </si>
  <si>
    <t>注）　改修における総合的なコンセプトを簡潔に記載してください。
　（省エネ改修、室内環境改善、外装の更新、高耐久化、情報化対応、コンバージョンなど）</t>
    <phoneticPr fontId="20"/>
  </si>
  <si>
    <t>Q1-2.1.2</t>
    <phoneticPr fontId="20"/>
  </si>
  <si>
    <t>Q1-3.2.1</t>
    <phoneticPr fontId="20"/>
  </si>
  <si>
    <t>建物外皮の熱負荷抑制</t>
    <rPh sb="2" eb="4">
      <t>ガイヒ</t>
    </rPh>
    <phoneticPr fontId="20"/>
  </si>
  <si>
    <t>躯体材料におけるリサイクル材の使用</t>
    <phoneticPr fontId="20"/>
  </si>
  <si>
    <t>躯体材料以外におけるリサイクル材の使用</t>
    <rPh sb="4" eb="6">
      <t>イガイ</t>
    </rPh>
    <phoneticPr fontId="20"/>
  </si>
  <si>
    <t>Q1-2.1.2</t>
    <phoneticPr fontId="20"/>
  </si>
  <si>
    <t>躯体材料におけるリサイクル材の使用</t>
    <phoneticPr fontId="20"/>
  </si>
</sst>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1" formatCode="_ * #,##0_ ;_ * \-#,##0_ ;_ * &quot;-&quot;_ ;_ @_ "/>
    <numFmt numFmtId="176" formatCode="0.0_ "/>
    <numFmt numFmtId="177" formatCode="0.00_ "/>
    <numFmt numFmtId="178" formatCode="0.00_);[Red]\(0.00\)"/>
    <numFmt numFmtId="179" formatCode="0;0;&quot;－&quot;"/>
    <numFmt numFmtId="180" formatCode="#,##0_ "/>
    <numFmt numFmtId="181" formatCode="0.0"/>
    <numFmt numFmtId="182" formatCode="0.0;0.0;&quot;-&quot;\ "/>
    <numFmt numFmtId="183" formatCode="0.00;0.00;&quot;-&quot;\ "/>
    <numFmt numFmtId="184" formatCode="0.0;0.0;&quot;－&quot;"/>
    <numFmt numFmtId="185" formatCode="#,##0.0;[Red]\-#,##0.0"/>
    <numFmt numFmtId="186" formatCode="0.000_ "/>
    <numFmt numFmtId="187" formatCode="0.000_);[Red]\(0.000\)"/>
    <numFmt numFmtId="188" formatCode="0_ "/>
    <numFmt numFmtId="189" formatCode="#,###&quot;㎡&quot;"/>
    <numFmt numFmtId="190" formatCode="0.00;0.00;&quot;&quot;\ "/>
    <numFmt numFmtId="191" formatCode="0.00;0.00;&quot;-&quot;"/>
    <numFmt numFmtId="192" formatCode="&quot;レベル &quot;#0.0"/>
    <numFmt numFmtId="193" formatCode="&quot;レベル &quot;#.0;0.0;&quot;レベル&quot;"/>
    <numFmt numFmtId="194" formatCode="0.000;_Ā"/>
    <numFmt numFmtId="195" formatCode="#&quot;年&quot;"/>
    <numFmt numFmtId="196" formatCode="#,##0.000;[Red]\-#,##0.000"/>
    <numFmt numFmtId="197" formatCode="#,##0.0000;[Red]\-#,##0.0000"/>
    <numFmt numFmtId="198" formatCode="0.0000_ "/>
    <numFmt numFmtId="199" formatCode="0.0_);[Red]\(0.0\)"/>
    <numFmt numFmtId="200" formatCode="0.0;&quot;-&quot;\ "/>
    <numFmt numFmtId="201" formatCode="#,##0.0_ ;[Red]\-#,##0.0\ "/>
    <numFmt numFmtId="202" formatCode="#,##0.0_ "/>
    <numFmt numFmtId="203" formatCode=";;&quot;&quot;"/>
    <numFmt numFmtId="204" formatCode="0.000000_ "/>
    <numFmt numFmtId="205" formatCode="General;General;"/>
    <numFmt numFmtId="206" formatCode="0.0000"/>
    <numFmt numFmtId="207" formatCode="#,##0_);[Red]\(#,##0\)"/>
    <numFmt numFmtId="208" formatCode="&quot;レベル &quot;#.00;0.00;&quot;レベル&quot;"/>
    <numFmt numFmtId="209" formatCode="0.000"/>
    <numFmt numFmtId="210" formatCode="&quot;レベル &quot;#"/>
    <numFmt numFmtId="211" formatCode="&quot;レベル &quot;#0.0;0.00;&quot;対象外&quot;"/>
    <numFmt numFmtId="212" formatCode="0.00000_ "/>
    <numFmt numFmtId="213" formatCode="#,##0.00_ ;[Red]\-#,##0.00\ "/>
    <numFmt numFmtId="214" formatCode="#,##0.0_);[Red]\(#,##0.0\)"/>
    <numFmt numFmtId="215" formatCode="#,##0.00_);[Red]\(#,##0.00\)"/>
    <numFmt numFmtId="216" formatCode="0;_ "/>
  </numFmts>
  <fonts count="193">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color indexed="17"/>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10"/>
      <name val="ＭＳ Ｐゴシック"/>
      <family val="3"/>
      <charset val="128"/>
    </font>
    <font>
      <sz val="9"/>
      <name val="ＭＳ Ｐゴシック"/>
      <family val="3"/>
      <charset val="128"/>
    </font>
    <font>
      <b/>
      <sz val="10"/>
      <color indexed="9"/>
      <name val="ＭＳ Ｐゴシック"/>
      <family val="3"/>
      <charset val="128"/>
    </font>
    <font>
      <sz val="10"/>
      <name val="Arial"/>
      <family val="2"/>
    </font>
    <font>
      <sz val="10"/>
      <color indexed="9"/>
      <name val="ＭＳ Ｐゴシック"/>
      <family val="3"/>
      <charset val="128"/>
    </font>
    <font>
      <b/>
      <sz val="11"/>
      <name val="ＭＳ Ｐゴシック"/>
      <family val="3"/>
      <charset val="128"/>
    </font>
    <font>
      <sz val="10"/>
      <color indexed="53"/>
      <name val="ＭＳ Ｐゴシック"/>
      <family val="3"/>
      <charset val="128"/>
    </font>
    <font>
      <sz val="9"/>
      <color indexed="21"/>
      <name val="ＭＳ Ｐゴシック"/>
      <family val="3"/>
      <charset val="128"/>
    </font>
    <font>
      <b/>
      <sz val="9"/>
      <name val="Arial"/>
      <family val="2"/>
    </font>
    <font>
      <sz val="9"/>
      <color indexed="8"/>
      <name val="ＭＳ Ｐゴシック"/>
      <family val="3"/>
      <charset val="128"/>
    </font>
    <font>
      <sz val="8"/>
      <name val="ＭＳ Ｐゴシック"/>
      <family val="3"/>
      <charset val="128"/>
    </font>
    <font>
      <vertAlign val="subscript"/>
      <sz val="9"/>
      <color indexed="8"/>
      <name val="ＭＳ Ｐゴシック"/>
      <family val="3"/>
      <charset val="128"/>
    </font>
    <font>
      <b/>
      <sz val="8"/>
      <color indexed="10"/>
      <name val="ＭＳ Ｐゴシック"/>
      <family val="3"/>
      <charset val="128"/>
    </font>
    <font>
      <sz val="10"/>
      <color indexed="10"/>
      <name val="ＭＳ Ｐゴシック"/>
      <family val="3"/>
      <charset val="128"/>
    </font>
    <font>
      <b/>
      <sz val="10"/>
      <name val="ＭＳ Ｐゴシック"/>
      <family val="3"/>
      <charset val="128"/>
    </font>
    <font>
      <sz val="9"/>
      <color indexed="20"/>
      <name val="ＭＳ Ｐゴシック"/>
      <family val="3"/>
      <charset val="128"/>
    </font>
    <font>
      <sz val="10"/>
      <color indexed="21"/>
      <name val="ＭＳ Ｐゴシック"/>
      <family val="3"/>
      <charset val="128"/>
    </font>
    <font>
      <b/>
      <sz val="16"/>
      <name val="ＭＳ Ｐゴシック"/>
      <family val="3"/>
      <charset val="128"/>
    </font>
    <font>
      <b/>
      <sz val="18"/>
      <name val="ＭＳ Ｐゴシック"/>
      <family val="3"/>
      <charset val="128"/>
    </font>
    <font>
      <sz val="10"/>
      <color indexed="63"/>
      <name val="ＭＳ Ｐゴシック"/>
      <family val="3"/>
      <charset val="128"/>
    </font>
    <font>
      <sz val="9"/>
      <name val="Arial"/>
      <family val="2"/>
    </font>
    <font>
      <b/>
      <sz val="14"/>
      <color indexed="9"/>
      <name val="ＭＳ Ｐゴシック"/>
      <family val="3"/>
      <charset val="128"/>
    </font>
    <font>
      <sz val="9"/>
      <color indexed="9"/>
      <name val="ＭＳ Ｐゴシック"/>
      <family val="3"/>
      <charset val="128"/>
    </font>
    <font>
      <b/>
      <sz val="8"/>
      <name val="Arial"/>
      <family val="2"/>
    </font>
    <font>
      <sz val="9"/>
      <color indexed="10"/>
      <name val="Arial"/>
      <family val="2"/>
    </font>
    <font>
      <b/>
      <i/>
      <sz val="14"/>
      <name val="ＭＳ Ｐゴシック"/>
      <family val="3"/>
      <charset val="128"/>
    </font>
    <font>
      <sz val="9"/>
      <color indexed="17"/>
      <name val="ＭＳ Ｐゴシック"/>
      <family val="3"/>
      <charset val="128"/>
    </font>
    <font>
      <b/>
      <sz val="8"/>
      <color indexed="17"/>
      <name val="ＭＳ Ｐゴシック"/>
      <family val="3"/>
      <charset val="128"/>
    </font>
    <font>
      <sz val="9"/>
      <color indexed="10"/>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8"/>
      <name val="ＭＳ Ｐゴシック"/>
      <family val="3"/>
      <charset val="128"/>
    </font>
    <font>
      <b/>
      <sz val="12"/>
      <color indexed="9"/>
      <name val="ＭＳ Ｐゴシック"/>
      <family val="3"/>
      <charset val="128"/>
    </font>
    <font>
      <b/>
      <sz val="9"/>
      <color indexed="9"/>
      <name val="ＭＳ Ｐゴシック"/>
      <family val="3"/>
      <charset val="128"/>
    </font>
    <font>
      <b/>
      <sz val="9"/>
      <color indexed="26"/>
      <name val="ＭＳ Ｐゴシック"/>
      <family val="3"/>
      <charset val="128"/>
    </font>
    <font>
      <sz val="9"/>
      <color indexed="12"/>
      <name val="Arial"/>
      <family val="2"/>
    </font>
    <font>
      <b/>
      <sz val="9"/>
      <color indexed="8"/>
      <name val="ＭＳ Ｐゴシック"/>
      <family val="3"/>
      <charset val="128"/>
    </font>
    <font>
      <b/>
      <sz val="10"/>
      <color indexed="18"/>
      <name val="Arial"/>
      <family val="2"/>
    </font>
    <font>
      <b/>
      <sz val="10"/>
      <color indexed="17"/>
      <name val="ＭＳ Ｐゴシック"/>
      <family val="3"/>
      <charset val="128"/>
    </font>
    <font>
      <sz val="10"/>
      <color indexed="8"/>
      <name val="ＭＳ Ｐゴシック"/>
      <family val="3"/>
      <charset val="128"/>
    </font>
    <font>
      <vertAlign val="subscript"/>
      <sz val="10"/>
      <name val="ＭＳ Ｐゴシック"/>
      <family val="3"/>
      <charset val="128"/>
    </font>
    <font>
      <b/>
      <sz val="10"/>
      <color indexed="18"/>
      <name val="ＭＳ Ｐゴシック"/>
      <family val="3"/>
      <charset val="128"/>
    </font>
    <font>
      <b/>
      <sz val="12"/>
      <name val="ＭＳ Ｐゴシック"/>
      <family val="3"/>
      <charset val="128"/>
    </font>
    <font>
      <sz val="10"/>
      <color indexed="22"/>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0"/>
      <color indexed="10"/>
      <name val="ＭＳ Ｐゴシック"/>
      <family val="3"/>
      <charset val="128"/>
    </font>
    <font>
      <sz val="11"/>
      <name val="Arial"/>
      <family val="2"/>
    </font>
    <font>
      <b/>
      <sz val="11"/>
      <name val="Arial"/>
      <family val="2"/>
    </font>
    <font>
      <b/>
      <sz val="14"/>
      <name val="ＭＳ Ｐゴシック"/>
      <family val="3"/>
      <charset val="128"/>
    </font>
    <font>
      <sz val="11"/>
      <color indexed="9"/>
      <name val="Arial"/>
      <family val="2"/>
    </font>
    <font>
      <sz val="12"/>
      <name val="ＭＳ Ｐゴシック"/>
      <family val="3"/>
      <charset val="128"/>
    </font>
    <font>
      <b/>
      <sz val="14"/>
      <name val="Arial"/>
      <family val="2"/>
    </font>
    <font>
      <sz val="12"/>
      <name val="Arial"/>
      <family val="2"/>
    </font>
    <font>
      <b/>
      <sz val="12"/>
      <name val="Arial"/>
      <family val="2"/>
    </font>
    <font>
      <sz val="14"/>
      <name val="ＭＳ Ｐゴシック"/>
      <family val="3"/>
      <charset val="128"/>
    </font>
    <font>
      <sz val="8"/>
      <name val="Arial"/>
      <family val="2"/>
    </font>
    <font>
      <b/>
      <sz val="8"/>
      <color indexed="9"/>
      <name val="ＭＳ Ｐゴシック"/>
      <family val="3"/>
      <charset val="128"/>
    </font>
    <font>
      <b/>
      <i/>
      <sz val="11"/>
      <name val="ＭＳ Ｐゴシック"/>
      <family val="3"/>
      <charset val="128"/>
    </font>
    <font>
      <sz val="11"/>
      <color indexed="23"/>
      <name val="ＭＳ Ｐゴシック"/>
      <family val="3"/>
      <charset val="128"/>
    </font>
    <font>
      <b/>
      <sz val="10"/>
      <color indexed="9"/>
      <name val="Arial"/>
      <family val="2"/>
    </font>
    <font>
      <b/>
      <sz val="11"/>
      <color indexed="63"/>
      <name val="Arial"/>
      <family val="2"/>
    </font>
    <font>
      <sz val="9"/>
      <color indexed="63"/>
      <name val="Arial"/>
      <family val="2"/>
    </font>
    <font>
      <b/>
      <sz val="9"/>
      <color indexed="63"/>
      <name val="Arial"/>
      <family val="2"/>
    </font>
    <font>
      <b/>
      <sz val="10"/>
      <color indexed="63"/>
      <name val="ＭＳ Ｐゴシック"/>
      <family val="3"/>
      <charset val="128"/>
    </font>
    <font>
      <b/>
      <sz val="10"/>
      <color indexed="63"/>
      <name val="Arial"/>
      <family val="2"/>
    </font>
    <font>
      <b/>
      <sz val="18"/>
      <name val="Arial"/>
      <family val="2"/>
    </font>
    <font>
      <sz val="12"/>
      <color indexed="10"/>
      <name val="Arial"/>
      <family val="2"/>
    </font>
    <font>
      <b/>
      <i/>
      <sz val="9"/>
      <name val="ＭＳ Ｐ明朝"/>
      <family val="1"/>
      <charset val="128"/>
    </font>
    <font>
      <sz val="9"/>
      <color indexed="17"/>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Arial"/>
      <family val="2"/>
    </font>
    <font>
      <b/>
      <sz val="6"/>
      <color indexed="9"/>
      <name val="ＭＳ Ｐゴシック"/>
      <family val="3"/>
      <charset val="128"/>
    </font>
    <font>
      <sz val="11"/>
      <color indexed="63"/>
      <name val="Arial"/>
      <family val="2"/>
    </font>
    <font>
      <i/>
      <sz val="10"/>
      <name val="ＭＳ Ｐゴシック"/>
      <family val="3"/>
      <charset val="128"/>
    </font>
    <font>
      <sz val="10"/>
      <color indexed="10"/>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b/>
      <sz val="11"/>
      <color indexed="10"/>
      <name val="Arial"/>
      <family val="2"/>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i/>
      <sz val="8"/>
      <name val="Arial"/>
      <family val="2"/>
    </font>
    <font>
      <sz val="8"/>
      <color indexed="23"/>
      <name val="Arial"/>
      <family val="2"/>
    </font>
    <font>
      <sz val="8"/>
      <color indexed="10"/>
      <name val="Arial"/>
      <family val="2"/>
    </font>
    <font>
      <sz val="8"/>
      <color indexed="10"/>
      <name val="ＭＳ Ｐゴシック"/>
      <family val="3"/>
      <charset val="128"/>
    </font>
    <font>
      <sz val="6"/>
      <color indexed="23"/>
      <name val="Arial"/>
      <family val="2"/>
    </font>
    <font>
      <sz val="6"/>
      <name val="Arial"/>
      <family val="2"/>
    </font>
    <font>
      <b/>
      <sz val="10"/>
      <color indexed="22"/>
      <name val="Arial"/>
      <family val="2"/>
    </font>
    <font>
      <sz val="10"/>
      <color indexed="22"/>
      <name val="Arial"/>
      <family val="2"/>
    </font>
    <font>
      <i/>
      <sz val="10"/>
      <name val="Arial"/>
      <family val="2"/>
    </font>
    <font>
      <b/>
      <i/>
      <sz val="14"/>
      <name val="Arial"/>
      <family val="2"/>
    </font>
    <font>
      <b/>
      <vertAlign val="subscript"/>
      <sz val="12"/>
      <color indexed="9"/>
      <name val="Arial"/>
      <family val="2"/>
    </font>
    <font>
      <b/>
      <vertAlign val="subscript"/>
      <sz val="13"/>
      <name val="ＭＳ Ｐゴシック"/>
      <family val="3"/>
      <charset val="128"/>
    </font>
    <font>
      <b/>
      <sz val="13"/>
      <name val="ＭＳ Ｐゴシック"/>
      <family val="3"/>
      <charset val="128"/>
    </font>
    <font>
      <sz val="13"/>
      <name val="ＭＳ Ｐゴシック"/>
      <family val="3"/>
      <charset val="128"/>
    </font>
    <font>
      <b/>
      <vertAlign val="subscript"/>
      <sz val="10"/>
      <name val="Arial"/>
      <family val="2"/>
    </font>
    <font>
      <b/>
      <sz val="12"/>
      <color indexed="17"/>
      <name val="Arial"/>
      <family val="2"/>
    </font>
    <font>
      <b/>
      <sz val="10"/>
      <color indexed="8"/>
      <name val="ＭＳ Ｐゴシック"/>
      <family val="3"/>
      <charset val="128"/>
    </font>
    <font>
      <sz val="9"/>
      <color indexed="8"/>
      <name val="Arial"/>
      <family val="2"/>
    </font>
    <font>
      <vertAlign val="subscript"/>
      <sz val="12"/>
      <name val="ＭＳ Ｐゴシック"/>
      <family val="3"/>
      <charset val="128"/>
    </font>
    <font>
      <b/>
      <sz val="12"/>
      <color indexed="10"/>
      <name val="Arial"/>
      <family val="2"/>
    </font>
    <font>
      <sz val="12"/>
      <color indexed="8"/>
      <name val="Arial"/>
      <family val="2"/>
    </font>
    <font>
      <b/>
      <sz val="12"/>
      <color indexed="50"/>
      <name val="Arial"/>
      <family val="2"/>
    </font>
    <font>
      <b/>
      <vertAlign val="subscript"/>
      <sz val="12"/>
      <name val="ＭＳ Ｐゴシック"/>
      <family val="3"/>
      <charset val="128"/>
    </font>
    <font>
      <b/>
      <vertAlign val="subscript"/>
      <sz val="11"/>
      <name val="ＭＳ Ｐゴシック"/>
      <family val="3"/>
      <charset val="128"/>
    </font>
    <font>
      <b/>
      <sz val="10"/>
      <color indexed="12"/>
      <name val="ＭＳ Ｐゴシック"/>
      <family val="3"/>
      <charset val="128"/>
    </font>
    <font>
      <b/>
      <sz val="14"/>
      <color indexed="8"/>
      <name val="ＭＳ Ｐゴシック"/>
      <family val="3"/>
      <charset val="128"/>
    </font>
    <font>
      <sz val="14"/>
      <color indexed="8"/>
      <name val="ＭＳ Ｐゴシック"/>
      <family val="3"/>
      <charset val="128"/>
    </font>
    <font>
      <sz val="14"/>
      <color indexed="10"/>
      <name val="ＭＳ Ｐゴシック"/>
      <family val="3"/>
      <charset val="128"/>
    </font>
    <font>
      <sz val="9"/>
      <color indexed="81"/>
      <name val="ＭＳ Ｐゴシック"/>
      <family val="3"/>
      <charset val="128"/>
    </font>
    <font>
      <sz val="11"/>
      <color indexed="81"/>
      <name val="ＭＳ Ｐゴシック"/>
      <family val="3"/>
      <charset val="128"/>
    </font>
    <font>
      <b/>
      <sz val="10"/>
      <color indexed="81"/>
      <name val="ＭＳ Ｐゴシック"/>
      <family val="3"/>
      <charset val="128"/>
    </font>
    <font>
      <b/>
      <strike/>
      <sz val="10"/>
      <name val="ＭＳ Ｐゴシック"/>
      <family val="3"/>
      <charset val="128"/>
    </font>
    <font>
      <b/>
      <strike/>
      <sz val="10"/>
      <color indexed="18"/>
      <name val="Arial"/>
      <family val="2"/>
    </font>
    <font>
      <strike/>
      <sz val="10"/>
      <name val="ＭＳ Ｐゴシック"/>
      <family val="3"/>
      <charset val="128"/>
    </font>
    <font>
      <b/>
      <strike/>
      <sz val="9"/>
      <color indexed="8"/>
      <name val="ＭＳ Ｐゴシック"/>
      <family val="3"/>
      <charset val="128"/>
    </font>
    <font>
      <strike/>
      <sz val="9"/>
      <name val="ＭＳ Ｐゴシック"/>
      <family val="3"/>
      <charset val="128"/>
    </font>
    <font>
      <strike/>
      <sz val="8"/>
      <name val="ＭＳ Ｐゴシック"/>
      <family val="3"/>
      <charset val="128"/>
    </font>
    <font>
      <b/>
      <sz val="16"/>
      <color indexed="9"/>
      <name val="ＭＳ Ｐゴシック"/>
      <family val="3"/>
      <charset val="128"/>
    </font>
    <font>
      <b/>
      <sz val="9"/>
      <color indexed="10"/>
      <name val="ＭＳ Ｐゴシック"/>
      <family val="3"/>
      <charset val="128"/>
    </font>
    <font>
      <b/>
      <sz val="9"/>
      <color indexed="81"/>
      <name val="ＭＳ Ｐゴシック"/>
      <family val="3"/>
      <charset val="128"/>
    </font>
    <font>
      <i/>
      <sz val="9"/>
      <name val="ＭＳ Ｐ明朝"/>
      <family val="1"/>
      <charset val="128"/>
    </font>
    <font>
      <sz val="10"/>
      <color indexed="12"/>
      <name val="ＭＳ Ｐゴシック"/>
      <family val="3"/>
      <charset val="128"/>
    </font>
    <font>
      <b/>
      <sz val="10"/>
      <color indexed="10"/>
      <name val="Arial"/>
      <family val="2"/>
    </font>
    <font>
      <b/>
      <strike/>
      <sz val="11"/>
      <name val="ＭＳ Ｐゴシック"/>
      <family val="3"/>
      <charset val="128"/>
    </font>
    <font>
      <b/>
      <i/>
      <sz val="10"/>
      <color theme="8" tint="-0.499984740745262"/>
      <name val="ＭＳ Ｐゴシック"/>
      <family val="3"/>
      <charset val="128"/>
    </font>
    <font>
      <i/>
      <sz val="9"/>
      <color theme="8" tint="-0.499984740745262"/>
      <name val="ＭＳ Ｐゴシック"/>
      <family val="3"/>
      <charset val="128"/>
    </font>
    <font>
      <sz val="7"/>
      <name val="ＭＳ Ｐゴシック"/>
      <family val="3"/>
      <charset val="128"/>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
      <sz val="22"/>
      <name val="ＭＳ Ｐゴシック"/>
      <family val="3"/>
      <charset val="128"/>
    </font>
    <font>
      <b/>
      <i/>
      <sz val="11"/>
      <name val="Century"/>
      <family val="1"/>
    </font>
    <font>
      <b/>
      <sz val="10"/>
      <color indexed="14"/>
      <name val="ＭＳ Ｐゴシック"/>
      <family val="3"/>
      <charset val="128"/>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6"/>
        <bgColor indexed="64"/>
      </patternFill>
    </fill>
    <fill>
      <patternFill patternType="solid">
        <fgColor indexed="17"/>
        <bgColor indexed="64"/>
      </patternFill>
    </fill>
    <fill>
      <patternFill patternType="solid">
        <fgColor indexed="22"/>
        <bgColor indexed="64"/>
      </patternFill>
    </fill>
    <fill>
      <patternFill patternType="solid">
        <fgColor indexed="41"/>
        <bgColor indexed="64"/>
      </patternFill>
    </fill>
    <fill>
      <patternFill patternType="solid">
        <fgColor indexed="63"/>
        <bgColor indexed="64"/>
      </patternFill>
    </fill>
    <fill>
      <patternFill patternType="solid">
        <fgColor indexed="47"/>
        <bgColor indexed="64"/>
      </patternFill>
    </fill>
    <fill>
      <patternFill patternType="solid">
        <fgColor indexed="23"/>
        <bgColor indexed="64"/>
      </patternFill>
    </fill>
    <fill>
      <patternFill patternType="lightTrellis">
        <bgColor indexed="26"/>
      </patternFill>
    </fill>
    <fill>
      <patternFill patternType="solid">
        <fgColor indexed="45"/>
        <bgColor indexed="64"/>
      </patternFill>
    </fill>
    <fill>
      <patternFill patternType="solid">
        <fgColor indexed="46"/>
        <bgColor indexed="64"/>
      </patternFill>
    </fill>
    <fill>
      <patternFill patternType="lightTrellis"/>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10"/>
        <bgColor indexed="64"/>
      </patternFill>
    </fill>
    <fill>
      <patternFill patternType="solid">
        <fgColor indexed="13"/>
        <bgColor indexed="64"/>
      </patternFill>
    </fill>
    <fill>
      <patternFill patternType="lightTrellis">
        <bgColor indexed="9"/>
      </patternFill>
    </fill>
    <fill>
      <patternFill patternType="solid">
        <fgColor rgb="FFFFFF00"/>
        <bgColor indexed="64"/>
      </patternFill>
    </fill>
    <fill>
      <patternFill patternType="solid">
        <fgColor theme="0" tint="-0.499984740745262"/>
        <bgColor indexed="64"/>
      </patternFill>
    </fill>
    <fill>
      <patternFill patternType="solid">
        <fgColor indexed="14"/>
        <bgColor indexed="64"/>
      </patternFill>
    </fill>
    <fill>
      <patternFill patternType="solid">
        <fgColor rgb="FFCCFFFF"/>
        <bgColor indexed="64"/>
      </patternFill>
    </fill>
    <fill>
      <patternFill patternType="solid">
        <fgColor rgb="FFFFFFCC"/>
        <bgColor indexed="64"/>
      </patternFill>
    </fill>
    <fill>
      <patternFill patternType="lightTrellis">
        <bgColor rgb="FFFFFFCC"/>
      </patternFill>
    </fill>
    <fill>
      <patternFill patternType="solid">
        <fgColor indexed="44"/>
        <bgColor indexed="64"/>
      </patternFill>
    </fill>
    <fill>
      <patternFill patternType="solid">
        <fgColor indexed="43"/>
        <bgColor indexed="64"/>
      </patternFill>
    </fill>
  </fills>
  <borders count="2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medium">
        <color indexed="17"/>
      </left>
      <right style="thin">
        <color indexed="64"/>
      </right>
      <top/>
      <bottom/>
      <diagonal/>
    </border>
    <border>
      <left style="thin">
        <color indexed="64"/>
      </left>
      <right/>
      <top/>
      <bottom/>
      <diagonal/>
    </border>
    <border>
      <left/>
      <right style="medium">
        <color indexed="17"/>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style="medium">
        <color indexed="17"/>
      </left>
      <right/>
      <top style="thin">
        <color indexed="17"/>
      </top>
      <bottom/>
      <diagonal/>
    </border>
    <border>
      <left/>
      <right/>
      <top style="thin">
        <color indexed="17"/>
      </top>
      <bottom/>
      <diagonal/>
    </border>
    <border>
      <left/>
      <right style="medium">
        <color indexed="17"/>
      </right>
      <top style="thin">
        <color indexed="17"/>
      </top>
      <bottom/>
      <diagonal/>
    </border>
    <border>
      <left style="medium">
        <color indexed="17"/>
      </left>
      <right/>
      <top/>
      <bottom style="thin">
        <color indexed="17"/>
      </bottom>
      <diagonal/>
    </border>
    <border>
      <left/>
      <right/>
      <top/>
      <bottom style="thin">
        <color indexed="17"/>
      </bottom>
      <diagonal/>
    </border>
    <border>
      <left/>
      <right style="medium">
        <color indexed="17"/>
      </right>
      <top/>
      <bottom style="thin">
        <color indexed="17"/>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hair">
        <color indexed="64"/>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17"/>
      </bottom>
      <diagonal/>
    </border>
    <border>
      <left style="medium">
        <color indexed="17"/>
      </left>
      <right style="medium">
        <color indexed="17"/>
      </right>
      <top style="medium">
        <color indexed="17"/>
      </top>
      <bottom/>
      <diagonal/>
    </border>
    <border>
      <left/>
      <right/>
      <top style="hair">
        <color indexed="64"/>
      </top>
      <bottom style="hair">
        <color indexed="64"/>
      </bottom>
      <diagonal/>
    </border>
    <border>
      <left/>
      <right style="medium">
        <color indexed="17"/>
      </right>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23"/>
      </bottom>
      <diagonal/>
    </border>
    <border>
      <left style="medium">
        <color indexed="64"/>
      </left>
      <right/>
      <top/>
      <bottom/>
      <diagonal/>
    </border>
    <border>
      <left style="dashed">
        <color indexed="64"/>
      </left>
      <right style="medium">
        <color indexed="64"/>
      </right>
      <top style="thin">
        <color indexed="64"/>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top style="medium">
        <color indexed="23"/>
      </top>
      <bottom style="medium">
        <color indexed="23"/>
      </bottom>
      <diagonal/>
    </border>
    <border>
      <left style="thin">
        <color indexed="64"/>
      </left>
      <right style="thin">
        <color indexed="64"/>
      </right>
      <top style="medium">
        <color indexed="23"/>
      </top>
      <bottom style="medium">
        <color indexed="23"/>
      </bottom>
      <diagonal/>
    </border>
    <border>
      <left style="dashed">
        <color indexed="64"/>
      </left>
      <right style="medium">
        <color indexed="64"/>
      </right>
      <top style="medium">
        <color indexed="23"/>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dashed">
        <color indexed="64"/>
      </left>
      <right style="medium">
        <color indexed="64"/>
      </right>
      <top style="medium">
        <color indexed="23"/>
      </top>
      <bottom/>
      <diagonal/>
    </border>
    <border>
      <left/>
      <right style="medium">
        <color indexed="64"/>
      </right>
      <top style="medium">
        <color indexed="23"/>
      </top>
      <bottom/>
      <diagonal/>
    </border>
    <border>
      <left style="medium">
        <color indexed="64"/>
      </left>
      <right/>
      <top style="medium">
        <color indexed="23"/>
      </top>
      <bottom/>
      <diagonal/>
    </border>
    <border>
      <left style="medium">
        <color indexed="64"/>
      </left>
      <right/>
      <top style="thin">
        <color indexed="64"/>
      </top>
      <bottom/>
      <diagonal/>
    </border>
    <border>
      <left style="medium">
        <color indexed="64"/>
      </left>
      <right/>
      <top/>
      <bottom style="medium">
        <color indexed="64"/>
      </bottom>
      <diagonal/>
    </border>
    <border>
      <left style="dashed">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ashed">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dashed">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style="thin">
        <color indexed="64"/>
      </left>
      <right style="thin">
        <color indexed="64"/>
      </right>
      <top style="medium">
        <color indexed="64"/>
      </top>
      <bottom style="medium">
        <color indexed="23"/>
      </bottom>
      <diagonal/>
    </border>
    <border>
      <left style="dashed">
        <color indexed="64"/>
      </left>
      <right style="medium">
        <color indexed="64"/>
      </right>
      <top/>
      <bottom style="medium">
        <color indexed="23"/>
      </bottom>
      <diagonal/>
    </border>
    <border>
      <left/>
      <right/>
      <top/>
      <bottom style="medium">
        <color indexed="23"/>
      </bottom>
      <diagonal/>
    </border>
    <border>
      <left/>
      <right style="medium">
        <color indexed="64"/>
      </right>
      <top style="medium">
        <color indexed="64"/>
      </top>
      <bottom style="medium">
        <color indexed="23"/>
      </bottom>
      <diagonal/>
    </border>
    <border>
      <left style="dashed">
        <color indexed="64"/>
      </left>
      <right style="medium">
        <color indexed="64"/>
      </right>
      <top style="medium">
        <color indexed="23"/>
      </top>
      <bottom style="thin">
        <color indexed="64"/>
      </bottom>
      <diagonal/>
    </border>
    <border>
      <left/>
      <right style="medium">
        <color indexed="64"/>
      </right>
      <top style="medium">
        <color indexed="23"/>
      </top>
      <bottom style="thin">
        <color indexed="64"/>
      </bottom>
      <diagonal/>
    </border>
    <border>
      <left style="medium">
        <color indexed="64"/>
      </left>
      <right/>
      <top style="medium">
        <color indexed="23"/>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medium">
        <color indexed="23"/>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23"/>
      </top>
      <bottom style="medium">
        <color indexed="23"/>
      </bottom>
      <diagonal/>
    </border>
    <border>
      <left/>
      <right style="thin">
        <color indexed="64"/>
      </right>
      <top style="medium">
        <color indexed="23"/>
      </top>
      <bottom style="medium">
        <color indexed="23"/>
      </bottom>
      <diagonal/>
    </border>
    <border>
      <left style="dashed">
        <color indexed="64"/>
      </left>
      <right style="medium">
        <color indexed="64"/>
      </right>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thin">
        <color indexed="64"/>
      </left>
      <right/>
      <top/>
      <bottom style="medium">
        <color indexed="23"/>
      </bottom>
      <diagonal/>
    </border>
    <border>
      <left style="thin">
        <color indexed="64"/>
      </left>
      <right style="thin">
        <color indexed="64"/>
      </right>
      <top/>
      <bottom style="medium">
        <color indexed="23"/>
      </bottom>
      <diagonal/>
    </border>
    <border>
      <left style="thin">
        <color indexed="64"/>
      </left>
      <right style="dashed">
        <color indexed="64"/>
      </right>
      <top style="medium">
        <color indexed="23"/>
      </top>
      <bottom style="medium">
        <color indexed="23"/>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style="medium">
        <color indexed="64"/>
      </top>
      <bottom/>
      <diagonal/>
    </border>
    <border>
      <left style="thin">
        <color indexed="64"/>
      </left>
      <right/>
      <top style="medium">
        <color indexed="64"/>
      </top>
      <bottom style="medium">
        <color indexed="23"/>
      </bottom>
      <diagonal/>
    </border>
    <border>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64"/>
      </bottom>
      <diagonal/>
    </border>
    <border>
      <left style="thin">
        <color indexed="64"/>
      </left>
      <right style="dashed">
        <color indexed="64"/>
      </right>
      <top style="medium">
        <color indexed="23"/>
      </top>
      <bottom/>
      <diagonal/>
    </border>
    <border>
      <left/>
      <right style="thin">
        <color indexed="64"/>
      </right>
      <top/>
      <bottom style="medium">
        <color indexed="64"/>
      </bottom>
      <diagonal/>
    </border>
    <border>
      <left style="medium">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thin">
        <color indexed="64"/>
      </left>
      <right style="dashed">
        <color indexed="64"/>
      </right>
      <top style="medium">
        <color indexed="64"/>
      </top>
      <bottom style="thin">
        <color indexed="64"/>
      </bottom>
      <diagonal/>
    </border>
    <border>
      <left style="medium">
        <color indexed="9"/>
      </left>
      <right/>
      <top style="medium">
        <color indexed="64"/>
      </top>
      <bottom style="medium">
        <color indexed="64"/>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9"/>
      </right>
      <top style="medium">
        <color indexed="64"/>
      </top>
      <bottom style="medium">
        <color indexed="64"/>
      </bottom>
      <diagonal/>
    </border>
    <border>
      <left style="medium">
        <color indexed="9"/>
      </left>
      <right/>
      <top style="medium">
        <color indexed="64"/>
      </top>
      <bottom/>
      <diagonal/>
    </border>
    <border>
      <left style="hair">
        <color indexed="64"/>
      </left>
      <right/>
      <top style="medium">
        <color indexed="64"/>
      </top>
      <bottom style="thin">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right style="medium">
        <color indexed="64"/>
      </right>
      <top style="hair">
        <color indexed="64"/>
      </top>
      <bottom/>
      <diagonal/>
    </border>
    <border>
      <left/>
      <right/>
      <top style="hair">
        <color indexed="64"/>
      </top>
      <bottom/>
      <diagonal/>
    </border>
    <border>
      <left/>
      <right/>
      <top/>
      <bottom style="medium">
        <color indexed="17"/>
      </bottom>
      <diagonal/>
    </border>
    <border>
      <left/>
      <right style="medium">
        <color indexed="17"/>
      </right>
      <top/>
      <bottom style="medium">
        <color indexed="17"/>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hair">
        <color indexed="64"/>
      </top>
      <bottom/>
      <diagonal/>
    </border>
    <border>
      <left style="dashed">
        <color indexed="64"/>
      </left>
      <right style="medium">
        <color indexed="64"/>
      </right>
      <top style="thin">
        <color indexed="64"/>
      </top>
      <bottom style="thin">
        <color indexed="64"/>
      </bottom>
      <diagonal/>
    </border>
    <border>
      <left/>
      <right style="medium">
        <color indexed="17"/>
      </right>
      <top style="thin">
        <color indexed="64"/>
      </top>
      <bottom/>
      <diagonal/>
    </border>
    <border>
      <left style="thin">
        <color indexed="64"/>
      </left>
      <right/>
      <top/>
      <bottom style="medium">
        <color indexed="17"/>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medium">
        <color indexed="23"/>
      </top>
      <bottom style="thin">
        <color indexed="64"/>
      </bottom>
      <diagonal/>
    </border>
    <border>
      <left/>
      <right style="thin">
        <color indexed="64"/>
      </right>
      <top/>
      <bottom style="medium">
        <color indexed="23"/>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thin">
        <color indexed="64"/>
      </top>
      <bottom/>
      <diagonal/>
    </border>
    <border>
      <left style="thin">
        <color indexed="64"/>
      </left>
      <right style="dashed">
        <color indexed="64"/>
      </right>
      <top/>
      <bottom style="medium">
        <color indexed="23"/>
      </bottom>
      <diagonal/>
    </border>
    <border>
      <left style="medium">
        <color indexed="64"/>
      </left>
      <right style="medium">
        <color indexed="64"/>
      </right>
      <top/>
      <bottom style="medium">
        <color indexed="23"/>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bottom style="medium">
        <color indexed="64"/>
      </bottom>
      <diagonal/>
    </border>
    <border>
      <left/>
      <right style="medium">
        <color indexed="17"/>
      </right>
      <top style="thin">
        <color indexed="64"/>
      </top>
      <bottom style="thin">
        <color indexed="64"/>
      </bottom>
      <diagonal/>
    </border>
    <border>
      <left style="dashed">
        <color indexed="64"/>
      </left>
      <right style="medium">
        <color indexed="64"/>
      </right>
      <top style="medium">
        <color indexed="64"/>
      </top>
      <bottom style="medium">
        <color indexed="23"/>
      </bottom>
      <diagonal/>
    </border>
    <border>
      <left style="thin">
        <color indexed="64"/>
      </left>
      <right style="medium">
        <color indexed="64"/>
      </right>
      <top/>
      <bottom/>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
      <left style="thin">
        <color indexed="9"/>
      </left>
      <right/>
      <top style="thin">
        <color indexed="9"/>
      </top>
      <bottom/>
      <diagonal/>
    </border>
    <border>
      <left/>
      <right/>
      <top style="thin">
        <color indexed="9"/>
      </top>
      <bottom/>
      <diagonal/>
    </border>
    <border>
      <left/>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style="thin">
        <color indexed="9"/>
      </left>
      <right/>
      <top style="thin">
        <color indexed="9"/>
      </top>
      <bottom style="medium">
        <color indexed="64"/>
      </bottom>
      <diagonal/>
    </border>
    <border>
      <left/>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s>
  <cellStyleXfs count="48">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Protection="0">
      <alignment horizontal="left" vertical="center" indent="1"/>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7" fillId="0" borderId="0" applyNumberFormat="0" applyFill="0" applyBorder="0" applyProtection="0">
      <alignment horizontal="left" vertical="center" indent="1"/>
      <protection locked="0"/>
    </xf>
    <xf numFmtId="0" fontId="19" fillId="4" borderId="0" applyNumberFormat="0" applyBorder="0" applyAlignment="0" applyProtection="0">
      <alignment vertical="center"/>
    </xf>
  </cellStyleXfs>
  <cellXfs count="2938">
    <xf numFmtId="0" fontId="0" fillId="0" borderId="0" xfId="0">
      <alignment vertical="center"/>
    </xf>
    <xf numFmtId="0" fontId="0" fillId="0" borderId="10" xfId="0" applyBorder="1">
      <alignment vertical="center"/>
    </xf>
    <xf numFmtId="0" fontId="6" fillId="24" borderId="0" xfId="0" applyFont="1" applyFill="1" applyProtection="1">
      <alignment vertical="center"/>
    </xf>
    <xf numFmtId="0" fontId="11" fillId="24" borderId="0" xfId="0" applyFont="1" applyFill="1" applyAlignment="1" applyProtection="1">
      <alignment vertical="center"/>
    </xf>
    <xf numFmtId="0" fontId="6" fillId="0" borderId="0" xfId="0" applyFont="1" applyFill="1" applyBorder="1" applyProtection="1">
      <alignment vertical="center"/>
    </xf>
    <xf numFmtId="0" fontId="6" fillId="0" borderId="0" xfId="0" applyFont="1" applyFill="1" applyBorder="1" applyAlignment="1" applyProtection="1">
      <alignment horizontal="center"/>
    </xf>
    <xf numFmtId="0" fontId="6" fillId="0" borderId="0" xfId="0" applyFont="1" applyFill="1" applyProtection="1">
      <alignment vertical="center"/>
    </xf>
    <xf numFmtId="0" fontId="22" fillId="0" borderId="0" xfId="0" applyFont="1" applyFill="1" applyBorder="1" applyAlignment="1" applyProtection="1">
      <alignment horizontal="left" vertical="top"/>
      <protection hidden="1"/>
    </xf>
    <xf numFmtId="0" fontId="22" fillId="0" borderId="0" xfId="0" applyFont="1" applyFill="1" applyBorder="1" applyAlignment="1" applyProtection="1">
      <alignment vertical="top"/>
      <protection hidden="1"/>
    </xf>
    <xf numFmtId="0" fontId="6"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23" fillId="25" borderId="0" xfId="0" applyFont="1" applyFill="1" applyBorder="1" applyAlignment="1" applyProtection="1">
      <alignment horizontal="centerContinuous" vertical="center"/>
      <protection hidden="1"/>
    </xf>
    <xf numFmtId="0" fontId="24" fillId="25" borderId="0" xfId="0"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0" fillId="24" borderId="0" xfId="0" applyFill="1" applyAlignment="1" applyProtection="1">
      <alignment vertical="center"/>
    </xf>
    <xf numFmtId="0" fontId="25" fillId="24" borderId="0" xfId="0" applyFont="1" applyFill="1" applyBorder="1" applyAlignment="1">
      <alignment horizontal="left" vertical="center"/>
    </xf>
    <xf numFmtId="0" fontId="26" fillId="24" borderId="0" xfId="0" applyFont="1" applyFill="1" applyBorder="1" applyAlignment="1" applyProtection="1">
      <alignment vertical="center"/>
    </xf>
    <xf numFmtId="0" fontId="6" fillId="24" borderId="0" xfId="0" applyFont="1" applyFill="1" applyAlignment="1" applyProtection="1">
      <alignment vertical="center"/>
    </xf>
    <xf numFmtId="0" fontId="0" fillId="24" borderId="0" xfId="0" applyFill="1" applyAlignment="1" applyProtection="1">
      <alignment vertical="center"/>
      <protection hidden="1"/>
    </xf>
    <xf numFmtId="0" fontId="0" fillId="0" borderId="0" xfId="0" applyFill="1" applyBorder="1" applyAlignment="1" applyProtection="1">
      <alignment vertical="center"/>
      <protection hidden="1"/>
    </xf>
    <xf numFmtId="0" fontId="0" fillId="0" borderId="0" xfId="0" applyFill="1" applyProtection="1">
      <alignment vertical="center"/>
    </xf>
    <xf numFmtId="0" fontId="27" fillId="0" borderId="0" xfId="0" applyFont="1" applyFill="1" applyAlignment="1" applyProtection="1">
      <alignment vertical="center"/>
    </xf>
    <xf numFmtId="0" fontId="0" fillId="0" borderId="0" xfId="0" applyFill="1" applyAlignment="1" applyProtection="1">
      <alignment vertical="center"/>
    </xf>
    <xf numFmtId="0" fontId="28" fillId="24" borderId="0" xfId="0" applyFont="1" applyFill="1" applyBorder="1" applyAlignment="1">
      <alignment horizontal="left" vertical="center"/>
    </xf>
    <xf numFmtId="0" fontId="26" fillId="24" borderId="0" xfId="0" applyFont="1" applyFill="1" applyBorder="1" applyAlignment="1">
      <alignment vertical="center"/>
    </xf>
    <xf numFmtId="0" fontId="22" fillId="0" borderId="11" xfId="0" applyFont="1" applyBorder="1" applyAlignment="1" applyProtection="1">
      <alignment vertical="center"/>
      <protection hidden="1"/>
    </xf>
    <xf numFmtId="0" fontId="0" fillId="0" borderId="12" xfId="0"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0" xfId="0" applyFill="1" applyBorder="1" applyAlignment="1" applyProtection="1">
      <alignment vertical="center"/>
    </xf>
    <xf numFmtId="0" fontId="0" fillId="0" borderId="0" xfId="0" applyFill="1" applyBorder="1" applyProtection="1">
      <alignment vertical="center"/>
    </xf>
    <xf numFmtId="0" fontId="29" fillId="25" borderId="14" xfId="0" applyFont="1" applyFill="1" applyBorder="1" applyAlignment="1" applyProtection="1">
      <alignment vertical="center"/>
      <protection hidden="1"/>
    </xf>
    <xf numFmtId="0" fontId="31" fillId="25" borderId="15" xfId="0" applyFont="1" applyFill="1" applyBorder="1" applyAlignment="1" applyProtection="1">
      <alignment vertical="center"/>
      <protection hidden="1"/>
    </xf>
    <xf numFmtId="0" fontId="31" fillId="25" borderId="16" xfId="0" applyFont="1" applyFill="1" applyBorder="1" applyAlignment="1" applyProtection="1">
      <alignment vertical="center"/>
      <protection hidden="1"/>
    </xf>
    <xf numFmtId="0" fontId="0" fillId="24" borderId="0" xfId="0" applyFill="1" applyProtection="1">
      <alignment vertical="center"/>
      <protection hidden="1"/>
    </xf>
    <xf numFmtId="0" fontId="27" fillId="0" borderId="0" xfId="0" applyFont="1" applyFill="1" applyBorder="1" applyAlignment="1" applyProtection="1">
      <alignment vertical="center"/>
    </xf>
    <xf numFmtId="0" fontId="0" fillId="24" borderId="0" xfId="0" applyFill="1" applyProtection="1">
      <alignment vertical="center"/>
    </xf>
    <xf numFmtId="49" fontId="27" fillId="24" borderId="17" xfId="0" applyNumberFormat="1" applyFont="1" applyFill="1" applyBorder="1" applyAlignment="1" applyProtection="1">
      <protection hidden="1"/>
    </xf>
    <xf numFmtId="0" fontId="32" fillId="24" borderId="0" xfId="0" applyFont="1" applyFill="1">
      <alignment vertical="center"/>
    </xf>
    <xf numFmtId="0" fontId="0" fillId="24" borderId="0" xfId="0" applyFill="1">
      <alignment vertical="center"/>
    </xf>
    <xf numFmtId="0" fontId="0" fillId="24" borderId="17" xfId="0" applyFill="1" applyBorder="1">
      <alignment vertical="center"/>
    </xf>
    <xf numFmtId="178" fontId="32" fillId="24" borderId="0" xfId="0" applyNumberFormat="1" applyFont="1" applyFill="1" applyBorder="1" applyAlignment="1" applyProtection="1">
      <alignment vertical="center"/>
    </xf>
    <xf numFmtId="178" fontId="6" fillId="24" borderId="18" xfId="0" applyNumberFormat="1" applyFont="1" applyFill="1" applyBorder="1" applyAlignment="1" applyProtection="1">
      <alignment horizontal="right" vertical="center"/>
    </xf>
    <xf numFmtId="3" fontId="26" fillId="24"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protection hidden="1"/>
    </xf>
    <xf numFmtId="0" fontId="27" fillId="0" borderId="0" xfId="0" applyFont="1" applyFill="1" applyBorder="1" applyProtection="1">
      <alignment vertical="center"/>
    </xf>
    <xf numFmtId="0" fontId="0" fillId="24" borderId="0" xfId="0" applyFill="1" applyBorder="1">
      <alignment vertical="center"/>
    </xf>
    <xf numFmtId="0" fontId="27" fillId="24" borderId="17" xfId="0" applyFont="1" applyFill="1" applyBorder="1" applyAlignment="1" applyProtection="1">
      <protection hidden="1"/>
    </xf>
    <xf numFmtId="0" fontId="27" fillId="0" borderId="10" xfId="0" applyFont="1" applyFill="1" applyBorder="1" applyAlignment="1" applyProtection="1">
      <alignment horizontal="left" vertical="center"/>
      <protection locked="0"/>
    </xf>
    <xf numFmtId="0" fontId="0" fillId="24" borderId="0" xfId="0" applyFill="1" applyBorder="1" applyAlignment="1" applyProtection="1">
      <alignment horizontal="left"/>
      <protection hidden="1"/>
    </xf>
    <xf numFmtId="0" fontId="33" fillId="0" borderId="10" xfId="0" applyFont="1" applyFill="1" applyBorder="1" applyAlignment="1" applyProtection="1">
      <alignment horizontal="center" vertical="center"/>
      <protection locked="0"/>
    </xf>
    <xf numFmtId="0" fontId="33" fillId="24" borderId="0" xfId="0" applyFont="1" applyFill="1" applyBorder="1" applyAlignment="1" applyProtection="1">
      <alignment horizontal="center" vertical="center"/>
      <protection locked="0"/>
    </xf>
    <xf numFmtId="0" fontId="27" fillId="0" borderId="0" xfId="0" applyFont="1" applyFill="1" applyProtection="1">
      <alignment vertical="center"/>
    </xf>
    <xf numFmtId="3" fontId="30" fillId="24" borderId="0" xfId="0" applyNumberFormat="1" applyFont="1" applyFill="1" applyBorder="1" applyAlignment="1" applyProtection="1">
      <alignment horizontal="left" vertical="center"/>
      <protection hidden="1"/>
    </xf>
    <xf numFmtId="55" fontId="27" fillId="0" borderId="10" xfId="0" applyNumberFormat="1" applyFont="1" applyFill="1" applyBorder="1" applyAlignment="1" applyProtection="1">
      <alignment horizontal="right" vertical="center"/>
      <protection locked="0"/>
    </xf>
    <xf numFmtId="55" fontId="27" fillId="24" borderId="0" xfId="0" applyNumberFormat="1" applyFont="1" applyFill="1" applyBorder="1" applyAlignment="1" applyProtection="1">
      <alignment horizontal="right" vertical="center"/>
      <protection locked="0"/>
    </xf>
    <xf numFmtId="181"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horizontal="right" vertical="top"/>
      <protection hidden="1"/>
    </xf>
    <xf numFmtId="0" fontId="34" fillId="24" borderId="18" xfId="0" applyFont="1" applyFill="1" applyBorder="1" applyAlignment="1" applyProtection="1">
      <alignment horizontal="left" vertical="center"/>
      <protection hidden="1"/>
    </xf>
    <xf numFmtId="0" fontId="27" fillId="24" borderId="19" xfId="0" applyFont="1" applyFill="1" applyBorder="1" applyAlignment="1" applyProtection="1">
      <protection hidden="1"/>
    </xf>
    <xf numFmtId="0" fontId="28" fillId="24" borderId="20" xfId="0" applyFont="1" applyFill="1" applyBorder="1" applyAlignment="1" applyProtection="1">
      <alignment horizontal="left" vertical="center"/>
      <protection hidden="1"/>
    </xf>
    <xf numFmtId="0" fontId="0" fillId="24" borderId="18" xfId="0" applyFill="1" applyBorder="1">
      <alignment vertical="center"/>
    </xf>
    <xf numFmtId="0" fontId="0" fillId="24" borderId="0" xfId="0" applyFill="1" applyAlignment="1">
      <alignment vertical="center"/>
    </xf>
    <xf numFmtId="0" fontId="0" fillId="0" borderId="0" xfId="0" applyProtection="1">
      <alignment vertical="center"/>
    </xf>
    <xf numFmtId="40" fontId="6" fillId="24" borderId="10" xfId="35" applyNumberFormat="1" applyFont="1" applyFill="1" applyBorder="1" applyAlignment="1" applyProtection="1">
      <alignment horizontal="right" vertical="center"/>
    </xf>
    <xf numFmtId="40" fontId="6" fillId="24" borderId="0" xfId="35" applyNumberFormat="1" applyFont="1" applyFill="1" applyBorder="1" applyAlignment="1" applyProtection="1">
      <alignment vertical="center"/>
    </xf>
    <xf numFmtId="0" fontId="0" fillId="24" borderId="21" xfId="0" applyFill="1" applyBorder="1">
      <alignment vertical="center"/>
    </xf>
    <xf numFmtId="0" fontId="28" fillId="24" borderId="0" xfId="0"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xf>
    <xf numFmtId="0" fontId="27" fillId="24" borderId="17" xfId="0" applyFont="1" applyFill="1" applyBorder="1" applyAlignment="1" applyProtection="1">
      <alignment horizontal="left"/>
      <protection hidden="1"/>
    </xf>
    <xf numFmtId="0" fontId="27" fillId="0" borderId="10" xfId="0" applyFont="1" applyFill="1" applyBorder="1" applyAlignment="1" applyProtection="1">
      <alignment horizontal="right" vertical="center"/>
      <protection locked="0"/>
    </xf>
    <xf numFmtId="0" fontId="27" fillId="24" borderId="0" xfId="0" applyFont="1" applyFill="1" applyBorder="1" applyAlignment="1" applyProtection="1">
      <alignment horizontal="right" vertical="center"/>
      <protection locked="0"/>
    </xf>
    <xf numFmtId="0" fontId="27" fillId="0" borderId="22" xfId="0" applyFont="1" applyFill="1" applyBorder="1" applyAlignment="1" applyProtection="1">
      <alignment horizontal="right" vertical="center"/>
      <protection locked="0"/>
    </xf>
    <xf numFmtId="2" fontId="28" fillId="24" borderId="0" xfId="0" applyNumberFormat="1" applyFont="1" applyFill="1" applyBorder="1" applyAlignment="1" applyProtection="1">
      <alignment horizontal="left" vertical="center"/>
      <protection hidden="1"/>
    </xf>
    <xf numFmtId="3" fontId="35" fillId="24" borderId="0" xfId="0" applyNumberFormat="1" applyFont="1" applyFill="1" applyBorder="1" applyAlignment="1" applyProtection="1">
      <alignment horizontal="left" vertical="center"/>
      <protection hidden="1"/>
    </xf>
    <xf numFmtId="0" fontId="27" fillId="0" borderId="10" xfId="0" applyFont="1" applyFill="1" applyBorder="1" applyProtection="1">
      <alignment vertical="center"/>
    </xf>
    <xf numFmtId="0" fontId="0" fillId="0" borderId="0" xfId="0" applyFill="1" applyBorder="1" applyAlignment="1" applyProtection="1"/>
    <xf numFmtId="0" fontId="0" fillId="0" borderId="0" xfId="0" applyFill="1" applyAlignment="1" applyProtection="1"/>
    <xf numFmtId="180" fontId="27" fillId="0" borderId="10" xfId="0" applyNumberFormat="1" applyFont="1" applyFill="1" applyBorder="1" applyAlignment="1" applyProtection="1">
      <alignment horizontal="right" vertical="center"/>
      <protection locked="0"/>
    </xf>
    <xf numFmtId="3" fontId="28" fillId="24" borderId="0" xfId="0" applyNumberFormat="1" applyFont="1" applyFill="1" applyBorder="1" applyAlignment="1" applyProtection="1">
      <alignment horizontal="left" vertical="center"/>
      <protection hidden="1"/>
    </xf>
    <xf numFmtId="37"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vertical="center" wrapText="1"/>
      <protection hidden="1"/>
    </xf>
    <xf numFmtId="180" fontId="27" fillId="0" borderId="23"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protection hidden="1"/>
    </xf>
    <xf numFmtId="0" fontId="27" fillId="24" borderId="17" xfId="0" applyFont="1" applyFill="1" applyBorder="1" applyAlignment="1" applyProtection="1">
      <alignment wrapText="1"/>
      <protection hidden="1"/>
    </xf>
    <xf numFmtId="0" fontId="27" fillId="24" borderId="24" xfId="0" applyFont="1" applyFill="1" applyBorder="1" applyAlignment="1" applyProtection="1">
      <alignment vertical="center"/>
      <protection hidden="1"/>
    </xf>
    <xf numFmtId="0" fontId="27" fillId="24" borderId="0" xfId="0" applyFont="1" applyFill="1" applyBorder="1" applyAlignment="1" applyProtection="1">
      <alignment wrapText="1"/>
      <protection hidden="1"/>
    </xf>
    <xf numFmtId="0" fontId="27" fillId="24" borderId="17" xfId="0" applyFont="1" applyFill="1" applyBorder="1" applyAlignment="1" applyProtection="1">
      <alignment vertical="top"/>
      <protection hidden="1"/>
    </xf>
    <xf numFmtId="0" fontId="27" fillId="24" borderId="0" xfId="0" applyFont="1" applyFill="1" applyBorder="1" applyAlignment="1" applyProtection="1">
      <alignment vertical="top"/>
      <protection hidden="1"/>
    </xf>
    <xf numFmtId="0" fontId="27" fillId="24" borderId="0" xfId="0" applyFont="1" applyFill="1" applyBorder="1" applyAlignment="1" applyProtection="1">
      <protection hidden="1"/>
    </xf>
    <xf numFmtId="0" fontId="27" fillId="24" borderId="18" xfId="0" applyFont="1" applyFill="1" applyBorder="1" applyAlignment="1" applyProtection="1">
      <protection hidden="1"/>
    </xf>
    <xf numFmtId="0" fontId="27" fillId="24" borderId="17" xfId="0" applyFont="1" applyFill="1" applyBorder="1" applyAlignment="1" applyProtection="1">
      <alignment horizontal="right"/>
      <protection hidden="1"/>
    </xf>
    <xf numFmtId="0" fontId="27" fillId="24" borderId="0" xfId="0" applyFont="1" applyFill="1" applyBorder="1" applyAlignment="1" applyProtection="1">
      <alignment horizontal="left" vertical="center"/>
      <protection locked="0"/>
    </xf>
    <xf numFmtId="0" fontId="27" fillId="0" borderId="23" xfId="0" applyFont="1" applyFill="1" applyBorder="1" applyAlignment="1" applyProtection="1">
      <alignment horizontal="left" vertical="center"/>
      <protection locked="0"/>
    </xf>
    <xf numFmtId="0" fontId="0" fillId="24" borderId="0" xfId="0" applyFill="1" applyAlignment="1" applyProtection="1"/>
    <xf numFmtId="0" fontId="29" fillId="25" borderId="17" xfId="0" applyFont="1" applyFill="1" applyBorder="1" applyAlignment="1" applyProtection="1">
      <alignment vertical="center"/>
      <protection hidden="1"/>
    </xf>
    <xf numFmtId="0" fontId="31" fillId="25" borderId="0" xfId="0" applyFont="1" applyFill="1" applyBorder="1" applyAlignment="1" applyProtection="1">
      <alignment vertical="center"/>
      <protection hidden="1"/>
    </xf>
    <xf numFmtId="0" fontId="31" fillId="25" borderId="18" xfId="0" applyFont="1" applyFill="1" applyBorder="1" applyAlignment="1" applyProtection="1">
      <alignment vertical="center"/>
      <protection hidden="1"/>
    </xf>
    <xf numFmtId="0" fontId="37" fillId="24" borderId="17" xfId="0" applyFont="1" applyFill="1" applyBorder="1" applyAlignment="1" applyProtection="1">
      <alignment vertical="center"/>
      <protection hidden="1"/>
    </xf>
    <xf numFmtId="31" fontId="27" fillId="0" borderId="22" xfId="0" applyNumberFormat="1" applyFont="1" applyFill="1" applyBorder="1" applyAlignment="1" applyProtection="1">
      <alignment horizontal="right" vertical="center"/>
      <protection locked="0"/>
    </xf>
    <xf numFmtId="31" fontId="27" fillId="24" borderId="0"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xf>
    <xf numFmtId="31" fontId="27" fillId="0" borderId="10" xfId="0" applyNumberFormat="1" applyFont="1" applyFill="1" applyBorder="1" applyAlignment="1" applyProtection="1">
      <alignment horizontal="right" vertical="center"/>
      <protection locked="0"/>
    </xf>
    <xf numFmtId="0" fontId="28" fillId="0" borderId="0" xfId="0" applyFont="1" applyFill="1" applyBorder="1" applyAlignment="1" applyProtection="1">
      <alignment horizontal="center" vertical="center"/>
    </xf>
    <xf numFmtId="0" fontId="37" fillId="24" borderId="25" xfId="0" applyFont="1" applyFill="1" applyBorder="1" applyAlignment="1" applyProtection="1">
      <alignment vertical="center"/>
      <protection hidden="1"/>
    </xf>
    <xf numFmtId="0" fontId="33" fillId="24" borderId="26" xfId="0" applyFont="1" applyFill="1" applyBorder="1" applyAlignment="1" applyProtection="1">
      <alignment horizontal="right" vertical="center"/>
    </xf>
    <xf numFmtId="0" fontId="33" fillId="0" borderId="26" xfId="0" applyFont="1" applyFill="1" applyBorder="1" applyAlignment="1" applyProtection="1">
      <alignment horizontal="right" vertical="center"/>
      <protection locked="0"/>
    </xf>
    <xf numFmtId="0" fontId="27" fillId="0" borderId="0" xfId="0" applyFont="1" applyFill="1" applyBorder="1" applyAlignment="1">
      <alignment vertical="center" shrinkToFit="1"/>
    </xf>
    <xf numFmtId="0" fontId="27" fillId="0" borderId="0" xfId="0" applyFont="1" applyFill="1" applyBorder="1" applyAlignment="1" applyProtection="1">
      <alignment horizontal="center" vertical="center"/>
    </xf>
    <xf numFmtId="0" fontId="27" fillId="24" borderId="0" xfId="0" applyFont="1" applyFill="1" applyProtection="1">
      <alignment vertical="center"/>
    </xf>
    <xf numFmtId="0" fontId="27" fillId="24" borderId="12" xfId="0" applyFont="1" applyFill="1" applyBorder="1" applyAlignment="1" applyProtection="1">
      <alignment horizontal="left" vertical="top" wrapText="1"/>
      <protection hidden="1"/>
    </xf>
    <xf numFmtId="0" fontId="27" fillId="24" borderId="0" xfId="0" applyFont="1" applyFill="1" applyBorder="1" applyAlignment="1" applyProtection="1">
      <alignment horizontal="left" vertical="top" wrapText="1"/>
      <protection hidden="1"/>
    </xf>
    <xf numFmtId="0" fontId="22" fillId="0" borderId="27" xfId="0" applyFont="1" applyFill="1" applyBorder="1" applyAlignment="1" applyProtection="1">
      <alignment vertical="center"/>
      <protection hidden="1"/>
    </xf>
    <xf numFmtId="0" fontId="22" fillId="0" borderId="28" xfId="0" applyFont="1" applyFill="1" applyBorder="1" applyAlignment="1" applyProtection="1">
      <alignment vertical="center"/>
      <protection hidden="1"/>
    </xf>
    <xf numFmtId="0" fontId="22" fillId="0" borderId="29" xfId="0" applyFont="1" applyFill="1" applyBorder="1" applyAlignment="1" applyProtection="1">
      <alignment vertical="center"/>
      <protection hidden="1"/>
    </xf>
    <xf numFmtId="0" fontId="29" fillId="25" borderId="30" xfId="0" applyFont="1" applyFill="1" applyBorder="1" applyAlignment="1" applyProtection="1">
      <alignment vertical="center"/>
      <protection hidden="1"/>
    </xf>
    <xf numFmtId="0" fontId="29" fillId="25" borderId="30" xfId="0" applyFont="1" applyFill="1" applyBorder="1" applyAlignment="1" applyProtection="1">
      <alignment horizontal="center" vertical="center"/>
      <protection hidden="1"/>
    </xf>
    <xf numFmtId="0" fontId="29" fillId="25" borderId="31" xfId="0" applyFont="1" applyFill="1" applyBorder="1" applyAlignment="1" applyProtection="1">
      <alignment horizontal="center" vertical="center"/>
      <protection hidden="1"/>
    </xf>
    <xf numFmtId="0" fontId="29" fillId="25" borderId="32" xfId="0" applyFont="1" applyFill="1" applyBorder="1" applyAlignment="1" applyProtection="1">
      <alignment horizontal="center" vertical="center"/>
      <protection hidden="1"/>
    </xf>
    <xf numFmtId="0" fontId="27" fillId="0" borderId="10" xfId="0" applyFont="1" applyFill="1" applyBorder="1" applyAlignment="1" applyProtection="1">
      <alignment vertical="center"/>
    </xf>
    <xf numFmtId="0" fontId="6" fillId="0" borderId="10" xfId="0" applyFont="1" applyFill="1" applyBorder="1" applyAlignment="1" applyProtection="1">
      <alignment vertical="center"/>
    </xf>
    <xf numFmtId="0" fontId="27" fillId="24" borderId="17" xfId="0" applyFont="1" applyFill="1" applyBorder="1" applyAlignment="1" applyProtection="1">
      <alignment vertical="center"/>
      <protection hidden="1"/>
    </xf>
    <xf numFmtId="0" fontId="27" fillId="0" borderId="10" xfId="0" applyFont="1" applyFill="1" applyBorder="1" applyAlignment="1" applyProtection="1">
      <protection hidden="1"/>
    </xf>
    <xf numFmtId="178" fontId="6" fillId="0" borderId="10" xfId="0" applyNumberFormat="1" applyFont="1" applyFill="1" applyBorder="1" applyAlignment="1" applyProtection="1">
      <alignment vertical="center"/>
      <protection hidden="1"/>
    </xf>
    <xf numFmtId="0" fontId="6" fillId="24" borderId="10" xfId="0" applyFont="1" applyFill="1" applyBorder="1" applyAlignment="1" applyProtection="1">
      <alignment vertical="center"/>
      <protection hidden="1"/>
    </xf>
    <xf numFmtId="178" fontId="6" fillId="0" borderId="10" xfId="35" applyNumberFormat="1" applyFont="1" applyFill="1" applyBorder="1" applyAlignment="1" applyProtection="1">
      <alignment horizontal="right" vertical="center"/>
      <protection locked="0"/>
    </xf>
    <xf numFmtId="0" fontId="27" fillId="24" borderId="17" xfId="0" applyFont="1" applyFill="1" applyBorder="1" applyProtection="1">
      <alignment vertical="center"/>
      <protection hidden="1"/>
    </xf>
    <xf numFmtId="0" fontId="29" fillId="25" borderId="33" xfId="0" applyFont="1" applyFill="1" applyBorder="1" applyAlignment="1" applyProtection="1">
      <alignment vertical="center"/>
      <protection hidden="1"/>
    </xf>
    <xf numFmtId="0" fontId="40" fillId="25" borderId="34" xfId="0" applyFont="1" applyFill="1" applyBorder="1" applyAlignment="1" applyProtection="1">
      <alignment vertical="center"/>
      <protection hidden="1"/>
    </xf>
    <xf numFmtId="0" fontId="40" fillId="25" borderId="35" xfId="0" applyFont="1" applyFill="1" applyBorder="1" applyAlignment="1" applyProtection="1">
      <alignment vertical="center"/>
      <protection hidden="1"/>
    </xf>
    <xf numFmtId="0" fontId="6" fillId="0" borderId="10" xfId="0" applyFont="1" applyFill="1" applyBorder="1" applyProtection="1">
      <alignment vertical="center"/>
      <protection hidden="1"/>
    </xf>
    <xf numFmtId="0" fontId="0" fillId="0" borderId="10" xfId="0" applyFill="1" applyBorder="1" applyProtection="1">
      <alignment vertical="center"/>
    </xf>
    <xf numFmtId="178" fontId="6" fillId="0" borderId="10" xfId="0" applyNumberFormat="1" applyFont="1" applyFill="1" applyBorder="1" applyProtection="1">
      <alignment vertical="center"/>
      <protection hidden="1"/>
    </xf>
    <xf numFmtId="0" fontId="27" fillId="0" borderId="0" xfId="0" applyFont="1" applyFill="1" applyBorder="1" applyAlignment="1" applyProtection="1"/>
    <xf numFmtId="0" fontId="22" fillId="0" borderId="37"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29" fillId="25" borderId="40" xfId="0" applyFont="1" applyFill="1" applyBorder="1" applyAlignment="1" applyProtection="1">
      <alignment vertical="center"/>
      <protection hidden="1"/>
    </xf>
    <xf numFmtId="0" fontId="7" fillId="24" borderId="41" xfId="29" applyFill="1" applyBorder="1" applyProtection="1">
      <alignment horizontal="left" vertical="center" indent="1"/>
      <protection hidden="1"/>
    </xf>
    <xf numFmtId="0" fontId="7" fillId="24" borderId="42" xfId="29" applyFill="1" applyBorder="1" applyProtection="1">
      <alignment horizontal="left" vertical="center" indent="1"/>
      <protection hidden="1"/>
    </xf>
    <xf numFmtId="0" fontId="7" fillId="24" borderId="42" xfId="0" applyFont="1" applyFill="1" applyBorder="1" applyAlignment="1" applyProtection="1">
      <alignment horizontal="left" vertical="center" indent="1"/>
      <protection hidden="1"/>
    </xf>
    <xf numFmtId="0" fontId="0" fillId="24" borderId="42" xfId="0" applyFill="1" applyBorder="1" applyAlignment="1" applyProtection="1">
      <alignment horizontal="left" vertical="center" indent="1"/>
      <protection hidden="1"/>
    </xf>
    <xf numFmtId="0" fontId="0" fillId="24" borderId="43" xfId="0" applyFill="1" applyBorder="1" applyAlignment="1" applyProtection="1">
      <alignment horizontal="left" vertical="center" indent="1"/>
      <protection hidden="1"/>
    </xf>
    <xf numFmtId="0" fontId="29" fillId="25" borderId="44" xfId="0" applyFont="1" applyFill="1" applyBorder="1" applyAlignment="1" applyProtection="1">
      <alignment vertical="center"/>
      <protection hidden="1"/>
    </xf>
    <xf numFmtId="0" fontId="7" fillId="24" borderId="41" xfId="0" applyFont="1" applyFill="1" applyBorder="1" applyAlignment="1" applyProtection="1">
      <alignment horizontal="left" vertical="center" indent="1"/>
      <protection hidden="1"/>
    </xf>
    <xf numFmtId="0" fontId="7" fillId="24" borderId="45" xfId="0" applyFont="1" applyFill="1" applyBorder="1" applyAlignment="1" applyProtection="1">
      <alignment horizontal="left" vertical="center" indent="1"/>
      <protection hidden="1"/>
    </xf>
    <xf numFmtId="0" fontId="7" fillId="24" borderId="45" xfId="29" applyFill="1" applyBorder="1" applyProtection="1">
      <alignment horizontal="left" vertical="center" indent="1"/>
      <protection hidden="1"/>
    </xf>
    <xf numFmtId="0" fontId="0" fillId="24" borderId="46" xfId="0" applyFill="1" applyBorder="1" applyAlignment="1" applyProtection="1">
      <alignment horizontal="left" vertical="center" indent="1"/>
      <protection hidden="1"/>
    </xf>
    <xf numFmtId="0" fontId="7" fillId="24" borderId="47" xfId="29" applyFill="1" applyBorder="1" applyProtection="1">
      <alignment horizontal="left" vertical="center" indent="1"/>
      <protection hidden="1"/>
    </xf>
    <xf numFmtId="0" fontId="7" fillId="24" borderId="48" xfId="29" applyFill="1" applyBorder="1" applyProtection="1">
      <alignment horizontal="left" vertical="center" indent="1"/>
      <protection hidden="1"/>
    </xf>
    <xf numFmtId="0" fontId="7" fillId="24" borderId="48" xfId="0" applyFont="1" applyFill="1" applyBorder="1" applyAlignment="1" applyProtection="1">
      <alignment horizontal="left" vertical="center" indent="1"/>
      <protection hidden="1"/>
    </xf>
    <xf numFmtId="0" fontId="0" fillId="24" borderId="49" xfId="0" applyFill="1" applyBorder="1" applyAlignment="1" applyProtection="1">
      <alignment horizontal="left" vertical="center" indent="1"/>
      <protection hidden="1"/>
    </xf>
    <xf numFmtId="0" fontId="0" fillId="24" borderId="0" xfId="0" applyFill="1" applyBorder="1" applyAlignment="1" applyProtection="1">
      <alignment horizontal="left" vertical="center" indent="1"/>
      <protection hidden="1"/>
    </xf>
    <xf numFmtId="0" fontId="27" fillId="24" borderId="10" xfId="0" applyFont="1" applyFill="1" applyBorder="1" applyAlignment="1" applyProtection="1">
      <alignment horizontal="left" vertical="center"/>
    </xf>
    <xf numFmtId="0" fontId="27" fillId="24" borderId="50" xfId="0" applyFont="1" applyFill="1" applyBorder="1" applyAlignment="1" applyProtection="1">
      <alignment horizontal="left" vertical="center"/>
      <protection hidden="1"/>
    </xf>
    <xf numFmtId="0" fontId="27" fillId="24" borderId="51" xfId="0" applyFont="1" applyFill="1" applyBorder="1" applyAlignment="1" applyProtection="1">
      <alignment horizontal="left" vertical="center"/>
      <protection hidden="1"/>
    </xf>
    <xf numFmtId="0" fontId="7" fillId="24" borderId="51" xfId="46" applyFill="1" applyBorder="1" applyProtection="1">
      <alignment horizontal="left" vertical="center" indent="1"/>
      <protection hidden="1"/>
    </xf>
    <xf numFmtId="0" fontId="31" fillId="24" borderId="51" xfId="0" applyFont="1" applyFill="1" applyBorder="1" applyAlignment="1" applyProtection="1">
      <alignment horizontal="left" vertical="center"/>
      <protection hidden="1"/>
    </xf>
    <xf numFmtId="0" fontId="27" fillId="24" borderId="52" xfId="0" applyFont="1" applyFill="1" applyBorder="1" applyAlignment="1" applyProtection="1">
      <alignment horizontal="left" vertical="center"/>
    </xf>
    <xf numFmtId="0" fontId="27" fillId="24" borderId="0" xfId="0" applyFont="1" applyFill="1" applyBorder="1" applyAlignment="1" applyProtection="1">
      <alignment horizontal="left" vertical="center"/>
    </xf>
    <xf numFmtId="0" fontId="27" fillId="24" borderId="23" xfId="0" applyFont="1" applyFill="1" applyBorder="1" applyAlignment="1" applyProtection="1">
      <alignment horizontal="left" vertical="center"/>
      <protection hidden="1"/>
    </xf>
    <xf numFmtId="0" fontId="27" fillId="24" borderId="53" xfId="0" applyFont="1" applyFill="1" applyBorder="1" applyAlignment="1" applyProtection="1">
      <alignment horizontal="left" vertical="center"/>
      <protection hidden="1"/>
    </xf>
    <xf numFmtId="0" fontId="27" fillId="24" borderId="54" xfId="0" applyFont="1" applyFill="1" applyBorder="1" applyAlignment="1" applyProtection="1">
      <alignment horizontal="left" vertical="center"/>
      <protection hidden="1"/>
    </xf>
    <xf numFmtId="0" fontId="27" fillId="24" borderId="55" xfId="0" applyFont="1" applyFill="1" applyBorder="1" applyAlignment="1" applyProtection="1">
      <alignment horizontal="left" vertical="center"/>
    </xf>
    <xf numFmtId="0" fontId="27" fillId="24" borderId="56" xfId="0" applyFont="1" applyFill="1" applyBorder="1" applyAlignment="1" applyProtection="1">
      <alignment horizontal="left" vertical="center"/>
      <protection hidden="1"/>
    </xf>
    <xf numFmtId="0" fontId="27" fillId="24" borderId="57" xfId="0" applyFont="1" applyFill="1" applyBorder="1" applyAlignment="1" applyProtection="1">
      <alignment horizontal="left" vertical="center"/>
      <protection hidden="1"/>
    </xf>
    <xf numFmtId="0" fontId="27" fillId="24" borderId="45" xfId="0" applyFont="1" applyFill="1" applyBorder="1" applyAlignment="1" applyProtection="1">
      <alignment horizontal="left" vertical="center"/>
      <protection hidden="1"/>
    </xf>
    <xf numFmtId="0" fontId="27" fillId="24" borderId="58" xfId="0" applyFont="1" applyFill="1" applyBorder="1" applyAlignment="1" applyProtection="1">
      <alignment horizontal="left" vertical="center"/>
    </xf>
    <xf numFmtId="0" fontId="43" fillId="24" borderId="45" xfId="0" applyFont="1" applyFill="1" applyBorder="1" applyAlignment="1" applyProtection="1">
      <alignment horizontal="left" vertical="center"/>
      <protection hidden="1"/>
    </xf>
    <xf numFmtId="0" fontId="27" fillId="24" borderId="22" xfId="0" applyFont="1" applyFill="1" applyBorder="1" applyAlignment="1" applyProtection="1">
      <alignment horizontal="left" vertical="center"/>
      <protection hidden="1"/>
    </xf>
    <xf numFmtId="0" fontId="27" fillId="24" borderId="24" xfId="0" applyFont="1" applyFill="1" applyBorder="1" applyAlignment="1" applyProtection="1">
      <alignment horizontal="left" vertical="center"/>
      <protection hidden="1"/>
    </xf>
    <xf numFmtId="0" fontId="27" fillId="24" borderId="59" xfId="0" applyFont="1" applyFill="1" applyBorder="1" applyAlignment="1" applyProtection="1">
      <alignment horizontal="left" vertical="center"/>
      <protection hidden="1"/>
    </xf>
    <xf numFmtId="0" fontId="43" fillId="24" borderId="59" xfId="0" applyFont="1" applyFill="1" applyBorder="1" applyAlignment="1" applyProtection="1">
      <alignment horizontal="left" vertical="center"/>
      <protection hidden="1"/>
    </xf>
    <xf numFmtId="0" fontId="27" fillId="24" borderId="60" xfId="0" applyFont="1" applyFill="1" applyBorder="1" applyAlignment="1" applyProtection="1">
      <alignment horizontal="left" vertical="center"/>
    </xf>
    <xf numFmtId="0" fontId="44"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32" fillId="0" borderId="0" xfId="0" applyFont="1" applyFill="1" applyBorder="1" applyAlignment="1" applyProtection="1">
      <alignment horizontal="right" vertical="center"/>
    </xf>
    <xf numFmtId="49" fontId="46" fillId="24" borderId="23" xfId="0" applyNumberFormat="1" applyFont="1" applyFill="1" applyBorder="1" applyAlignment="1" applyProtection="1">
      <alignment vertical="center"/>
    </xf>
    <xf numFmtId="0" fontId="27" fillId="24" borderId="10" xfId="0" applyNumberFormat="1" applyFont="1" applyFill="1" applyBorder="1" applyAlignment="1" applyProtection="1">
      <alignment horizontal="left" vertical="center"/>
    </xf>
    <xf numFmtId="0" fontId="46" fillId="24" borderId="54" xfId="0" applyFont="1" applyFill="1" applyBorder="1" applyAlignment="1" applyProtection="1">
      <alignment horizontal="right" vertical="center"/>
    </xf>
    <xf numFmtId="31" fontId="30" fillId="24" borderId="10" xfId="0" applyNumberFormat="1" applyFont="1" applyFill="1" applyBorder="1" applyAlignment="1" applyProtection="1">
      <alignment horizontal="left" vertical="center"/>
    </xf>
    <xf numFmtId="0" fontId="30" fillId="0" borderId="0" xfId="0" applyFont="1" applyFill="1" applyBorder="1" applyAlignment="1" applyProtection="1">
      <alignment vertical="center"/>
    </xf>
    <xf numFmtId="49" fontId="46" fillId="24" borderId="61" xfId="0" applyNumberFormat="1" applyFont="1" applyFill="1" applyBorder="1" applyAlignment="1" applyProtection="1">
      <alignment vertical="center"/>
    </xf>
    <xf numFmtId="0" fontId="27" fillId="24" borderId="23" xfId="0" applyNumberFormat="1" applyFont="1" applyFill="1" applyBorder="1" applyAlignment="1" applyProtection="1">
      <alignment horizontal="left" vertical="center"/>
    </xf>
    <xf numFmtId="0" fontId="46" fillId="24" borderId="0" xfId="0" applyFont="1" applyFill="1" applyBorder="1" applyAlignment="1" applyProtection="1">
      <alignment horizontal="right" vertical="center"/>
    </xf>
    <xf numFmtId="3" fontId="26" fillId="0" borderId="0" xfId="0" applyNumberFormat="1" applyFont="1" applyFill="1" applyBorder="1" applyAlignment="1" applyProtection="1">
      <alignment horizontal="left" vertical="center"/>
    </xf>
    <xf numFmtId="0" fontId="27" fillId="24" borderId="22" xfId="0" applyFont="1" applyFill="1" applyBorder="1" applyProtection="1">
      <alignment vertical="center"/>
    </xf>
    <xf numFmtId="0" fontId="27" fillId="0" borderId="0" xfId="0" applyFont="1" applyFill="1" applyBorder="1" applyAlignment="1" applyProtection="1">
      <alignment horizontal="left" vertical="top" wrapText="1"/>
    </xf>
    <xf numFmtId="0" fontId="0" fillId="26" borderId="62" xfId="0" applyFill="1" applyBorder="1" applyAlignment="1" applyProtection="1">
      <alignment horizontal="center" vertical="center"/>
    </xf>
    <xf numFmtId="0" fontId="0" fillId="26" borderId="63" xfId="0" applyFill="1" applyBorder="1" applyAlignment="1" applyProtection="1">
      <alignment horizontal="center" vertical="center"/>
    </xf>
    <xf numFmtId="0" fontId="0" fillId="26" borderId="64" xfId="0" applyFill="1" applyBorder="1" applyProtection="1">
      <alignment vertical="center"/>
    </xf>
    <xf numFmtId="0" fontId="0" fillId="24" borderId="65" xfId="0" applyFill="1" applyBorder="1" applyAlignment="1" applyProtection="1">
      <alignment horizontal="center" vertical="center"/>
    </xf>
    <xf numFmtId="0" fontId="0" fillId="27" borderId="66" xfId="0" applyFill="1" applyBorder="1" applyAlignment="1" applyProtection="1">
      <alignment vertical="top" wrapText="1"/>
      <protection locked="0"/>
    </xf>
    <xf numFmtId="0" fontId="0" fillId="24" borderId="67" xfId="0" applyFill="1" applyBorder="1" applyAlignment="1" applyProtection="1">
      <alignment horizontal="center" vertical="center" wrapText="1"/>
    </xf>
    <xf numFmtId="0" fontId="0" fillId="27" borderId="68" xfId="0" applyFill="1" applyBorder="1" applyAlignment="1" applyProtection="1">
      <alignment horizontal="left" vertical="top" wrapText="1"/>
      <protection locked="0"/>
    </xf>
    <xf numFmtId="0" fontId="0" fillId="24" borderId="69" xfId="0" applyFill="1" applyBorder="1" applyAlignment="1" applyProtection="1">
      <alignment horizontal="center" vertical="center" wrapText="1"/>
    </xf>
    <xf numFmtId="0" fontId="0" fillId="27" borderId="70" xfId="0" applyFill="1" applyBorder="1" applyAlignment="1" applyProtection="1">
      <alignment horizontal="left" vertical="top" wrapText="1"/>
      <protection locked="0"/>
    </xf>
    <xf numFmtId="0" fontId="0" fillId="24" borderId="71" xfId="0" applyFill="1" applyBorder="1" applyAlignment="1" applyProtection="1">
      <alignment horizontal="center" vertical="center" wrapText="1"/>
    </xf>
    <xf numFmtId="0" fontId="0" fillId="27" borderId="72" xfId="0" applyFill="1" applyBorder="1" applyAlignment="1" applyProtection="1">
      <alignment horizontal="left" vertical="top" wrapText="1"/>
      <protection locked="0"/>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6" fillId="0" borderId="0" xfId="0" applyFont="1" applyFill="1" applyProtection="1">
      <alignment vertical="center"/>
      <protection hidden="1"/>
    </xf>
    <xf numFmtId="0" fontId="36" fillId="0" borderId="0" xfId="0" applyFont="1" applyFill="1" applyAlignment="1" applyProtection="1">
      <alignment horizontal="left"/>
      <protection hidden="1"/>
    </xf>
    <xf numFmtId="0" fontId="28" fillId="0" borderId="0" xfId="0" applyFont="1" applyFill="1" applyProtection="1">
      <alignment vertical="center"/>
      <protection hidden="1"/>
    </xf>
    <xf numFmtId="179" fontId="37" fillId="0" borderId="0" xfId="0" applyNumberFormat="1" applyFont="1" applyFill="1" applyAlignment="1" applyProtection="1">
      <alignment horizontal="left"/>
      <protection hidden="1"/>
    </xf>
    <xf numFmtId="183" fontId="27" fillId="0" borderId="0" xfId="0" applyNumberFormat="1" applyFont="1" applyFill="1" applyProtection="1">
      <alignment vertical="center"/>
      <protection hidden="1"/>
    </xf>
    <xf numFmtId="184" fontId="47" fillId="0" borderId="0" xfId="0" applyNumberFormat="1" applyFont="1" applyFill="1" applyAlignment="1" applyProtection="1">
      <alignment horizontal="center"/>
    </xf>
    <xf numFmtId="199" fontId="47" fillId="0" borderId="0" xfId="0" applyNumberFormat="1" applyFont="1" applyFill="1" applyProtection="1">
      <alignment vertical="center"/>
    </xf>
    <xf numFmtId="0" fontId="47" fillId="0" borderId="0" xfId="0" applyFont="1" applyFill="1" applyProtection="1">
      <alignment vertical="center"/>
    </xf>
    <xf numFmtId="0" fontId="48" fillId="0" borderId="0" xfId="0" applyNumberFormat="1" applyFont="1" applyFill="1" applyBorder="1" applyAlignment="1" applyProtection="1">
      <alignment vertical="center"/>
      <protection hidden="1"/>
    </xf>
    <xf numFmtId="0" fontId="49" fillId="0" borderId="0" xfId="0" applyFont="1" applyFill="1" applyBorder="1" applyAlignment="1" applyProtection="1">
      <alignment horizontal="left" vertical="center"/>
      <protection hidden="1"/>
    </xf>
    <xf numFmtId="0" fontId="49" fillId="0" borderId="0" xfId="0" applyFont="1" applyFill="1" applyBorder="1" applyAlignment="1" applyProtection="1">
      <alignment vertical="center"/>
      <protection hidden="1"/>
    </xf>
    <xf numFmtId="179" fontId="37" fillId="0" borderId="0" xfId="0" applyNumberFormat="1" applyFont="1" applyFill="1" applyBorder="1" applyAlignment="1" applyProtection="1">
      <alignment horizontal="left"/>
      <protection hidden="1"/>
    </xf>
    <xf numFmtId="0" fontId="50" fillId="0" borderId="0" xfId="0" applyFont="1" applyFill="1" applyAlignment="1" applyProtection="1">
      <alignment horizontal="right" vertical="top"/>
      <protection hidden="1"/>
    </xf>
    <xf numFmtId="0" fontId="51" fillId="0" borderId="0" xfId="0" applyFont="1" applyFill="1" applyAlignment="1" applyProtection="1">
      <alignment horizontal="left" vertical="justify"/>
    </xf>
    <xf numFmtId="0" fontId="52"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horizontal="lef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25" fillId="0" borderId="0" xfId="0" applyFont="1" applyFill="1" applyBorder="1" applyAlignment="1" applyProtection="1">
      <alignment horizontal="center" vertical="justify"/>
      <protection hidden="1"/>
    </xf>
    <xf numFmtId="184" fontId="55" fillId="0" borderId="0" xfId="0" applyNumberFormat="1" applyFont="1" applyFill="1" applyBorder="1" applyAlignment="1" applyProtection="1">
      <alignment horizontal="center" vertical="justify" wrapText="1"/>
    </xf>
    <xf numFmtId="0" fontId="56" fillId="0" borderId="0" xfId="0" applyFont="1" applyFill="1" applyProtection="1">
      <alignment vertical="center"/>
      <protection hidden="1"/>
    </xf>
    <xf numFmtId="0" fontId="57" fillId="0" borderId="0" xfId="0" applyFont="1" applyFill="1" applyAlignment="1" applyProtection="1">
      <alignment horizontal="left"/>
      <protection hidden="1"/>
    </xf>
    <xf numFmtId="0" fontId="58" fillId="0" borderId="0" xfId="0" applyFont="1" applyFill="1" applyProtection="1">
      <alignment vertical="center"/>
      <protection hidden="1"/>
    </xf>
    <xf numFmtId="179" fontId="59" fillId="0" borderId="0" xfId="0" applyNumberFormat="1" applyFont="1" applyFill="1" applyAlignment="1" applyProtection="1">
      <alignment horizontal="left"/>
      <protection hidden="1"/>
    </xf>
    <xf numFmtId="0" fontId="60" fillId="28" borderId="73" xfId="0" applyFont="1" applyFill="1" applyBorder="1" applyAlignment="1" applyProtection="1">
      <alignment horizontal="left" vertical="center"/>
      <protection hidden="1"/>
    </xf>
    <xf numFmtId="0" fontId="36" fillId="28" borderId="74" xfId="0" applyFont="1" applyFill="1" applyBorder="1" applyAlignment="1" applyProtection="1">
      <alignment horizontal="left" vertical="center"/>
      <protection hidden="1"/>
    </xf>
    <xf numFmtId="0" fontId="61" fillId="28" borderId="74" xfId="0" applyFont="1" applyFill="1" applyBorder="1" applyAlignment="1" applyProtection="1">
      <alignment vertical="center"/>
      <protection hidden="1"/>
    </xf>
    <xf numFmtId="0" fontId="60" fillId="28" borderId="74" xfId="0" applyFont="1" applyFill="1" applyBorder="1" applyAlignment="1" applyProtection="1">
      <alignment horizontal="left" vertical="center"/>
      <protection hidden="1"/>
    </xf>
    <xf numFmtId="179" fontId="37" fillId="28" borderId="74" xfId="0" applyNumberFormat="1" applyFont="1" applyFill="1" applyBorder="1" applyAlignment="1" applyProtection="1">
      <alignment horizontal="left" vertical="center"/>
      <protection hidden="1"/>
    </xf>
    <xf numFmtId="0" fontId="28" fillId="24" borderId="75" xfId="0" applyFont="1" applyFill="1" applyBorder="1" applyAlignment="1" applyProtection="1">
      <alignment horizontal="centerContinuous" vertical="center"/>
      <protection hidden="1"/>
    </xf>
    <xf numFmtId="0" fontId="28" fillId="24" borderId="76" xfId="0" applyFont="1" applyFill="1" applyBorder="1" applyAlignment="1" applyProtection="1">
      <alignment horizontal="centerContinuous" vertical="center"/>
      <protection hidden="1"/>
    </xf>
    <xf numFmtId="0" fontId="28" fillId="24" borderId="77" xfId="0" applyFont="1" applyFill="1" applyBorder="1" applyAlignment="1" applyProtection="1">
      <alignment horizontal="centerContinuous" vertical="center"/>
      <protection hidden="1"/>
    </xf>
    <xf numFmtId="0" fontId="28" fillId="24" borderId="78" xfId="0" applyFont="1" applyFill="1" applyBorder="1" applyAlignment="1" applyProtection="1">
      <alignment horizontal="centerContinuous" vertical="center"/>
      <protection hidden="1"/>
    </xf>
    <xf numFmtId="0" fontId="28" fillId="24" borderId="79" xfId="0" applyFont="1" applyFill="1" applyBorder="1" applyAlignment="1" applyProtection="1">
      <alignment horizontal="centerContinuous" vertical="center"/>
      <protection hidden="1"/>
    </xf>
    <xf numFmtId="0" fontId="28" fillId="24" borderId="80" xfId="0" applyFont="1" applyFill="1" applyBorder="1" applyAlignment="1" applyProtection="1">
      <alignment horizontal="centerContinuous" vertical="center"/>
      <protection hidden="1"/>
    </xf>
    <xf numFmtId="184" fontId="28" fillId="0" borderId="0" xfId="0" applyNumberFormat="1" applyFont="1" applyFill="1" applyAlignment="1" applyProtection="1">
      <alignment horizontal="left"/>
    </xf>
    <xf numFmtId="0" fontId="28" fillId="0" borderId="0" xfId="0" applyFont="1" applyFill="1" applyProtection="1">
      <alignment vertical="center"/>
    </xf>
    <xf numFmtId="0" fontId="32" fillId="24" borderId="75" xfId="0" applyNumberFormat="1" applyFont="1" applyFill="1" applyBorder="1" applyAlignment="1" applyProtection="1">
      <alignment vertical="center"/>
      <protection hidden="1"/>
    </xf>
    <xf numFmtId="0" fontId="36" fillId="24" borderId="81" xfId="0" applyFont="1" applyFill="1" applyBorder="1" applyAlignment="1" applyProtection="1">
      <alignment horizontal="left" vertical="center"/>
      <protection hidden="1"/>
    </xf>
    <xf numFmtId="0" fontId="53" fillId="24" borderId="81" xfId="0" applyFont="1" applyFill="1" applyBorder="1" applyAlignment="1" applyProtection="1">
      <alignment vertical="center"/>
      <protection hidden="1"/>
    </xf>
    <xf numFmtId="0" fontId="54" fillId="24" borderId="81" xfId="0" applyFont="1" applyFill="1" applyBorder="1" applyAlignment="1" applyProtection="1">
      <alignment vertical="center"/>
      <protection hidden="1"/>
    </xf>
    <xf numFmtId="179" fontId="41" fillId="24" borderId="50" xfId="0" applyNumberFormat="1" applyFont="1" applyFill="1" applyBorder="1" applyAlignment="1" applyProtection="1">
      <alignment horizontal="centerContinuous" vertical="top"/>
      <protection hidden="1"/>
    </xf>
    <xf numFmtId="179" fontId="32" fillId="24" borderId="0" xfId="0" applyNumberFormat="1" applyFont="1" applyFill="1" applyBorder="1" applyAlignment="1" applyProtection="1">
      <alignment horizontal="centerContinuous" vertical="center"/>
      <protection hidden="1"/>
    </xf>
    <xf numFmtId="0" fontId="62" fillId="24" borderId="83" xfId="0" applyFont="1" applyFill="1" applyBorder="1" applyAlignment="1" applyProtection="1">
      <alignment vertical="center"/>
      <protection hidden="1"/>
    </xf>
    <xf numFmtId="0" fontId="28" fillId="24" borderId="51" xfId="0" applyFont="1" applyFill="1" applyBorder="1" applyAlignment="1" applyProtection="1">
      <alignment horizontal="centerContinuous" vertical="center"/>
      <protection hidden="1"/>
    </xf>
    <xf numFmtId="0" fontId="62" fillId="24" borderId="84" xfId="0" applyFont="1" applyFill="1" applyBorder="1" applyAlignment="1" applyProtection="1">
      <alignment vertical="center"/>
      <protection hidden="1"/>
    </xf>
    <xf numFmtId="0" fontId="28" fillId="24" borderId="85" xfId="0" applyFont="1" applyFill="1" applyBorder="1" applyAlignment="1" applyProtection="1">
      <alignment horizontal="centerContinuous" vertical="center"/>
      <protection hidden="1"/>
    </xf>
    <xf numFmtId="199" fontId="47" fillId="0" borderId="10" xfId="0" applyNumberFormat="1" applyFont="1" applyFill="1" applyBorder="1" applyProtection="1">
      <alignment vertical="center"/>
    </xf>
    <xf numFmtId="200" fontId="63" fillId="29" borderId="10" xfId="0" applyNumberFormat="1" applyFont="1" applyFill="1" applyBorder="1" applyAlignment="1">
      <alignment horizontal="center" vertical="center"/>
    </xf>
    <xf numFmtId="0" fontId="47" fillId="0" borderId="10" xfId="0" applyFont="1" applyFill="1" applyBorder="1" applyProtection="1">
      <alignment vertical="center"/>
    </xf>
    <xf numFmtId="200" fontId="51" fillId="29" borderId="10" xfId="0" applyNumberFormat="1" applyFont="1" applyFill="1" applyBorder="1" applyAlignment="1">
      <alignment horizontal="center" vertical="center"/>
    </xf>
    <xf numFmtId="0" fontId="32" fillId="24" borderId="83" xfId="0" applyNumberFormat="1" applyFont="1" applyFill="1" applyBorder="1" applyAlignment="1" applyProtection="1">
      <alignment vertical="top"/>
      <protection hidden="1"/>
    </xf>
    <xf numFmtId="0" fontId="36" fillId="24" borderId="59" xfId="0" applyFont="1" applyFill="1" applyBorder="1" applyAlignment="1" applyProtection="1">
      <alignment horizontal="left" vertical="top"/>
      <protection hidden="1"/>
    </xf>
    <xf numFmtId="0" fontId="53" fillId="24" borderId="59" xfId="0" applyFont="1" applyFill="1" applyBorder="1" applyAlignment="1" applyProtection="1">
      <alignment vertical="top"/>
      <protection hidden="1"/>
    </xf>
    <xf numFmtId="0" fontId="28" fillId="24" borderId="59" xfId="0" applyFont="1" applyFill="1" applyBorder="1" applyAlignment="1" applyProtection="1">
      <protection hidden="1"/>
    </xf>
    <xf numFmtId="179" fontId="41" fillId="24" borderId="50" xfId="0" applyNumberFormat="1" applyFont="1" applyFill="1" applyBorder="1" applyAlignment="1" applyProtection="1">
      <alignment vertical="top" wrapText="1"/>
      <protection hidden="1"/>
    </xf>
    <xf numFmtId="179" fontId="41" fillId="24" borderId="10" xfId="0" applyNumberFormat="1" applyFont="1" applyFill="1" applyBorder="1" applyAlignment="1" applyProtection="1">
      <alignment vertical="top" wrapText="1"/>
      <protection hidden="1"/>
    </xf>
    <xf numFmtId="182" fontId="25" fillId="24" borderId="83" xfId="0" applyNumberFormat="1" applyFont="1" applyFill="1" applyBorder="1" applyAlignment="1" applyProtection="1">
      <alignment horizontal="center" vertical="top" wrapText="1"/>
      <protection hidden="1"/>
    </xf>
    <xf numFmtId="182" fontId="25" fillId="24" borderId="86" xfId="0" applyNumberFormat="1" applyFont="1" applyFill="1" applyBorder="1" applyAlignment="1" applyProtection="1">
      <alignment horizontal="center" vertical="center" wrapText="1"/>
      <protection hidden="1"/>
    </xf>
    <xf numFmtId="182" fontId="25" fillId="24" borderId="87" xfId="0" applyNumberFormat="1" applyFont="1" applyFill="1" applyBorder="1" applyAlignment="1" applyProtection="1">
      <alignment horizontal="center" vertical="center" wrapText="1"/>
      <protection hidden="1"/>
    </xf>
    <xf numFmtId="182" fontId="25" fillId="24" borderId="85" xfId="0" applyNumberFormat="1" applyFont="1" applyFill="1" applyBorder="1" applyAlignment="1" applyProtection="1">
      <alignment horizontal="center" vertical="center" wrapText="1"/>
      <protection hidden="1"/>
    </xf>
    <xf numFmtId="182" fontId="25" fillId="24" borderId="0" xfId="0" applyNumberFormat="1" applyFont="1" applyFill="1" applyBorder="1" applyAlignment="1" applyProtection="1">
      <alignment horizontal="center" vertical="center" wrapText="1"/>
      <protection hidden="1"/>
    </xf>
    <xf numFmtId="182" fontId="25" fillId="24" borderId="88" xfId="0" applyNumberFormat="1" applyFont="1" applyFill="1" applyBorder="1" applyAlignment="1" applyProtection="1">
      <alignment horizontal="center" vertical="center" wrapText="1"/>
      <protection hidden="1"/>
    </xf>
    <xf numFmtId="199" fontId="47" fillId="0" borderId="10" xfId="0" applyNumberFormat="1" applyFont="1" applyFill="1" applyBorder="1" applyAlignment="1" applyProtection="1">
      <alignment vertical="center" wrapText="1"/>
    </xf>
    <xf numFmtId="200" fontId="63" fillId="29" borderId="10" xfId="0" applyNumberFormat="1" applyFont="1" applyFill="1" applyBorder="1" applyAlignment="1">
      <alignment horizontal="center" vertical="center" wrapText="1"/>
    </xf>
    <xf numFmtId="0" fontId="47" fillId="0" borderId="10" xfId="0" applyFont="1" applyFill="1" applyBorder="1" applyAlignment="1" applyProtection="1">
      <alignment vertical="center" wrapText="1"/>
    </xf>
    <xf numFmtId="0" fontId="60" fillId="30" borderId="89" xfId="0" applyNumberFormat="1" applyFont="1" applyFill="1" applyBorder="1" applyAlignment="1" applyProtection="1">
      <alignment vertical="center"/>
      <protection hidden="1"/>
    </xf>
    <xf numFmtId="0" fontId="64" fillId="30" borderId="0" xfId="0" applyNumberFormat="1" applyFont="1" applyFill="1" applyBorder="1" applyAlignment="1" applyProtection="1">
      <alignment horizontal="left" vertical="center"/>
      <protection hidden="1"/>
    </xf>
    <xf numFmtId="181" fontId="61" fillId="30" borderId="0" xfId="0" applyNumberFormat="1" applyFont="1" applyFill="1" applyBorder="1" applyAlignment="1" applyProtection="1">
      <alignment horizontal="center" vertical="center"/>
      <protection hidden="1"/>
    </xf>
    <xf numFmtId="181" fontId="60" fillId="30" borderId="0" xfId="0" applyNumberFormat="1" applyFont="1" applyFill="1" applyBorder="1" applyAlignment="1" applyProtection="1">
      <alignment horizontal="center" vertical="center"/>
      <protection hidden="1"/>
    </xf>
    <xf numFmtId="179" fontId="37" fillId="30" borderId="90" xfId="0" applyNumberFormat="1" applyFont="1" applyFill="1" applyBorder="1" applyAlignment="1" applyProtection="1">
      <alignment horizontal="left" vertical="center"/>
      <protection hidden="1"/>
    </xf>
    <xf numFmtId="179" fontId="37" fillId="30" borderId="0" xfId="0" applyNumberFormat="1" applyFont="1" applyFill="1" applyBorder="1" applyAlignment="1" applyProtection="1">
      <alignment horizontal="left" vertical="center"/>
      <protection hidden="1"/>
    </xf>
    <xf numFmtId="179" fontId="37" fillId="30" borderId="23" xfId="0" applyNumberFormat="1" applyFont="1" applyFill="1" applyBorder="1" applyAlignment="1" applyProtection="1">
      <alignment horizontal="left" vertical="center"/>
      <protection hidden="1"/>
    </xf>
    <xf numFmtId="179" fontId="37" fillId="30" borderId="53" xfId="0" applyNumberFormat="1" applyFont="1" applyFill="1" applyBorder="1" applyAlignment="1" applyProtection="1">
      <alignment horizontal="left" vertical="center"/>
      <protection hidden="1"/>
    </xf>
    <xf numFmtId="179" fontId="37" fillId="30" borderId="90" xfId="0" applyNumberFormat="1" applyFont="1" applyFill="1" applyBorder="1" applyAlignment="1" applyProtection="1">
      <alignment horizontal="left"/>
      <protection hidden="1"/>
    </xf>
    <xf numFmtId="179" fontId="37" fillId="30" borderId="91" xfId="0" applyNumberFormat="1" applyFont="1" applyFill="1" applyBorder="1" applyAlignment="1" applyProtection="1">
      <alignment horizontal="left"/>
      <protection hidden="1"/>
    </xf>
    <xf numFmtId="179" fontId="37" fillId="30" borderId="0" xfId="0" applyNumberFormat="1" applyFont="1" applyFill="1" applyBorder="1" applyAlignment="1" applyProtection="1">
      <alignment horizontal="left"/>
      <protection hidden="1"/>
    </xf>
    <xf numFmtId="179" fontId="37" fillId="30" borderId="88" xfId="0" applyNumberFormat="1" applyFont="1" applyFill="1" applyBorder="1" applyAlignment="1" applyProtection="1">
      <alignment horizontal="left" vertical="center"/>
      <protection hidden="1"/>
    </xf>
    <xf numFmtId="178" fontId="47" fillId="0" borderId="10" xfId="0" applyNumberFormat="1" applyFont="1" applyFill="1" applyBorder="1" applyProtection="1">
      <alignment vertical="center"/>
    </xf>
    <xf numFmtId="0" fontId="32" fillId="26" borderId="92" xfId="0" applyFont="1" applyFill="1" applyBorder="1" applyAlignment="1" applyProtection="1">
      <alignment vertical="center"/>
      <protection hidden="1"/>
    </xf>
    <xf numFmtId="0" fontId="32" fillId="26" borderId="93"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vertical="center"/>
      <protection hidden="1"/>
    </xf>
    <xf numFmtId="179" fontId="37" fillId="26" borderId="93" xfId="0" applyNumberFormat="1" applyFont="1" applyFill="1" applyBorder="1" applyAlignment="1" applyProtection="1">
      <alignment horizontal="left" vertical="center"/>
      <protection hidden="1"/>
    </xf>
    <xf numFmtId="179" fontId="37" fillId="26" borderId="95" xfId="0" applyNumberFormat="1" applyFont="1" applyFill="1" applyBorder="1" applyAlignment="1" applyProtection="1">
      <alignment horizontal="left" vertical="center"/>
      <protection hidden="1"/>
    </xf>
    <xf numFmtId="179" fontId="37" fillId="26" borderId="96"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protection hidden="1"/>
    </xf>
    <xf numFmtId="179" fontId="37" fillId="26" borderId="97" xfId="0" applyNumberFormat="1" applyFont="1" applyFill="1" applyBorder="1" applyAlignment="1" applyProtection="1">
      <alignment horizontal="left"/>
      <protection hidden="1"/>
    </xf>
    <xf numFmtId="179" fontId="37" fillId="26" borderId="93" xfId="0" applyNumberFormat="1" applyFont="1" applyFill="1" applyBorder="1" applyAlignment="1" applyProtection="1">
      <alignment horizontal="left"/>
      <protection hidden="1"/>
    </xf>
    <xf numFmtId="179" fontId="37" fillId="26" borderId="98" xfId="0" applyNumberFormat="1" applyFont="1" applyFill="1" applyBorder="1" applyAlignment="1" applyProtection="1">
      <alignment horizontal="left" vertical="center"/>
      <protection hidden="1"/>
    </xf>
    <xf numFmtId="0" fontId="32" fillId="24" borderId="90" xfId="0" quotePrefix="1" applyFont="1" applyFill="1" applyBorder="1" applyAlignment="1" applyProtection="1">
      <alignment vertical="center"/>
      <protection hidden="1"/>
    </xf>
    <xf numFmtId="0" fontId="41" fillId="24" borderId="99" xfId="0" applyNumberFormat="1" applyFont="1" applyFill="1" applyBorder="1" applyAlignment="1" applyProtection="1">
      <alignment horizontal="left" vertical="center"/>
      <protection hidden="1"/>
    </xf>
    <xf numFmtId="0" fontId="41" fillId="24" borderId="0" xfId="0" applyNumberFormat="1" applyFont="1" applyFill="1" applyBorder="1" applyAlignment="1" applyProtection="1">
      <alignment horizontal="left" vertical="center"/>
      <protection hidden="1"/>
    </xf>
    <xf numFmtId="0" fontId="41" fillId="24" borderId="99" xfId="0" applyNumberFormat="1" applyFont="1" applyFill="1" applyBorder="1" applyAlignment="1" applyProtection="1">
      <alignment vertical="center"/>
      <protection hidden="1"/>
    </xf>
    <xf numFmtId="179" fontId="28" fillId="24" borderId="10" xfId="0" applyNumberFormat="1" applyFont="1" applyFill="1" applyBorder="1" applyAlignment="1" applyProtection="1">
      <alignment horizontal="center" vertical="center"/>
    </xf>
    <xf numFmtId="179" fontId="37" fillId="24" borderId="61" xfId="0" applyNumberFormat="1" applyFont="1" applyFill="1" applyBorder="1" applyAlignment="1" applyProtection="1">
      <alignment horizontal="left"/>
    </xf>
    <xf numFmtId="179" fontId="37" fillId="24" borderId="0" xfId="0" applyNumberFormat="1" applyFont="1" applyFill="1" applyBorder="1" applyAlignment="1" applyProtection="1">
      <alignment horizontal="left"/>
    </xf>
    <xf numFmtId="182" fontId="47" fillId="24" borderId="100" xfId="0" applyNumberFormat="1" applyFont="1" applyFill="1" applyBorder="1" applyAlignment="1" applyProtection="1">
      <alignment horizontal="center" vertical="center"/>
      <protection hidden="1"/>
    </xf>
    <xf numFmtId="179" fontId="37" fillId="24" borderId="90" xfId="0" applyNumberFormat="1" applyFont="1" applyFill="1" applyBorder="1" applyAlignment="1" applyProtection="1">
      <alignment horizontal="left"/>
    </xf>
    <xf numFmtId="182" fontId="35" fillId="24" borderId="101" xfId="0" applyNumberFormat="1" applyFont="1" applyFill="1" applyBorder="1" applyAlignment="1" applyProtection="1">
      <alignment horizontal="center" vertical="center"/>
      <protection hidden="1"/>
    </xf>
    <xf numFmtId="182" fontId="47" fillId="24" borderId="102" xfId="0" applyNumberFormat="1" applyFont="1" applyFill="1" applyBorder="1" applyAlignment="1" applyProtection="1">
      <alignment horizontal="center" vertical="center"/>
      <protection hidden="1"/>
    </xf>
    <xf numFmtId="182" fontId="47" fillId="24" borderId="103" xfId="0" applyNumberFormat="1" applyFont="1" applyFill="1" applyBorder="1" applyAlignment="1" applyProtection="1">
      <alignment horizontal="center" vertical="center"/>
      <protection hidden="1"/>
    </xf>
    <xf numFmtId="0" fontId="41" fillId="24" borderId="90" xfId="0" applyFont="1" applyFill="1" applyBorder="1" applyAlignment="1" applyProtection="1">
      <alignment horizontal="center"/>
      <protection hidden="1"/>
    </xf>
    <xf numFmtId="0" fontId="32" fillId="24" borderId="53" xfId="0" applyFont="1" applyFill="1" applyBorder="1" applyAlignment="1" applyProtection="1">
      <alignment vertical="center"/>
      <protection hidden="1"/>
    </xf>
    <xf numFmtId="0" fontId="27" fillId="24" borderId="54" xfId="0" applyFont="1" applyFill="1" applyBorder="1" applyAlignment="1" applyProtection="1">
      <alignment vertical="center"/>
      <protection hidden="1"/>
    </xf>
    <xf numFmtId="0" fontId="27" fillId="24" borderId="59" xfId="0" applyFont="1" applyFill="1" applyBorder="1" applyAlignment="1" applyProtection="1">
      <alignment vertical="center"/>
      <protection hidden="1"/>
    </xf>
    <xf numFmtId="182" fontId="47" fillId="24" borderId="105" xfId="0" applyNumberFormat="1" applyFont="1" applyFill="1" applyBorder="1" applyAlignment="1" applyProtection="1">
      <alignment horizontal="center" vertical="center"/>
      <protection hidden="1"/>
    </xf>
    <xf numFmtId="182" fontId="35" fillId="24" borderId="106" xfId="0" applyNumberFormat="1" applyFont="1" applyFill="1" applyBorder="1" applyAlignment="1" applyProtection="1">
      <alignment horizontal="center" vertical="center"/>
      <protection hidden="1"/>
    </xf>
    <xf numFmtId="182" fontId="47" fillId="24" borderId="107" xfId="0" applyNumberFormat="1" applyFont="1" applyFill="1" applyBorder="1" applyAlignment="1" applyProtection="1">
      <alignment horizontal="center" vertical="center"/>
      <protection hidden="1"/>
    </xf>
    <xf numFmtId="182" fontId="47" fillId="24" borderId="108" xfId="0" applyNumberFormat="1" applyFont="1" applyFill="1" applyBorder="1" applyAlignment="1" applyProtection="1">
      <alignment horizontal="center" vertical="center"/>
      <protection hidden="1"/>
    </xf>
    <xf numFmtId="0" fontId="65" fillId="24" borderId="20" xfId="0" applyFont="1" applyFill="1" applyBorder="1" applyAlignment="1" applyProtection="1">
      <alignment horizontal="center" vertical="center"/>
      <protection hidden="1"/>
    </xf>
    <xf numFmtId="0" fontId="27" fillId="24" borderId="10" xfId="0" applyFont="1" applyFill="1" applyBorder="1" applyAlignment="1" applyProtection="1">
      <alignment horizontal="center" vertical="center"/>
      <protection hidden="1"/>
    </xf>
    <xf numFmtId="179" fontId="28" fillId="24" borderId="51" xfId="0" applyNumberFormat="1" applyFont="1" applyFill="1" applyBorder="1" applyAlignment="1" applyProtection="1">
      <alignment horizontal="center" vertical="center"/>
    </xf>
    <xf numFmtId="182" fontId="47" fillId="0" borderId="75" xfId="0" applyNumberFormat="1" applyFont="1" applyFill="1" applyBorder="1" applyAlignment="1" applyProtection="1">
      <alignment horizontal="center" vertical="center"/>
      <protection locked="0" hidden="1"/>
    </xf>
    <xf numFmtId="179" fontId="28" fillId="24" borderId="86" xfId="0" applyNumberFormat="1" applyFont="1" applyFill="1" applyBorder="1" applyAlignment="1" applyProtection="1">
      <alignment horizontal="center" vertical="center"/>
    </xf>
    <xf numFmtId="182" fontId="47" fillId="0" borderId="109" xfId="0" applyNumberFormat="1" applyFont="1" applyFill="1" applyBorder="1" applyAlignment="1" applyProtection="1">
      <alignment horizontal="center" vertical="center"/>
      <protection locked="0" hidden="1"/>
    </xf>
    <xf numFmtId="182" fontId="47" fillId="0" borderId="110" xfId="0" applyNumberFormat="1" applyFont="1" applyFill="1" applyBorder="1" applyAlignment="1" applyProtection="1">
      <alignment horizontal="center" vertical="center"/>
      <protection locked="0" hidden="1"/>
    </xf>
    <xf numFmtId="0" fontId="65" fillId="24" borderId="24" xfId="0" applyFont="1" applyFill="1" applyBorder="1" applyAlignment="1" applyProtection="1">
      <alignment horizontal="center" vertical="center"/>
      <protection hidden="1"/>
    </xf>
    <xf numFmtId="0" fontId="27" fillId="24" borderId="50" xfId="0" applyFont="1" applyFill="1" applyBorder="1" applyAlignment="1" applyProtection="1">
      <alignment vertical="center"/>
      <protection hidden="1"/>
    </xf>
    <xf numFmtId="182" fontId="47" fillId="0" borderId="105" xfId="0" applyNumberFormat="1" applyFont="1" applyFill="1" applyBorder="1" applyAlignment="1" applyProtection="1">
      <alignment horizontal="center" vertical="center"/>
      <protection locked="0" hidden="1"/>
    </xf>
    <xf numFmtId="182" fontId="47" fillId="0" borderId="111" xfId="0" applyNumberFormat="1" applyFont="1" applyFill="1" applyBorder="1" applyAlignment="1" applyProtection="1">
      <alignment horizontal="center" vertical="center"/>
      <protection locked="0" hidden="1"/>
    </xf>
    <xf numFmtId="182" fontId="47" fillId="0" borderId="112" xfId="0" applyNumberFormat="1" applyFont="1" applyFill="1" applyBorder="1" applyAlignment="1" applyProtection="1">
      <alignment horizontal="center" vertical="center"/>
      <protection locked="0" hidden="1"/>
    </xf>
    <xf numFmtId="0" fontId="32" fillId="24" borderId="20" xfId="0" applyFont="1" applyFill="1" applyBorder="1" applyAlignment="1" applyProtection="1">
      <alignment vertical="center"/>
      <protection hidden="1"/>
    </xf>
    <xf numFmtId="182" fontId="35" fillId="24" borderId="113" xfId="0" applyNumberFormat="1" applyFont="1" applyFill="1" applyBorder="1" applyAlignment="1" applyProtection="1">
      <alignment horizontal="center" vertical="center"/>
      <protection hidden="1"/>
    </xf>
    <xf numFmtId="182" fontId="47" fillId="24" borderId="114" xfId="0" applyNumberFormat="1" applyFont="1" applyFill="1" applyBorder="1" applyAlignment="1" applyProtection="1">
      <alignment horizontal="center" vertical="center"/>
      <protection hidden="1"/>
    </xf>
    <xf numFmtId="182" fontId="47" fillId="24" borderId="104"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protection locked="0" hidden="1"/>
    </xf>
    <xf numFmtId="182" fontId="47" fillId="0" borderId="115" xfId="0" applyNumberFormat="1" applyFont="1" applyFill="1" applyBorder="1" applyAlignment="1" applyProtection="1">
      <alignment horizontal="center" vertical="center"/>
      <protection locked="0" hidden="1"/>
    </xf>
    <xf numFmtId="182" fontId="47" fillId="0" borderId="88" xfId="0" applyNumberFormat="1" applyFont="1" applyFill="1" applyBorder="1" applyAlignment="1" applyProtection="1">
      <alignment horizontal="center" vertical="center"/>
      <protection locked="0" hidden="1"/>
    </xf>
    <xf numFmtId="0" fontId="41" fillId="24" borderId="65" xfId="0" applyFont="1" applyFill="1" applyBorder="1" applyAlignment="1" applyProtection="1">
      <alignment horizontal="center"/>
      <protection hidden="1"/>
    </xf>
    <xf numFmtId="0" fontId="32" fillId="24" borderId="50" xfId="0" applyFont="1" applyFill="1" applyBorder="1" applyAlignment="1" applyProtection="1">
      <alignment vertical="center"/>
      <protection hidden="1"/>
    </xf>
    <xf numFmtId="0" fontId="27" fillId="24" borderId="51" xfId="0" applyFont="1" applyFill="1" applyBorder="1" applyAlignment="1" applyProtection="1">
      <alignment vertical="center"/>
      <protection hidden="1"/>
    </xf>
    <xf numFmtId="182" fontId="35" fillId="0" borderId="111" xfId="0" applyNumberFormat="1" applyFont="1" applyFill="1" applyBorder="1" applyAlignment="1" applyProtection="1">
      <alignment horizontal="center" vertical="center"/>
      <protection locked="0" hidden="1"/>
    </xf>
    <xf numFmtId="0" fontId="41" fillId="24" borderId="51" xfId="0" applyNumberFormat="1" applyFont="1" applyFill="1" applyBorder="1" applyAlignment="1" applyProtection="1">
      <alignment horizontal="left" vertical="center"/>
      <protection hidden="1"/>
    </xf>
    <xf numFmtId="0" fontId="66" fillId="24" borderId="51" xfId="0" applyFont="1" applyFill="1" applyBorder="1" applyAlignment="1" applyProtection="1">
      <alignment vertical="center"/>
      <protection hidden="1"/>
    </xf>
    <xf numFmtId="179" fontId="37" fillId="24" borderId="10" xfId="0" applyNumberFormat="1" applyFont="1" applyFill="1" applyBorder="1" applyAlignment="1" applyProtection="1">
      <alignment horizontal="left"/>
    </xf>
    <xf numFmtId="179" fontId="37" fillId="24" borderId="51" xfId="0" applyNumberFormat="1" applyFont="1" applyFill="1" applyBorder="1" applyAlignment="1" applyProtection="1">
      <alignment horizontal="left"/>
    </xf>
    <xf numFmtId="182" fontId="47" fillId="24" borderId="116" xfId="0" applyNumberFormat="1" applyFont="1" applyFill="1" applyBorder="1" applyAlignment="1" applyProtection="1">
      <alignment horizontal="center" vertical="center"/>
      <protection hidden="1"/>
    </xf>
    <xf numFmtId="179" fontId="37" fillId="24" borderId="86" xfId="0" applyNumberFormat="1" applyFont="1" applyFill="1" applyBorder="1" applyAlignment="1" applyProtection="1">
      <alignment horizontal="left"/>
    </xf>
    <xf numFmtId="182" fontId="35" fillId="24" borderId="117" xfId="0" applyNumberFormat="1" applyFont="1" applyFill="1" applyBorder="1" applyAlignment="1" applyProtection="1">
      <alignment horizontal="center" vertical="center"/>
      <protection hidden="1"/>
    </xf>
    <xf numFmtId="0" fontId="27" fillId="24" borderId="54" xfId="0" applyNumberFormat="1" applyFont="1" applyFill="1" applyBorder="1" applyAlignment="1" applyProtection="1">
      <alignment horizontal="left" vertical="center"/>
      <protection hidden="1"/>
    </xf>
    <xf numFmtId="0" fontId="28" fillId="24" borderId="10" xfId="0" applyFont="1" applyFill="1" applyBorder="1" applyAlignment="1" applyProtection="1">
      <alignment horizontal="center" vertical="center"/>
    </xf>
    <xf numFmtId="0" fontId="28" fillId="24" borderId="51" xfId="0" applyFont="1" applyFill="1" applyBorder="1" applyAlignment="1" applyProtection="1">
      <alignment horizontal="center" vertical="center"/>
    </xf>
    <xf numFmtId="0" fontId="28" fillId="24" borderId="86" xfId="0" applyFont="1" applyFill="1" applyBorder="1" applyAlignment="1" applyProtection="1">
      <alignment horizontal="center" vertical="center"/>
    </xf>
    <xf numFmtId="0" fontId="65" fillId="24" borderId="20" xfId="0" applyNumberFormat="1" applyFont="1" applyFill="1" applyBorder="1" applyAlignment="1" applyProtection="1">
      <alignment horizontal="center" vertical="center"/>
      <protection hidden="1"/>
    </xf>
    <xf numFmtId="0" fontId="41" fillId="24" borderId="90" xfId="0" quotePrefix="1" applyNumberFormat="1" applyFont="1" applyFill="1" applyBorder="1" applyAlignment="1" applyProtection="1">
      <alignment horizontal="center" vertical="center"/>
      <protection hidden="1"/>
    </xf>
    <xf numFmtId="179" fontId="28" fillId="24" borderId="113" xfId="0" applyNumberFormat="1" applyFont="1" applyFill="1" applyBorder="1" applyAlignment="1" applyProtection="1">
      <alignment horizontal="center" vertical="center"/>
    </xf>
    <xf numFmtId="179" fontId="28" fillId="24" borderId="82" xfId="0" applyNumberFormat="1" applyFont="1" applyFill="1" applyBorder="1" applyAlignment="1" applyProtection="1">
      <alignment horizontal="center" vertical="center"/>
    </xf>
    <xf numFmtId="182" fontId="47" fillId="24" borderId="88" xfId="0" applyNumberFormat="1" applyFont="1" applyFill="1" applyBorder="1" applyAlignment="1" applyProtection="1">
      <alignment horizontal="center" vertical="center"/>
      <protection hidden="1"/>
    </xf>
    <xf numFmtId="182" fontId="47" fillId="24" borderId="90" xfId="0" applyNumberFormat="1" applyFont="1" applyFill="1" applyBorder="1" applyAlignment="1" applyProtection="1">
      <alignment horizontal="center" vertical="center"/>
      <protection hidden="1"/>
    </xf>
    <xf numFmtId="182" fontId="47" fillId="24" borderId="85" xfId="0" applyNumberFormat="1" applyFont="1" applyFill="1" applyBorder="1" applyAlignment="1" applyProtection="1">
      <alignment horizontal="center" vertical="center"/>
      <protection hidden="1"/>
    </xf>
    <xf numFmtId="182" fontId="47" fillId="24" borderId="86" xfId="0" applyNumberFormat="1" applyFont="1" applyFill="1" applyBorder="1" applyAlignment="1" applyProtection="1">
      <alignment horizontal="center" vertical="center"/>
      <protection hidden="1"/>
    </xf>
    <xf numFmtId="182" fontId="47" fillId="24" borderId="118" xfId="0" applyNumberFormat="1" applyFont="1" applyFill="1" applyBorder="1" applyAlignment="1" applyProtection="1">
      <alignment horizontal="center" vertical="center"/>
      <protection hidden="1"/>
    </xf>
    <xf numFmtId="0" fontId="65" fillId="24" borderId="24" xfId="0" applyNumberFormat="1" applyFont="1" applyFill="1" applyBorder="1" applyAlignment="1" applyProtection="1">
      <alignment horizontal="center" vertical="center"/>
      <protection hidden="1"/>
    </xf>
    <xf numFmtId="0" fontId="41" fillId="24" borderId="90" xfId="0" applyNumberFormat="1" applyFont="1" applyFill="1" applyBorder="1" applyAlignment="1" applyProtection="1">
      <alignment horizontal="center" vertical="center"/>
      <protection hidden="1"/>
    </xf>
    <xf numFmtId="182" fontId="47" fillId="0" borderId="119" xfId="0" applyNumberFormat="1" applyFont="1" applyFill="1" applyBorder="1" applyAlignment="1" applyProtection="1">
      <alignment horizontal="center" vertical="center"/>
      <protection locked="0" hidden="1"/>
    </xf>
    <xf numFmtId="182" fontId="47" fillId="0" borderId="83" xfId="0" applyNumberFormat="1" applyFont="1" applyFill="1" applyBorder="1" applyAlignment="1" applyProtection="1">
      <alignment horizontal="center" vertical="center"/>
      <protection locked="0" hidden="1"/>
    </xf>
    <xf numFmtId="0" fontId="41" fillId="24" borderId="83" xfId="0" applyNumberFormat="1" applyFont="1" applyFill="1" applyBorder="1" applyAlignment="1" applyProtection="1">
      <alignment horizontal="center" vertical="center"/>
      <protection hidden="1"/>
    </xf>
    <xf numFmtId="0" fontId="32" fillId="24" borderId="24" xfId="0" applyFont="1" applyFill="1" applyBorder="1" applyAlignment="1" applyProtection="1">
      <alignment vertical="center"/>
      <protection hidden="1"/>
    </xf>
    <xf numFmtId="0" fontId="27" fillId="24" borderId="51" xfId="0" applyFont="1" applyFill="1" applyBorder="1" applyAlignment="1" applyProtection="1">
      <alignment vertical="center" shrinkToFit="1"/>
      <protection hidden="1"/>
    </xf>
    <xf numFmtId="0" fontId="41" fillId="24" borderId="105" xfId="0" quotePrefix="1" applyNumberFormat="1" applyFont="1" applyFill="1" applyBorder="1" applyAlignment="1" applyProtection="1">
      <alignment horizontal="center" vertical="center"/>
      <protection hidden="1"/>
    </xf>
    <xf numFmtId="0" fontId="65" fillId="24" borderId="120" xfId="0" applyFont="1" applyFill="1" applyBorder="1" applyAlignment="1" applyProtection="1">
      <alignment horizontal="center" vertical="center"/>
      <protection hidden="1"/>
    </xf>
    <xf numFmtId="0" fontId="27" fillId="24" borderId="121" xfId="0" applyFont="1" applyFill="1" applyBorder="1" applyAlignment="1" applyProtection="1">
      <alignment horizontal="center" vertical="center"/>
      <protection hidden="1"/>
    </xf>
    <xf numFmtId="0" fontId="27" fillId="24" borderId="122" xfId="0" applyFont="1" applyFill="1" applyBorder="1" applyAlignment="1" applyProtection="1">
      <alignment vertical="center"/>
      <protection hidden="1"/>
    </xf>
    <xf numFmtId="179" fontId="28" fillId="24" borderId="108" xfId="0" applyNumberFormat="1" applyFont="1" applyFill="1" applyBorder="1" applyAlignment="1" applyProtection="1">
      <alignment horizontal="center" vertical="center"/>
    </xf>
    <xf numFmtId="179" fontId="28" fillId="24" borderId="122" xfId="0" applyNumberFormat="1" applyFont="1" applyFill="1" applyBorder="1" applyAlignment="1" applyProtection="1">
      <alignment horizontal="center" vertical="center"/>
    </xf>
    <xf numFmtId="0" fontId="32" fillId="26" borderId="123" xfId="0" applyFont="1" applyFill="1" applyBorder="1" applyAlignment="1" applyProtection="1">
      <alignment vertical="center"/>
      <protection hidden="1"/>
    </xf>
    <xf numFmtId="0" fontId="32" fillId="26" borderId="124" xfId="0" applyFont="1" applyFill="1" applyBorder="1" applyAlignment="1" applyProtection="1">
      <alignment horizontal="left"/>
      <protection hidden="1"/>
    </xf>
    <xf numFmtId="179" fontId="37" fillId="26" borderId="125" xfId="0" applyNumberFormat="1" applyFont="1" applyFill="1" applyBorder="1" applyAlignment="1" applyProtection="1">
      <alignment horizontal="left"/>
      <protection hidden="1"/>
    </xf>
    <xf numFmtId="179" fontId="37" fillId="26" borderId="12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protection hidden="1"/>
    </xf>
    <xf numFmtId="179" fontId="37" fillId="26" borderId="126" xfId="0" applyNumberFormat="1" applyFont="1" applyFill="1" applyBorder="1" applyAlignment="1" applyProtection="1">
      <alignment horizontal="left"/>
      <protection hidden="1"/>
    </xf>
    <xf numFmtId="179" fontId="37" fillId="26" borderId="128" xfId="0" applyNumberFormat="1" applyFont="1" applyFill="1" applyBorder="1" applyAlignment="1" applyProtection="1">
      <alignment horizontal="left"/>
      <protection hidden="1"/>
    </xf>
    <xf numFmtId="0" fontId="41" fillId="24" borderId="99" xfId="0" applyFont="1" applyFill="1" applyBorder="1" applyAlignment="1" applyProtection="1">
      <alignment horizontal="left" vertical="center"/>
      <protection hidden="1"/>
    </xf>
    <xf numFmtId="0" fontId="41" fillId="24" borderId="0" xfId="0" applyFont="1" applyFill="1" applyBorder="1" applyAlignment="1" applyProtection="1">
      <alignment horizontal="left" vertical="center"/>
      <protection hidden="1"/>
    </xf>
    <xf numFmtId="179" fontId="37" fillId="24" borderId="22" xfId="0" applyNumberFormat="1" applyFont="1" applyFill="1" applyBorder="1" applyAlignment="1" applyProtection="1">
      <alignment horizontal="left"/>
    </xf>
    <xf numFmtId="179" fontId="37" fillId="24" borderId="59" xfId="0" applyNumberFormat="1" applyFont="1" applyFill="1" applyBorder="1" applyAlignment="1" applyProtection="1">
      <alignment horizontal="left"/>
    </xf>
    <xf numFmtId="179" fontId="37" fillId="24" borderId="83" xfId="0" applyNumberFormat="1" applyFont="1" applyFill="1" applyBorder="1" applyAlignment="1" applyProtection="1">
      <alignment horizontal="left"/>
    </xf>
    <xf numFmtId="182" fontId="35" fillId="24" borderId="129" xfId="0" applyNumberFormat="1" applyFont="1" applyFill="1" applyBorder="1" applyAlignment="1" applyProtection="1">
      <alignment horizontal="center" vertical="center"/>
      <protection hidden="1"/>
    </xf>
    <xf numFmtId="182" fontId="47" fillId="24" borderId="130" xfId="0" applyNumberFormat="1" applyFont="1" applyFill="1" applyBorder="1" applyAlignment="1" applyProtection="1">
      <alignment horizontal="center" vertical="center"/>
      <protection hidden="1"/>
    </xf>
    <xf numFmtId="182" fontId="47" fillId="24" borderId="131" xfId="0" applyNumberFormat="1" applyFont="1" applyFill="1" applyBorder="1" applyAlignment="1" applyProtection="1">
      <alignment horizontal="center" vertical="center"/>
      <protection hidden="1"/>
    </xf>
    <xf numFmtId="0" fontId="66" fillId="24" borderId="54" xfId="0" applyFont="1" applyFill="1" applyBorder="1" applyAlignment="1" applyProtection="1">
      <alignment vertical="center"/>
      <protection hidden="1"/>
    </xf>
    <xf numFmtId="182" fontId="47" fillId="24" borderId="112" xfId="0" applyNumberFormat="1" applyFont="1" applyFill="1" applyBorder="1" applyAlignment="1" applyProtection="1">
      <alignment horizontal="center" vertical="center"/>
      <protection hidden="1"/>
    </xf>
    <xf numFmtId="0" fontId="41" fillId="24" borderId="132" xfId="0" quotePrefix="1" applyNumberFormat="1" applyFont="1" applyFill="1" applyBorder="1" applyAlignment="1" applyProtection="1">
      <alignment horizontal="center" vertical="center"/>
      <protection hidden="1"/>
    </xf>
    <xf numFmtId="0" fontId="41" fillId="24" borderId="83" xfId="0" quotePrefix="1" applyNumberFormat="1" applyFont="1" applyFill="1" applyBorder="1" applyAlignment="1" applyProtection="1">
      <alignment horizontal="center" vertical="center"/>
      <protection hidden="1"/>
    </xf>
    <xf numFmtId="179" fontId="28" fillId="24" borderId="50" xfId="0" applyNumberFormat="1" applyFont="1" applyFill="1" applyBorder="1" applyAlignment="1" applyProtection="1">
      <alignment horizontal="center" vertical="center"/>
    </xf>
    <xf numFmtId="179" fontId="25" fillId="24" borderId="10" xfId="0" applyNumberFormat="1" applyFont="1" applyFill="1" applyBorder="1" applyAlignment="1" applyProtection="1">
      <alignment horizontal="center" vertical="center"/>
    </xf>
    <xf numFmtId="182" fontId="47" fillId="24" borderId="133" xfId="0" applyNumberFormat="1" applyFont="1" applyFill="1" applyBorder="1" applyAlignment="1" applyProtection="1">
      <alignment horizontal="center" vertical="center"/>
      <protection hidden="1"/>
    </xf>
    <xf numFmtId="182" fontId="35" fillId="24" borderId="134" xfId="0" applyNumberFormat="1" applyFont="1" applyFill="1" applyBorder="1" applyAlignment="1" applyProtection="1">
      <alignment horizontal="center" vertical="center"/>
      <protection hidden="1"/>
    </xf>
    <xf numFmtId="182" fontId="47" fillId="24" borderId="135" xfId="0" applyNumberFormat="1" applyFont="1" applyFill="1" applyBorder="1" applyAlignment="1" applyProtection="1">
      <alignment horizontal="center" vertical="center"/>
      <protection hidden="1"/>
    </xf>
    <xf numFmtId="182" fontId="47" fillId="24" borderId="73" xfId="0" applyNumberFormat="1" applyFont="1" applyFill="1" applyBorder="1" applyAlignment="1" applyProtection="1">
      <alignment horizontal="center" vertical="center"/>
      <protection hidden="1"/>
    </xf>
    <xf numFmtId="0" fontId="27" fillId="24" borderId="20" xfId="0" applyFont="1" applyFill="1" applyBorder="1" applyAlignment="1" applyProtection="1">
      <alignment vertical="center"/>
      <protection hidden="1"/>
    </xf>
    <xf numFmtId="0" fontId="41" fillId="24" borderId="83" xfId="0" applyFont="1" applyFill="1" applyBorder="1" applyAlignment="1" applyProtection="1">
      <alignment horizontal="center"/>
      <protection hidden="1"/>
    </xf>
    <xf numFmtId="0" fontId="28" fillId="31" borderId="54" xfId="0" applyFont="1" applyFill="1" applyBorder="1" applyAlignment="1" applyProtection="1">
      <alignment horizontal="center" vertical="center"/>
    </xf>
    <xf numFmtId="182" fontId="47" fillId="31" borderId="104" xfId="0" applyNumberFormat="1" applyFont="1" applyFill="1" applyBorder="1" applyAlignment="1" applyProtection="1">
      <alignment horizontal="center" vertical="center"/>
      <protection hidden="1"/>
    </xf>
    <xf numFmtId="0" fontId="28" fillId="31" borderId="104" xfId="0" applyFont="1" applyFill="1" applyBorder="1" applyAlignment="1" applyProtection="1">
      <alignment horizontal="center" vertical="center"/>
    </xf>
    <xf numFmtId="182" fontId="47" fillId="31" borderId="114" xfId="0" applyNumberFormat="1" applyFont="1" applyFill="1" applyBorder="1" applyAlignment="1" applyProtection="1">
      <alignment horizontal="center" vertical="center"/>
      <protection hidden="1"/>
    </xf>
    <xf numFmtId="0" fontId="32" fillId="24" borderId="104" xfId="0" quotePrefix="1" applyFont="1" applyFill="1" applyBorder="1" applyAlignment="1" applyProtection="1">
      <alignment vertical="center"/>
      <protection hidden="1"/>
    </xf>
    <xf numFmtId="0" fontId="41" fillId="24" borderId="54" xfId="0" applyNumberFormat="1" applyFont="1" applyFill="1" applyBorder="1" applyAlignment="1" applyProtection="1">
      <alignment horizontal="left" vertical="center"/>
      <protection hidden="1"/>
    </xf>
    <xf numFmtId="182" fontId="35" fillId="24" borderId="91" xfId="0" applyNumberFormat="1" applyFont="1" applyFill="1" applyBorder="1" applyAlignment="1" applyProtection="1">
      <alignment horizontal="center" vertical="center"/>
      <protection hidden="1"/>
    </xf>
    <xf numFmtId="0" fontId="27" fillId="24" borderId="23" xfId="0" applyFont="1" applyFill="1" applyBorder="1" applyAlignment="1" applyProtection="1">
      <alignment horizontal="center" vertical="center"/>
      <protection hidden="1"/>
    </xf>
    <xf numFmtId="0" fontId="27" fillId="24" borderId="51" xfId="0" applyNumberFormat="1" applyFont="1" applyFill="1" applyBorder="1" applyAlignment="1" applyProtection="1">
      <alignment horizontal="left" vertical="center"/>
      <protection hidden="1"/>
    </xf>
    <xf numFmtId="0" fontId="65" fillId="24" borderId="120" xfId="0" applyNumberFormat="1" applyFont="1" applyFill="1" applyBorder="1" applyAlignment="1" applyProtection="1">
      <alignment horizontal="center" vertical="center"/>
      <protection hidden="1"/>
    </xf>
    <xf numFmtId="179" fontId="28" fillId="24" borderId="104" xfId="0" applyNumberFormat="1" applyFont="1" applyFill="1" applyBorder="1" applyAlignment="1" applyProtection="1">
      <alignment horizontal="center" vertical="center"/>
    </xf>
    <xf numFmtId="179" fontId="28" fillId="24" borderId="54" xfId="0" applyNumberFormat="1" applyFont="1" applyFill="1" applyBorder="1" applyAlignment="1" applyProtection="1">
      <alignment horizontal="center" vertical="center"/>
    </xf>
    <xf numFmtId="0" fontId="6" fillId="0" borderId="88" xfId="0" applyFont="1" applyFill="1" applyBorder="1" applyProtection="1">
      <alignment vertical="center"/>
      <protection hidden="1"/>
    </xf>
    <xf numFmtId="0" fontId="32" fillId="26" borderId="124" xfId="0" applyNumberFormat="1" applyFont="1" applyFill="1" applyBorder="1" applyAlignment="1" applyProtection="1">
      <alignment horizontal="left" vertical="center"/>
      <protection hidden="1"/>
    </xf>
    <xf numFmtId="179" fontId="37" fillId="26" borderId="123" xfId="0" applyNumberFormat="1" applyFont="1" applyFill="1" applyBorder="1" applyAlignment="1" applyProtection="1">
      <alignment horizontal="left"/>
    </xf>
    <xf numFmtId="0" fontId="27" fillId="24" borderId="138" xfId="0" applyFont="1" applyFill="1" applyBorder="1" applyAlignment="1" applyProtection="1">
      <alignment vertical="center"/>
      <protection hidden="1"/>
    </xf>
    <xf numFmtId="182" fontId="35" fillId="0" borderId="109" xfId="0" applyNumberFormat="1" applyFont="1" applyFill="1" applyBorder="1" applyAlignment="1" applyProtection="1">
      <alignment horizontal="center" vertical="center"/>
      <protection locked="0" hidden="1"/>
    </xf>
    <xf numFmtId="0" fontId="32" fillId="24" borderId="86" xfId="0" quotePrefix="1" applyFont="1" applyFill="1" applyBorder="1" applyAlignment="1" applyProtection="1">
      <alignment vertical="center"/>
      <protection hidden="1"/>
    </xf>
    <xf numFmtId="0" fontId="41" fillId="24" borderId="51" xfId="0" applyFont="1" applyFill="1" applyBorder="1" applyAlignment="1" applyProtection="1">
      <alignment horizontal="left" vertical="center"/>
      <protection hidden="1"/>
    </xf>
    <xf numFmtId="0" fontId="41" fillId="24" borderId="59" xfId="0" applyNumberFormat="1" applyFont="1" applyFill="1" applyBorder="1" applyAlignment="1" applyProtection="1">
      <alignment horizontal="left" vertical="center"/>
      <protection hidden="1"/>
    </xf>
    <xf numFmtId="0" fontId="32" fillId="24" borderId="20" xfId="0" applyFont="1" applyFill="1" applyBorder="1" applyProtection="1">
      <alignment vertical="center"/>
      <protection hidden="1"/>
    </xf>
    <xf numFmtId="0" fontId="27" fillId="24" borderId="59" xfId="0" applyNumberFormat="1" applyFont="1" applyFill="1" applyBorder="1" applyAlignment="1" applyProtection="1">
      <alignment horizontal="left" vertical="center"/>
      <protection hidden="1"/>
    </xf>
    <xf numFmtId="0" fontId="27" fillId="24" borderId="59" xfId="0" applyFont="1" applyFill="1" applyBorder="1" applyProtection="1">
      <alignment vertical="center"/>
      <protection hidden="1"/>
    </xf>
    <xf numFmtId="0" fontId="32" fillId="24" borderId="50" xfId="0" applyFont="1" applyFill="1" applyBorder="1" applyProtection="1">
      <alignment vertical="center"/>
      <protection hidden="1"/>
    </xf>
    <xf numFmtId="0" fontId="27" fillId="24" borderId="51" xfId="0" applyFont="1" applyFill="1" applyBorder="1" applyProtection="1">
      <alignment vertical="center"/>
      <protection hidden="1"/>
    </xf>
    <xf numFmtId="179" fontId="37" fillId="0" borderId="0" xfId="0" applyNumberFormat="1" applyFont="1" applyFill="1" applyBorder="1" applyAlignment="1" applyProtection="1">
      <alignment horizontal="left"/>
    </xf>
    <xf numFmtId="182" fontId="47" fillId="0" borderId="90" xfId="0" applyNumberFormat="1" applyFont="1" applyFill="1" applyBorder="1" applyAlignment="1" applyProtection="1">
      <alignment horizontal="center" vertical="center"/>
      <protection hidden="1"/>
    </xf>
    <xf numFmtId="179" fontId="37" fillId="0" borderId="90" xfId="0" applyNumberFormat="1" applyFont="1" applyFill="1" applyBorder="1" applyAlignment="1" applyProtection="1">
      <alignment horizontal="left"/>
    </xf>
    <xf numFmtId="182" fontId="47" fillId="0" borderId="133" xfId="0" applyNumberFormat="1" applyFont="1" applyFill="1" applyBorder="1" applyAlignment="1" applyProtection="1">
      <alignment horizontal="center" vertical="center"/>
      <protection hidden="1"/>
    </xf>
    <xf numFmtId="182" fontId="47" fillId="0" borderId="88"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xf>
    <xf numFmtId="182" fontId="47" fillId="0" borderId="115" xfId="0" applyNumberFormat="1" applyFont="1" applyFill="1" applyBorder="1" applyAlignment="1" applyProtection="1">
      <alignment horizontal="center" vertical="center"/>
      <protection hidden="1"/>
    </xf>
    <xf numFmtId="0" fontId="60" fillId="30" borderId="75" xfId="0" applyNumberFormat="1" applyFont="1" applyFill="1" applyBorder="1" applyAlignment="1" applyProtection="1">
      <alignment horizontal="left" vertical="center"/>
      <protection hidden="1"/>
    </xf>
    <xf numFmtId="0" fontId="60" fillId="30" borderId="81" xfId="0" applyNumberFormat="1" applyFont="1" applyFill="1" applyBorder="1" applyAlignment="1" applyProtection="1">
      <alignment horizontal="left" vertical="center"/>
      <protection hidden="1"/>
    </xf>
    <xf numFmtId="179" fontId="37" fillId="30" borderId="81" xfId="0" applyNumberFormat="1" applyFont="1" applyFill="1" applyBorder="1" applyAlignment="1" applyProtection="1">
      <alignment horizontal="left" vertical="center"/>
      <protection hidden="1"/>
    </xf>
    <xf numFmtId="179" fontId="37" fillId="30" borderId="139" xfId="0" applyNumberFormat="1" applyFont="1" applyFill="1" applyBorder="1" applyAlignment="1" applyProtection="1">
      <alignment horizontal="left" vertical="center"/>
      <protection hidden="1"/>
    </xf>
    <xf numFmtId="179" fontId="37" fillId="30" borderId="140" xfId="0" applyNumberFormat="1" applyFont="1" applyFill="1" applyBorder="1" applyAlignment="1" applyProtection="1">
      <alignment horizontal="left"/>
      <protection hidden="1"/>
    </xf>
    <xf numFmtId="179" fontId="37" fillId="30" borderId="139" xfId="0" applyNumberFormat="1" applyFont="1" applyFill="1" applyBorder="1" applyAlignment="1" applyProtection="1">
      <alignment horizontal="left"/>
      <protection hidden="1"/>
    </xf>
    <xf numFmtId="0" fontId="32" fillId="26" borderId="94" xfId="0" applyFont="1" applyFill="1" applyBorder="1" applyAlignment="1" applyProtection="1">
      <alignment vertical="center"/>
      <protection hidden="1"/>
    </xf>
    <xf numFmtId="179" fontId="37" fillId="26" borderId="141" xfId="0" applyNumberFormat="1" applyFont="1" applyFill="1" applyBorder="1" applyAlignment="1" applyProtection="1">
      <alignment horizontal="left"/>
      <protection hidden="1"/>
    </xf>
    <xf numFmtId="179" fontId="37" fillId="26" borderId="95" xfId="0" applyNumberFormat="1" applyFont="1" applyFill="1" applyBorder="1" applyAlignment="1" applyProtection="1">
      <alignment horizontal="left"/>
      <protection hidden="1"/>
    </xf>
    <xf numFmtId="179" fontId="37" fillId="26" borderId="142" xfId="0" applyNumberFormat="1" applyFont="1" applyFill="1" applyBorder="1" applyAlignment="1" applyProtection="1">
      <alignment horizontal="left"/>
      <protection hidden="1"/>
    </xf>
    <xf numFmtId="179" fontId="37" fillId="26" borderId="96" xfId="0" applyNumberFormat="1" applyFont="1" applyFill="1" applyBorder="1" applyAlignment="1" applyProtection="1">
      <alignment horizontal="left"/>
      <protection hidden="1"/>
    </xf>
    <xf numFmtId="179" fontId="37" fillId="26" borderId="141" xfId="0" applyNumberFormat="1" applyFont="1" applyFill="1" applyBorder="1" applyAlignment="1" applyProtection="1">
      <alignment horizontal="left"/>
    </xf>
    <xf numFmtId="0" fontId="41" fillId="24" borderId="138" xfId="0" applyNumberFormat="1" applyFont="1" applyFill="1" applyBorder="1" applyAlignment="1" applyProtection="1">
      <alignment horizontal="left" vertical="center"/>
      <protection hidden="1"/>
    </xf>
    <xf numFmtId="182" fontId="47" fillId="0" borderId="133" xfId="0" applyNumberFormat="1" applyFont="1" applyFill="1" applyBorder="1" applyAlignment="1" applyProtection="1">
      <alignment horizontal="center" vertical="center"/>
      <protection locked="0" hidden="1"/>
    </xf>
    <xf numFmtId="179" fontId="28" fillId="24" borderId="59" xfId="0" applyNumberFormat="1" applyFont="1" applyFill="1" applyBorder="1" applyAlignment="1" applyProtection="1">
      <alignment horizontal="center" vertical="center"/>
    </xf>
    <xf numFmtId="182" fontId="47" fillId="24" borderId="119" xfId="0" applyNumberFormat="1" applyFont="1" applyFill="1" applyBorder="1" applyAlignment="1" applyProtection="1">
      <alignment horizontal="center" vertical="center"/>
      <protection hidden="1"/>
    </xf>
    <xf numFmtId="182" fontId="47" fillId="24" borderId="83" xfId="0" applyNumberFormat="1" applyFont="1" applyFill="1" applyBorder="1" applyAlignment="1" applyProtection="1">
      <alignment horizontal="center" vertical="center"/>
      <protection hidden="1"/>
    </xf>
    <xf numFmtId="0" fontId="32" fillId="24" borderId="104" xfId="0" applyFont="1" applyFill="1" applyBorder="1" applyAlignment="1" applyProtection="1">
      <alignment vertical="center"/>
      <protection hidden="1"/>
    </xf>
    <xf numFmtId="182" fontId="35" fillId="24" borderId="143" xfId="0" applyNumberFormat="1" applyFont="1" applyFill="1" applyBorder="1" applyAlignment="1" applyProtection="1">
      <alignment horizontal="center" vertical="center"/>
      <protection hidden="1"/>
    </xf>
    <xf numFmtId="0" fontId="32" fillId="24" borderId="90" xfId="0" applyFont="1" applyFill="1" applyBorder="1" applyAlignment="1" applyProtection="1">
      <alignment vertical="center"/>
      <protection hidden="1"/>
    </xf>
    <xf numFmtId="182" fontId="47" fillId="0" borderId="73" xfId="0" applyNumberFormat="1" applyFont="1" applyFill="1" applyBorder="1" applyAlignment="1" applyProtection="1">
      <alignment horizontal="center" vertical="center"/>
      <protection locked="0" hidden="1"/>
    </xf>
    <xf numFmtId="182" fontId="35" fillId="0" borderId="133" xfId="0" applyNumberFormat="1" applyFont="1" applyFill="1" applyBorder="1" applyAlignment="1" applyProtection="1">
      <alignment horizontal="center" vertical="center"/>
      <protection locked="0" hidden="1"/>
    </xf>
    <xf numFmtId="182" fontId="47" fillId="0" borderId="135" xfId="0" applyNumberFormat="1" applyFont="1" applyFill="1" applyBorder="1" applyAlignment="1" applyProtection="1">
      <alignment horizontal="center" vertical="center"/>
      <protection locked="0" hidden="1"/>
    </xf>
    <xf numFmtId="0" fontId="32" fillId="24" borderId="50" xfId="0" applyNumberFormat="1" applyFont="1" applyFill="1" applyBorder="1" applyAlignment="1" applyProtection="1">
      <alignment horizontal="right" vertical="center"/>
      <protection hidden="1"/>
    </xf>
    <xf numFmtId="0" fontId="32" fillId="24" borderId="65" xfId="0" applyFont="1" applyFill="1" applyBorder="1" applyAlignment="1" applyProtection="1">
      <alignment vertical="center"/>
      <protection hidden="1"/>
    </xf>
    <xf numFmtId="179" fontId="28" fillId="24" borderId="118" xfId="0" applyNumberFormat="1" applyFont="1" applyFill="1" applyBorder="1" applyAlignment="1" applyProtection="1">
      <alignment horizontal="center" vertical="center"/>
    </xf>
    <xf numFmtId="0" fontId="28" fillId="24" borderId="83" xfId="0" applyFont="1" applyFill="1" applyBorder="1" applyAlignment="1" applyProtection="1">
      <alignment horizontal="center" vertical="center"/>
    </xf>
    <xf numFmtId="0" fontId="28" fillId="24" borderId="59" xfId="0" applyFont="1" applyFill="1" applyBorder="1" applyAlignment="1" applyProtection="1">
      <alignment horizontal="center" vertical="center"/>
    </xf>
    <xf numFmtId="182" fontId="47" fillId="24" borderId="80" xfId="0" applyNumberFormat="1" applyFont="1" applyFill="1" applyBorder="1" applyAlignment="1" applyProtection="1">
      <alignment horizontal="center" vertical="center"/>
      <protection hidden="1"/>
    </xf>
    <xf numFmtId="182" fontId="47" fillId="24" borderId="82" xfId="0" applyNumberFormat="1" applyFont="1" applyFill="1" applyBorder="1" applyAlignment="1" applyProtection="1">
      <alignment horizontal="center" vertical="center"/>
      <protection hidden="1"/>
    </xf>
    <xf numFmtId="182" fontId="35" fillId="24" borderId="133" xfId="0" applyNumberFormat="1" applyFont="1" applyFill="1" applyBorder="1" applyAlignment="1" applyProtection="1">
      <alignment horizontal="center" vertical="center"/>
      <protection hidden="1"/>
    </xf>
    <xf numFmtId="0" fontId="69" fillId="24" borderId="90" xfId="0" applyNumberFormat="1" applyFont="1" applyFill="1" applyBorder="1" applyAlignment="1" applyProtection="1">
      <alignment horizontal="center" vertical="center"/>
      <protection hidden="1"/>
    </xf>
    <xf numFmtId="182" fontId="35" fillId="24" borderId="109" xfId="0" applyNumberFormat="1" applyFont="1" applyFill="1" applyBorder="1" applyAlignment="1" applyProtection="1">
      <alignment horizontal="center" vertical="center"/>
      <protection hidden="1"/>
    </xf>
    <xf numFmtId="182" fontId="35" fillId="24" borderId="115" xfId="0" applyNumberFormat="1" applyFont="1" applyFill="1" applyBorder="1" applyAlignment="1" applyProtection="1">
      <alignment horizontal="center" vertical="center"/>
      <protection hidden="1"/>
    </xf>
    <xf numFmtId="182" fontId="35" fillId="24" borderId="111" xfId="0" applyNumberFormat="1" applyFont="1" applyFill="1" applyBorder="1" applyAlignment="1" applyProtection="1">
      <alignment horizontal="center" vertical="center"/>
      <protection hidden="1"/>
    </xf>
    <xf numFmtId="0" fontId="69" fillId="24" borderId="83" xfId="0" applyNumberFormat="1" applyFont="1" applyFill="1" applyBorder="1" applyAlignment="1" applyProtection="1">
      <alignment horizontal="center" vertical="center"/>
      <protection hidden="1"/>
    </xf>
    <xf numFmtId="182" fontId="35" fillId="24" borderId="144" xfId="0" applyNumberFormat="1" applyFont="1" applyFill="1" applyBorder="1" applyAlignment="1" applyProtection="1">
      <alignment horizontal="center" vertical="center"/>
      <protection hidden="1"/>
    </xf>
    <xf numFmtId="0" fontId="32" fillId="24" borderId="103" xfId="0" quotePrefix="1" applyFont="1" applyFill="1" applyBorder="1" applyAlignment="1" applyProtection="1">
      <alignment vertical="center"/>
      <protection hidden="1"/>
    </xf>
    <xf numFmtId="0" fontId="32" fillId="24" borderId="20" xfId="0" quotePrefix="1" applyFont="1" applyFill="1" applyBorder="1" applyAlignment="1" applyProtection="1">
      <alignment vertical="center"/>
      <protection hidden="1"/>
    </xf>
    <xf numFmtId="0" fontId="65" fillId="24" borderId="20" xfId="0" quotePrefix="1" applyNumberFormat="1" applyFont="1" applyFill="1" applyBorder="1" applyAlignment="1" applyProtection="1">
      <alignment horizontal="center" vertical="center"/>
      <protection hidden="1"/>
    </xf>
    <xf numFmtId="0" fontId="65" fillId="24" borderId="24" xfId="0" quotePrefix="1" applyNumberFormat="1" applyFont="1" applyFill="1" applyBorder="1" applyAlignment="1" applyProtection="1">
      <alignment horizontal="center" vertical="center"/>
      <protection hidden="1"/>
    </xf>
    <xf numFmtId="0" fontId="41" fillId="24" borderId="54" xfId="0" applyFont="1" applyFill="1" applyBorder="1" applyAlignment="1" applyProtection="1">
      <alignment horizontal="left" vertical="center"/>
      <protection hidden="1"/>
    </xf>
    <xf numFmtId="182" fontId="35" fillId="0" borderId="115" xfId="0" applyNumberFormat="1" applyFont="1" applyFill="1" applyBorder="1" applyAlignment="1" applyProtection="1">
      <alignment horizontal="center" vertical="center"/>
      <protection locked="0" hidden="1"/>
    </xf>
    <xf numFmtId="179" fontId="25" fillId="24" borderId="51" xfId="0" applyNumberFormat="1" applyFont="1" applyFill="1" applyBorder="1" applyAlignment="1" applyProtection="1">
      <alignment horizontal="center" vertical="center"/>
    </xf>
    <xf numFmtId="0" fontId="41" fillId="24" borderId="65" xfId="0" applyFont="1" applyFill="1" applyBorder="1" applyAlignment="1" applyProtection="1">
      <alignment horizontal="center" vertical="center"/>
      <protection hidden="1"/>
    </xf>
    <xf numFmtId="0" fontId="41" fillId="24" borderId="71" xfId="0" applyNumberFormat="1" applyFont="1" applyFill="1" applyBorder="1" applyAlignment="1" applyProtection="1">
      <alignment horizontal="center" vertical="center"/>
      <protection hidden="1"/>
    </xf>
    <xf numFmtId="179" fontId="37" fillId="26" borderId="73" xfId="0" applyNumberFormat="1" applyFont="1" applyFill="1" applyBorder="1" applyAlignment="1" applyProtection="1">
      <alignment horizontal="left"/>
      <protection hidden="1"/>
    </xf>
    <xf numFmtId="179" fontId="37" fillId="26" borderId="110" xfId="0" applyNumberFormat="1" applyFont="1" applyFill="1" applyBorder="1" applyAlignment="1" applyProtection="1">
      <alignment horizontal="left"/>
      <protection hidden="1"/>
    </xf>
    <xf numFmtId="179" fontId="37" fillId="26" borderId="75" xfId="0" applyNumberFormat="1" applyFont="1" applyFill="1" applyBorder="1" applyAlignment="1" applyProtection="1">
      <alignment horizontal="left"/>
      <protection hidden="1"/>
    </xf>
    <xf numFmtId="0" fontId="32" fillId="24" borderId="131" xfId="0" quotePrefix="1" applyFont="1" applyFill="1" applyBorder="1" applyProtection="1">
      <alignment vertical="center"/>
      <protection hidden="1"/>
    </xf>
    <xf numFmtId="0" fontId="32" fillId="24" borderId="90" xfId="0" quotePrefix="1" applyFont="1" applyFill="1" applyBorder="1" applyProtection="1">
      <alignment vertical="center"/>
      <protection hidden="1"/>
    </xf>
    <xf numFmtId="0" fontId="32" fillId="24" borderId="132" xfId="0" quotePrefix="1" applyFont="1" applyFill="1" applyBorder="1" applyProtection="1">
      <alignment vertical="center"/>
      <protection hidden="1"/>
    </xf>
    <xf numFmtId="0" fontId="32" fillId="24" borderId="20" xfId="0" applyNumberFormat="1" applyFont="1" applyFill="1" applyBorder="1" applyAlignment="1" applyProtection="1">
      <alignment horizontal="left" vertical="center"/>
      <protection hidden="1"/>
    </xf>
    <xf numFmtId="0" fontId="32" fillId="24" borderId="83" xfId="0" quotePrefix="1" applyFont="1" applyFill="1" applyBorder="1" applyProtection="1">
      <alignment vertical="center"/>
      <protection hidden="1"/>
    </xf>
    <xf numFmtId="0" fontId="32" fillId="24" borderId="24" xfId="0" applyNumberFormat="1" applyFont="1" applyFill="1" applyBorder="1" applyAlignment="1" applyProtection="1">
      <alignment horizontal="left" vertical="center"/>
      <protection hidden="1"/>
    </xf>
    <xf numFmtId="179" fontId="28" fillId="24" borderId="22" xfId="0" applyNumberFormat="1" applyFont="1" applyFill="1" applyBorder="1" applyAlignment="1" applyProtection="1">
      <alignment horizontal="center" vertical="center"/>
    </xf>
    <xf numFmtId="182" fontId="35" fillId="24" borderId="84" xfId="0" applyNumberFormat="1" applyFont="1" applyFill="1" applyBorder="1" applyAlignment="1" applyProtection="1">
      <alignment horizontal="center" vertical="center"/>
      <protection hidden="1"/>
    </xf>
    <xf numFmtId="182" fontId="47" fillId="24" borderId="84" xfId="0" applyNumberFormat="1" applyFont="1" applyFill="1" applyBorder="1" applyAlignment="1" applyProtection="1">
      <alignment horizontal="center" vertical="center"/>
      <protection hidden="1"/>
    </xf>
    <xf numFmtId="0" fontId="32" fillId="24" borderId="90" xfId="0" applyFont="1" applyFill="1" applyBorder="1" applyProtection="1">
      <alignment vertical="center"/>
      <protection hidden="1"/>
    </xf>
    <xf numFmtId="182" fontId="35" fillId="24" borderId="145" xfId="0" applyNumberFormat="1" applyFont="1" applyFill="1" applyBorder="1" applyAlignment="1" applyProtection="1">
      <alignment horizontal="center" vertical="center"/>
      <protection hidden="1"/>
    </xf>
    <xf numFmtId="182" fontId="47" fillId="24" borderId="145" xfId="0" applyNumberFormat="1" applyFont="1" applyFill="1" applyBorder="1" applyAlignment="1" applyProtection="1">
      <alignment horizontal="center" vertical="center"/>
      <protection hidden="1"/>
    </xf>
    <xf numFmtId="0" fontId="69" fillId="24" borderId="90" xfId="0" applyFont="1" applyFill="1" applyBorder="1" applyAlignment="1" applyProtection="1">
      <alignment horizontal="center"/>
      <protection hidden="1"/>
    </xf>
    <xf numFmtId="0" fontId="6" fillId="24" borderId="61" xfId="0" applyFont="1" applyFill="1" applyBorder="1" applyProtection="1">
      <alignment vertical="center"/>
    </xf>
    <xf numFmtId="0" fontId="69" fillId="24" borderId="132" xfId="0" applyFont="1" applyFill="1" applyBorder="1" applyAlignment="1" applyProtection="1">
      <alignment horizontal="center"/>
      <protection hidden="1"/>
    </xf>
    <xf numFmtId="0" fontId="41" fillId="24" borderId="132" xfId="0" applyNumberFormat="1" applyFont="1" applyFill="1" applyBorder="1" applyAlignment="1" applyProtection="1">
      <alignment horizontal="center" vertical="center"/>
      <protection hidden="1"/>
    </xf>
    <xf numFmtId="0" fontId="6" fillId="24" borderId="22" xfId="0" applyFont="1" applyFill="1" applyBorder="1" applyProtection="1">
      <alignment vertical="center"/>
    </xf>
    <xf numFmtId="0" fontId="32" fillId="24" borderId="132" xfId="0" applyFont="1" applyFill="1" applyBorder="1" applyProtection="1">
      <alignment vertical="center"/>
      <protection hidden="1"/>
    </xf>
    <xf numFmtId="182" fontId="47" fillId="24" borderId="110" xfId="0" applyNumberFormat="1" applyFont="1" applyFill="1" applyBorder="1" applyAlignment="1" applyProtection="1">
      <alignment horizontal="center" vertical="center"/>
      <protection hidden="1"/>
    </xf>
    <xf numFmtId="182" fontId="47" fillId="24" borderId="75" xfId="0" applyNumberFormat="1" applyFont="1" applyFill="1" applyBorder="1" applyAlignment="1" applyProtection="1">
      <alignment horizontal="center" vertical="center"/>
      <protection hidden="1"/>
    </xf>
    <xf numFmtId="0" fontId="6" fillId="24" borderId="20" xfId="0" applyFont="1" applyFill="1" applyBorder="1" applyProtection="1">
      <alignment vertical="center"/>
    </xf>
    <xf numFmtId="0" fontId="32" fillId="24" borderId="71" xfId="0" applyFont="1" applyFill="1" applyBorder="1" applyProtection="1">
      <alignment vertical="center"/>
      <protection hidden="1"/>
    </xf>
    <xf numFmtId="0" fontId="6" fillId="24" borderId="120" xfId="0" applyFont="1" applyFill="1" applyBorder="1" applyProtection="1">
      <alignment vertical="center"/>
    </xf>
    <xf numFmtId="0" fontId="27" fillId="24" borderId="122" xfId="0" applyFont="1" applyFill="1" applyBorder="1" applyAlignment="1" applyProtection="1">
      <alignment vertical="center" shrinkToFit="1"/>
      <protection hidden="1"/>
    </xf>
    <xf numFmtId="179" fontId="28" fillId="24" borderId="121" xfId="0" applyNumberFormat="1" applyFont="1" applyFill="1" applyBorder="1" applyAlignment="1" applyProtection="1">
      <alignment horizontal="center" vertical="center"/>
    </xf>
    <xf numFmtId="0" fontId="41" fillId="0" borderId="0" xfId="0" quotePrefix="1" applyNumberFormat="1" applyFont="1" applyFill="1" applyBorder="1" applyAlignment="1" applyProtection="1">
      <alignment horizontal="left" vertical="center"/>
      <protection hidden="1"/>
    </xf>
    <xf numFmtId="0" fontId="36" fillId="0" borderId="0" xfId="0" applyNumberFormat="1" applyFont="1" applyFill="1" applyBorder="1" applyAlignment="1" applyProtection="1">
      <alignment horizontal="left" vertical="center"/>
      <protection hidden="1"/>
    </xf>
    <xf numFmtId="0" fontId="28" fillId="0" borderId="0" xfId="0" applyNumberFormat="1" applyFont="1" applyFill="1" applyBorder="1" applyAlignment="1" applyProtection="1">
      <alignment horizontal="left" vertical="center"/>
      <protection hidden="1"/>
    </xf>
    <xf numFmtId="0" fontId="6" fillId="0" borderId="0" xfId="0" applyFont="1" applyFill="1" applyBorder="1" applyProtection="1">
      <alignment vertical="center"/>
      <protection hidden="1"/>
    </xf>
    <xf numFmtId="179" fontId="37" fillId="0" borderId="0" xfId="0" applyNumberFormat="1" applyFont="1" applyFill="1" applyBorder="1" applyAlignment="1" applyProtection="1">
      <alignment horizontal="left" vertical="center"/>
      <protection hidden="1"/>
    </xf>
    <xf numFmtId="183" fontId="27" fillId="0" borderId="0" xfId="0" applyNumberFormat="1" applyFont="1" applyFill="1" applyBorder="1" applyAlignment="1" applyProtection="1">
      <alignment horizontal="center" vertical="center"/>
      <protection hidden="1"/>
    </xf>
    <xf numFmtId="179" fontId="37" fillId="0" borderId="0" xfId="0" applyNumberFormat="1" applyFont="1" applyFill="1" applyAlignment="1" applyProtection="1">
      <alignment horizontal="left"/>
    </xf>
    <xf numFmtId="0" fontId="32" fillId="0" borderId="0" xfId="0" applyFont="1" applyFill="1" applyProtection="1">
      <alignment vertical="center"/>
      <protection hidden="1"/>
    </xf>
    <xf numFmtId="0" fontId="27" fillId="0" borderId="0" xfId="0" applyFont="1">
      <alignment vertical="center"/>
    </xf>
    <xf numFmtId="0" fontId="27" fillId="0" borderId="0" xfId="0" applyFont="1" applyAlignment="1">
      <alignment horizontal="right" vertical="center"/>
    </xf>
    <xf numFmtId="0" fontId="6" fillId="0" borderId="59" xfId="0" applyFont="1" applyFill="1" applyBorder="1" applyAlignment="1" applyProtection="1">
      <alignment horizontal="center" vertical="center"/>
    </xf>
    <xf numFmtId="0" fontId="6" fillId="0" borderId="59" xfId="0" applyFont="1" applyFill="1" applyBorder="1" applyAlignment="1" applyProtection="1">
      <alignment vertical="center"/>
    </xf>
    <xf numFmtId="0" fontId="27" fillId="0" borderId="0" xfId="0" applyFont="1" applyFill="1" applyBorder="1" applyProtection="1">
      <alignment vertical="center"/>
      <protection hidden="1"/>
    </xf>
    <xf numFmtId="0" fontId="27" fillId="0" borderId="0" xfId="0" applyFont="1" applyFill="1" applyBorder="1" applyAlignment="1" applyProtection="1">
      <alignment vertical="center"/>
      <protection hidden="1"/>
    </xf>
    <xf numFmtId="0" fontId="27" fillId="24" borderId="10" xfId="0" applyFont="1" applyFill="1" applyBorder="1">
      <alignment vertical="center"/>
    </xf>
    <xf numFmtId="38" fontId="27" fillId="24" borderId="10" xfId="35" applyFont="1" applyFill="1" applyBorder="1" applyAlignment="1">
      <alignment vertical="center"/>
    </xf>
    <xf numFmtId="0" fontId="41" fillId="0" borderId="0" xfId="0" applyFont="1">
      <alignment vertical="center"/>
    </xf>
    <xf numFmtId="38" fontId="27" fillId="24" borderId="10" xfId="35" applyFont="1" applyFill="1" applyBorder="1">
      <alignment vertical="center"/>
    </xf>
    <xf numFmtId="0" fontId="27" fillId="24" borderId="50" xfId="0" applyFont="1" applyFill="1" applyBorder="1">
      <alignment vertical="center"/>
    </xf>
    <xf numFmtId="0" fontId="27" fillId="0" borderId="10" xfId="0" applyFont="1" applyBorder="1">
      <alignment vertical="center"/>
    </xf>
    <xf numFmtId="0" fontId="48" fillId="28" borderId="75" xfId="0" applyNumberFormat="1" applyFont="1" applyFill="1" applyBorder="1" applyAlignment="1" applyProtection="1">
      <alignment vertical="center"/>
      <protection hidden="1"/>
    </xf>
    <xf numFmtId="0" fontId="49" fillId="28" borderId="81" xfId="0" applyFont="1" applyFill="1" applyBorder="1" applyAlignment="1" applyProtection="1">
      <alignment horizontal="left" vertical="center"/>
      <protection hidden="1"/>
    </xf>
    <xf numFmtId="0" fontId="49" fillId="28" borderId="81" xfId="0" applyFont="1" applyFill="1" applyBorder="1" applyAlignment="1" applyProtection="1">
      <alignment vertical="center"/>
      <protection hidden="1"/>
    </xf>
    <xf numFmtId="0" fontId="48" fillId="28" borderId="81" xfId="0" applyNumberFormat="1" applyFont="1" applyFill="1" applyBorder="1" applyAlignment="1" applyProtection="1">
      <alignment vertical="center"/>
      <protection hidden="1"/>
    </xf>
    <xf numFmtId="0" fontId="85" fillId="28" borderId="110" xfId="0" applyFont="1" applyFill="1" applyBorder="1" applyAlignment="1" applyProtection="1">
      <alignment vertical="center"/>
      <protection hidden="1"/>
    </xf>
    <xf numFmtId="0" fontId="28" fillId="0" borderId="0" xfId="0" applyFont="1" applyFill="1" applyBorder="1" applyAlignment="1">
      <alignment horizontal="left" vertical="center"/>
    </xf>
    <xf numFmtId="0" fontId="47" fillId="0" borderId="0" xfId="0"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51" fillId="0" borderId="0" xfId="0" applyFont="1" applyFill="1" applyAlignment="1" applyProtection="1">
      <alignment horizontal="left" vertical="top" wrapText="1"/>
    </xf>
    <xf numFmtId="0" fontId="54" fillId="0" borderId="112" xfId="0" applyFont="1" applyFill="1" applyBorder="1" applyAlignment="1" applyProtection="1">
      <alignment vertical="center"/>
      <protection hidden="1"/>
    </xf>
    <xf numFmtId="183" fontId="47"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184" fontId="51" fillId="0" borderId="0" xfId="0" applyNumberFormat="1" applyFont="1" applyFill="1" applyBorder="1" applyAlignment="1" applyProtection="1">
      <alignment horizontal="center" vertical="justify" wrapText="1"/>
    </xf>
    <xf numFmtId="184" fontId="51" fillId="0" borderId="0" xfId="0" applyNumberFormat="1" applyFont="1" applyFill="1" applyBorder="1" applyAlignment="1" applyProtection="1">
      <alignment horizontal="center" vertical="center" wrapText="1"/>
    </xf>
    <xf numFmtId="0" fontId="60" fillId="28" borderId="74" xfId="0" applyFont="1" applyFill="1" applyBorder="1" applyAlignment="1" applyProtection="1">
      <alignment horizontal="center" vertical="center"/>
      <protection hidden="1"/>
    </xf>
    <xf numFmtId="0" fontId="29" fillId="28" borderId="74" xfId="0" applyNumberFormat="1" applyFont="1" applyFill="1" applyBorder="1" applyAlignment="1" applyProtection="1">
      <alignment horizontal="left" vertical="center"/>
    </xf>
    <xf numFmtId="179" fontId="2" fillId="28" borderId="74" xfId="0" applyNumberFormat="1" applyFont="1" applyFill="1" applyBorder="1" applyAlignment="1" applyProtection="1">
      <alignment horizontal="left" vertical="center"/>
      <protection hidden="1"/>
    </xf>
    <xf numFmtId="179" fontId="37" fillId="28" borderId="81" xfId="0" applyNumberFormat="1" applyFont="1" applyFill="1" applyBorder="1" applyAlignment="1" applyProtection="1">
      <alignment horizontal="left" vertical="center"/>
      <protection hidden="1"/>
    </xf>
    <xf numFmtId="184" fontId="51" fillId="0" borderId="0" xfId="0" applyNumberFormat="1" applyFont="1" applyFill="1" applyAlignment="1" applyProtection="1">
      <alignment horizontal="center"/>
    </xf>
    <xf numFmtId="184" fontId="55" fillId="0" borderId="0" xfId="0" applyNumberFormat="1" applyFont="1" applyFill="1" applyAlignment="1" applyProtection="1">
      <alignment horizontal="left"/>
    </xf>
    <xf numFmtId="184" fontId="55" fillId="0" borderId="0" xfId="0" applyNumberFormat="1" applyFont="1" applyFill="1" applyAlignment="1" applyProtection="1">
      <alignment horizontal="center"/>
    </xf>
    <xf numFmtId="0" fontId="54" fillId="24" borderId="81" xfId="0" applyFont="1" applyFill="1" applyBorder="1" applyAlignment="1" applyProtection="1">
      <alignment horizontal="center" vertical="center"/>
    </xf>
    <xf numFmtId="179" fontId="32" fillId="24" borderId="75" xfId="0" applyNumberFormat="1" applyFont="1" applyFill="1" applyBorder="1" applyAlignment="1" applyProtection="1">
      <alignment horizontal="centerContinuous" vertical="center"/>
      <protection hidden="1"/>
    </xf>
    <xf numFmtId="179" fontId="32" fillId="24" borderId="81" xfId="0" applyNumberFormat="1" applyFont="1" applyFill="1" applyBorder="1" applyAlignment="1" applyProtection="1">
      <alignment horizontal="centerContinuous" vertical="center"/>
      <protection hidden="1"/>
    </xf>
    <xf numFmtId="0" fontId="28" fillId="24" borderId="50" xfId="0" applyFont="1" applyFill="1" applyBorder="1" applyAlignment="1" applyProtection="1">
      <alignment horizontal="centerContinuous" vertical="center"/>
      <protection hidden="1"/>
    </xf>
    <xf numFmtId="0" fontId="6" fillId="24" borderId="52" xfId="0" applyFont="1" applyFill="1" applyBorder="1" applyAlignment="1" applyProtection="1">
      <alignment horizontal="centerContinuous" vertical="center"/>
      <protection hidden="1"/>
    </xf>
    <xf numFmtId="0" fontId="6" fillId="24" borderId="51" xfId="0" applyFont="1" applyFill="1" applyBorder="1" applyAlignment="1" applyProtection="1">
      <alignment horizontal="centerContinuous" vertical="center"/>
      <protection hidden="1"/>
    </xf>
    <xf numFmtId="184" fontId="55" fillId="0" borderId="10" xfId="0" applyNumberFormat="1" applyFont="1" applyFill="1" applyBorder="1" applyAlignment="1" applyProtection="1">
      <alignment horizontal="left" vertical="center"/>
    </xf>
    <xf numFmtId="0" fontId="28" fillId="0" borderId="10" xfId="0" applyFont="1" applyFill="1" applyBorder="1" applyProtection="1">
      <alignment vertical="center"/>
    </xf>
    <xf numFmtId="0" fontId="54" fillId="24" borderId="59" xfId="0" applyFont="1" applyFill="1" applyBorder="1" applyAlignment="1" applyProtection="1">
      <alignment vertical="top"/>
      <protection hidden="1"/>
    </xf>
    <xf numFmtId="0" fontId="54" fillId="24" borderId="59" xfId="0" applyFont="1" applyFill="1" applyBorder="1" applyAlignment="1" applyProtection="1">
      <alignment horizontal="center" vertical="top"/>
    </xf>
    <xf numFmtId="179" fontId="32" fillId="24" borderId="83" xfId="0" applyNumberFormat="1" applyFont="1" applyFill="1" applyBorder="1" applyAlignment="1" applyProtection="1">
      <alignment horizontal="centerContinuous" vertical="top"/>
      <protection hidden="1"/>
    </xf>
    <xf numFmtId="179" fontId="32" fillId="24" borderId="59" xfId="0" applyNumberFormat="1" applyFont="1" applyFill="1" applyBorder="1" applyAlignment="1" applyProtection="1">
      <alignment horizontal="centerContinuous" vertical="top"/>
      <protection hidden="1"/>
    </xf>
    <xf numFmtId="182" fontId="25" fillId="24" borderId="10" xfId="0" applyNumberFormat="1" applyFont="1" applyFill="1" applyBorder="1" applyAlignment="1" applyProtection="1">
      <alignment horizontal="center" vertical="center" wrapText="1"/>
      <protection hidden="1"/>
    </xf>
    <xf numFmtId="182" fontId="25" fillId="24" borderId="59" xfId="0" applyNumberFormat="1" applyFont="1" applyFill="1" applyBorder="1" applyAlignment="1" applyProtection="1">
      <alignment horizontal="center" vertical="center" wrapText="1"/>
      <protection hidden="1"/>
    </xf>
    <xf numFmtId="182" fontId="36" fillId="24" borderId="50" xfId="0" applyNumberFormat="1" applyFont="1" applyFill="1" applyBorder="1" applyAlignment="1" applyProtection="1">
      <alignment horizontal="centerContinuous" vertical="center" wrapText="1"/>
      <protection hidden="1"/>
    </xf>
    <xf numFmtId="182" fontId="36" fillId="24" borderId="52" xfId="0" applyNumberFormat="1" applyFont="1" applyFill="1" applyBorder="1" applyAlignment="1" applyProtection="1">
      <alignment horizontal="centerContinuous" vertical="center" wrapText="1"/>
      <protection hidden="1"/>
    </xf>
    <xf numFmtId="182" fontId="36" fillId="24" borderId="51" xfId="0" applyNumberFormat="1" applyFont="1" applyFill="1" applyBorder="1" applyAlignment="1" applyProtection="1">
      <alignment horizontal="centerContinuous" vertical="center" wrapText="1"/>
      <protection hidden="1"/>
    </xf>
    <xf numFmtId="182" fontId="25" fillId="24" borderId="116" xfId="0" applyNumberFormat="1" applyFont="1" applyFill="1" applyBorder="1" applyAlignment="1" applyProtection="1">
      <alignment horizontal="center" vertical="center" wrapText="1"/>
      <protection hidden="1"/>
    </xf>
    <xf numFmtId="0" fontId="87" fillId="30" borderId="0" xfId="0" applyFont="1" applyFill="1" applyBorder="1" applyProtection="1">
      <alignment vertical="center"/>
    </xf>
    <xf numFmtId="179" fontId="37" fillId="30" borderId="23" xfId="0" applyNumberFormat="1" applyFont="1" applyFill="1" applyBorder="1" applyAlignment="1" applyProtection="1">
      <alignment horizontal="left"/>
      <protection hidden="1"/>
    </xf>
    <xf numFmtId="179" fontId="37" fillId="30" borderId="20" xfId="0" applyNumberFormat="1" applyFont="1" applyFill="1" applyBorder="1" applyAlignment="1" applyProtection="1">
      <alignment horizontal="left"/>
      <protection hidden="1"/>
    </xf>
    <xf numFmtId="191" fontId="88" fillId="30" borderId="157" xfId="0" applyNumberFormat="1" applyFont="1" applyFill="1" applyBorder="1" applyAlignment="1" applyProtection="1">
      <alignment horizontal="center" vertical="center"/>
      <protection hidden="1"/>
    </xf>
    <xf numFmtId="191" fontId="88" fillId="30" borderId="23" xfId="0" applyNumberFormat="1" applyFont="1" applyFill="1" applyBorder="1" applyAlignment="1" applyProtection="1">
      <alignment horizontal="center" vertical="center"/>
      <protection hidden="1"/>
    </xf>
    <xf numFmtId="179" fontId="37" fillId="30" borderId="158" xfId="0" applyNumberFormat="1" applyFont="1" applyFill="1" applyBorder="1" applyAlignment="1" applyProtection="1">
      <alignment horizontal="left"/>
      <protection hidden="1"/>
    </xf>
    <xf numFmtId="191" fontId="88" fillId="30" borderId="0" xfId="0" applyNumberFormat="1" applyFont="1" applyFill="1" applyBorder="1" applyAlignment="1" applyProtection="1">
      <alignment horizontal="center" vertical="center"/>
      <protection hidden="1"/>
    </xf>
    <xf numFmtId="182" fontId="82" fillId="30" borderId="115" xfId="0" applyNumberFormat="1" applyFont="1" applyFill="1" applyBorder="1" applyAlignment="1" applyProtection="1">
      <alignment horizontal="center" vertical="center"/>
      <protection hidden="1"/>
    </xf>
    <xf numFmtId="200" fontId="51" fillId="0" borderId="10" xfId="0" applyNumberFormat="1" applyFont="1" applyBorder="1" applyAlignment="1">
      <alignment horizontal="center" vertical="center"/>
    </xf>
    <xf numFmtId="0" fontId="27" fillId="26" borderId="93" xfId="0" applyNumberFormat="1" applyFont="1" applyFill="1" applyBorder="1" applyAlignment="1" applyProtection="1">
      <alignment horizontal="left" vertical="center"/>
      <protection hidden="1"/>
    </xf>
    <xf numFmtId="0" fontId="41" fillId="26" borderId="93" xfId="0" applyNumberFormat="1" applyFont="1" applyFill="1" applyBorder="1" applyAlignment="1" applyProtection="1">
      <alignment horizontal="center" vertical="center"/>
    </xf>
    <xf numFmtId="182" fontId="89" fillId="26" borderId="96" xfId="0" applyNumberFormat="1" applyFont="1" applyFill="1" applyBorder="1" applyAlignment="1" applyProtection="1">
      <alignment horizontal="center" vertical="center"/>
      <protection hidden="1"/>
    </xf>
    <xf numFmtId="179" fontId="37" fillId="26" borderId="159" xfId="0" applyNumberFormat="1" applyFont="1" applyFill="1" applyBorder="1" applyAlignment="1" applyProtection="1">
      <alignment horizontal="left"/>
      <protection hidden="1"/>
    </xf>
    <xf numFmtId="182" fontId="89" fillId="26" borderId="141" xfId="0" applyNumberFormat="1" applyFont="1" applyFill="1" applyBorder="1" applyAlignment="1" applyProtection="1">
      <alignment horizontal="center" vertical="center"/>
      <protection hidden="1"/>
    </xf>
    <xf numFmtId="184" fontId="51" fillId="0" borderId="10" xfId="0" applyNumberFormat="1" applyFont="1" applyFill="1" applyBorder="1" applyAlignment="1" applyProtection="1">
      <alignment horizontal="center"/>
    </xf>
    <xf numFmtId="182" fontId="35" fillId="24" borderId="160" xfId="0" applyNumberFormat="1" applyFont="1" applyFill="1" applyBorder="1" applyAlignment="1" applyProtection="1">
      <alignment horizontal="center" vertical="center"/>
      <protection hidden="1"/>
    </xf>
    <xf numFmtId="0" fontId="41" fillId="24" borderId="0" xfId="0" applyNumberFormat="1" applyFont="1" applyFill="1" applyBorder="1" applyAlignment="1" applyProtection="1">
      <alignment vertical="center"/>
      <protection hidden="1"/>
    </xf>
    <xf numFmtId="0" fontId="66" fillId="24" borderId="0" xfId="0" applyFont="1" applyFill="1" applyBorder="1" applyAlignment="1" applyProtection="1">
      <alignment vertical="center"/>
      <protection hidden="1"/>
    </xf>
    <xf numFmtId="191" fontId="90" fillId="24" borderId="61" xfId="0" applyNumberFormat="1" applyFont="1" applyFill="1" applyBorder="1" applyAlignment="1" applyProtection="1">
      <alignment horizontal="center" vertical="center"/>
      <protection hidden="1"/>
    </xf>
    <xf numFmtId="182" fontId="91" fillId="24" borderId="115" xfId="0" applyNumberFormat="1" applyFont="1" applyFill="1" applyBorder="1" applyAlignment="1" applyProtection="1">
      <alignment horizontal="center" vertical="center"/>
      <protection hidden="1"/>
    </xf>
    <xf numFmtId="182" fontId="35" fillId="24" borderId="161" xfId="0" applyNumberFormat="1" applyFont="1" applyFill="1" applyBorder="1" applyAlignment="1" applyProtection="1">
      <alignment horizontal="center" vertical="center"/>
      <protection hidden="1"/>
    </xf>
    <xf numFmtId="191" fontId="90" fillId="24" borderId="53" xfId="0" applyNumberFormat="1" applyFont="1" applyFill="1" applyBorder="1" applyAlignment="1" applyProtection="1">
      <alignment horizontal="center" vertical="center"/>
      <protection hidden="1"/>
    </xf>
    <xf numFmtId="182" fontId="91" fillId="24" borderId="137" xfId="0" applyNumberFormat="1" applyFont="1" applyFill="1" applyBorder="1" applyAlignment="1" applyProtection="1">
      <alignment horizontal="center" vertical="center"/>
      <protection hidden="1"/>
    </xf>
    <xf numFmtId="182" fontId="47" fillId="24" borderId="109" xfId="0" applyNumberFormat="1" applyFont="1" applyFill="1" applyBorder="1" applyAlignment="1" applyProtection="1">
      <alignment horizontal="center" vertical="center"/>
      <protection hidden="1"/>
    </xf>
    <xf numFmtId="191" fontId="90" fillId="24" borderId="20" xfId="0" applyNumberFormat="1" applyFont="1" applyFill="1" applyBorder="1" applyAlignment="1" applyProtection="1">
      <alignment horizontal="center" vertical="center"/>
      <protection hidden="1"/>
    </xf>
    <xf numFmtId="182" fontId="47" fillId="0" borderId="109" xfId="0" applyNumberFormat="1" applyFont="1" applyFill="1" applyBorder="1" applyAlignment="1" applyProtection="1">
      <alignment horizontal="center" vertical="center"/>
      <protection hidden="1"/>
    </xf>
    <xf numFmtId="182" fontId="47" fillId="24" borderId="111" xfId="0" applyNumberFormat="1" applyFont="1" applyFill="1" applyBorder="1" applyAlignment="1" applyProtection="1">
      <alignment horizontal="center" vertical="center"/>
      <protection hidden="1"/>
    </xf>
    <xf numFmtId="182" fontId="47" fillId="0" borderId="111" xfId="0" applyNumberFormat="1" applyFont="1" applyFill="1" applyBorder="1" applyAlignment="1" applyProtection="1">
      <alignment horizontal="center" vertical="center"/>
      <protection hidden="1"/>
    </xf>
    <xf numFmtId="182" fontId="35" fillId="24" borderId="162" xfId="0" applyNumberFormat="1" applyFont="1" applyFill="1" applyBorder="1" applyAlignment="1" applyProtection="1">
      <alignment horizontal="center" vertical="center"/>
      <protection hidden="1"/>
    </xf>
    <xf numFmtId="182" fontId="47" fillId="24" borderId="115" xfId="0" applyNumberFormat="1" applyFont="1" applyFill="1" applyBorder="1" applyAlignment="1" applyProtection="1">
      <alignment horizontal="center" vertical="center"/>
      <protection hidden="1"/>
    </xf>
    <xf numFmtId="182" fontId="35" fillId="24" borderId="163" xfId="0" applyNumberFormat="1" applyFont="1" applyFill="1" applyBorder="1" applyAlignment="1" applyProtection="1">
      <alignment horizontal="center" vertical="center"/>
      <protection hidden="1"/>
    </xf>
    <xf numFmtId="182" fontId="35" fillId="24" borderId="164" xfId="0" applyNumberFormat="1" applyFont="1" applyFill="1" applyBorder="1" applyAlignment="1" applyProtection="1">
      <alignment horizontal="center" vertical="center"/>
      <protection hidden="1"/>
    </xf>
    <xf numFmtId="191" fontId="90" fillId="24" borderId="10" xfId="0" applyNumberFormat="1" applyFont="1" applyFill="1" applyBorder="1" applyAlignment="1" applyProtection="1">
      <alignment horizontal="center" vertical="center"/>
      <protection hidden="1"/>
    </xf>
    <xf numFmtId="182" fontId="35" fillId="24" borderId="165" xfId="0" applyNumberFormat="1" applyFont="1" applyFill="1" applyBorder="1" applyAlignment="1" applyProtection="1">
      <alignment horizontal="center" vertical="center"/>
      <protection hidden="1"/>
    </xf>
    <xf numFmtId="182" fontId="91" fillId="24" borderId="118" xfId="0" applyNumberFormat="1" applyFont="1" applyFill="1" applyBorder="1" applyAlignment="1" applyProtection="1">
      <alignment horizontal="center" vertical="center"/>
      <protection hidden="1"/>
    </xf>
    <xf numFmtId="191" fontId="90" fillId="24" borderId="50" xfId="0" applyNumberFormat="1" applyFont="1" applyFill="1" applyBorder="1" applyAlignment="1" applyProtection="1">
      <alignment horizontal="center" vertical="center"/>
      <protection hidden="1"/>
    </xf>
    <xf numFmtId="191" fontId="90" fillId="24" borderId="23" xfId="0" applyNumberFormat="1" applyFont="1" applyFill="1" applyBorder="1" applyAlignment="1" applyProtection="1">
      <alignment horizontal="center" vertical="center"/>
      <protection hidden="1"/>
    </xf>
    <xf numFmtId="182" fontId="35" fillId="24" borderId="166" xfId="0" applyNumberFormat="1" applyFont="1" applyFill="1" applyBorder="1" applyAlignment="1" applyProtection="1">
      <alignment horizontal="center" vertical="center"/>
      <protection hidden="1"/>
    </xf>
    <xf numFmtId="200" fontId="51" fillId="0" borderId="10" xfId="0" applyNumberFormat="1" applyFont="1" applyFill="1" applyBorder="1" applyAlignment="1">
      <alignment horizontal="center" vertical="center"/>
    </xf>
    <xf numFmtId="182" fontId="35" fillId="24" borderId="121" xfId="0" applyNumberFormat="1" applyFont="1" applyFill="1" applyBorder="1" applyAlignment="1" applyProtection="1">
      <alignment horizontal="center" vertical="center"/>
      <protection hidden="1"/>
    </xf>
    <xf numFmtId="182" fontId="35" fillId="0" borderId="111" xfId="0" applyNumberFormat="1" applyFont="1" applyFill="1" applyBorder="1" applyAlignment="1" applyProtection="1">
      <alignment horizontal="center" vertical="center"/>
      <protection hidden="1"/>
    </xf>
    <xf numFmtId="0" fontId="66" fillId="24" borderId="59" xfId="0" applyFont="1" applyFill="1" applyBorder="1" applyAlignment="1" applyProtection="1">
      <alignment vertical="center"/>
      <protection hidden="1"/>
    </xf>
    <xf numFmtId="0" fontId="66" fillId="24" borderId="122" xfId="0" applyFont="1" applyFill="1" applyBorder="1" applyAlignment="1" applyProtection="1">
      <alignment vertical="center"/>
      <protection hidden="1"/>
    </xf>
    <xf numFmtId="191" fontId="90" fillId="24" borderId="120" xfId="0" applyNumberFormat="1" applyFont="1" applyFill="1" applyBorder="1" applyAlignment="1" applyProtection="1">
      <alignment horizontal="center" vertical="center"/>
      <protection hidden="1"/>
    </xf>
    <xf numFmtId="182" fontId="91" fillId="24" borderId="111" xfId="0" applyNumberFormat="1" applyFont="1" applyFill="1" applyBorder="1" applyAlignment="1" applyProtection="1">
      <alignment horizontal="center" vertical="center"/>
      <protection hidden="1"/>
    </xf>
    <xf numFmtId="0" fontId="6" fillId="26" borderId="124" xfId="0" applyFont="1" applyFill="1" applyBorder="1" applyAlignment="1" applyProtection="1">
      <alignment vertical="center"/>
      <protection hidden="1"/>
    </xf>
    <xf numFmtId="179" fontId="37" fillId="26" borderId="167" xfId="0" applyNumberFormat="1" applyFont="1" applyFill="1" applyBorder="1" applyAlignment="1" applyProtection="1">
      <alignment horizontal="left"/>
      <protection hidden="1"/>
    </xf>
    <xf numFmtId="182" fontId="89" fillId="26" borderId="168" xfId="0" applyNumberFormat="1" applyFont="1" applyFill="1" applyBorder="1" applyAlignment="1" applyProtection="1">
      <alignment horizontal="center" vertical="center"/>
      <protection hidden="1"/>
    </xf>
    <xf numFmtId="182" fontId="35" fillId="24" borderId="169" xfId="0" applyNumberFormat="1" applyFont="1" applyFill="1" applyBorder="1" applyAlignment="1" applyProtection="1">
      <alignment horizontal="center" vertical="center"/>
      <protection hidden="1"/>
    </xf>
    <xf numFmtId="191" fontId="90" fillId="24" borderId="22" xfId="0" applyNumberFormat="1" applyFont="1" applyFill="1" applyBorder="1" applyAlignment="1" applyProtection="1">
      <alignment horizontal="center" vertical="center"/>
      <protection hidden="1"/>
    </xf>
    <xf numFmtId="182" fontId="91" fillId="24" borderId="84" xfId="0" applyNumberFormat="1" applyFont="1" applyFill="1" applyBorder="1" applyAlignment="1" applyProtection="1">
      <alignment horizontal="center" vertical="center"/>
      <protection hidden="1"/>
    </xf>
    <xf numFmtId="0" fontId="46" fillId="24" borderId="54" xfId="0" applyFont="1" applyFill="1" applyBorder="1" applyAlignment="1" applyProtection="1">
      <alignment vertical="center"/>
      <protection hidden="1"/>
    </xf>
    <xf numFmtId="0" fontId="92" fillId="24" borderId="54" xfId="0" applyFont="1" applyFill="1" applyBorder="1" applyAlignment="1" applyProtection="1">
      <alignment vertical="center"/>
      <protection hidden="1"/>
    </xf>
    <xf numFmtId="182" fontId="35" fillId="24" borderId="170" xfId="0" applyNumberFormat="1" applyFont="1" applyFill="1" applyBorder="1" applyAlignment="1" applyProtection="1">
      <alignment horizontal="center" vertical="center"/>
      <protection hidden="1"/>
    </xf>
    <xf numFmtId="0" fontId="93" fillId="24" borderId="20" xfId="0" applyNumberFormat="1" applyFont="1" applyFill="1" applyBorder="1" applyAlignment="1" applyProtection="1">
      <alignment horizontal="center" vertical="center"/>
      <protection hidden="1"/>
    </xf>
    <xf numFmtId="0" fontId="46" fillId="24" borderId="10" xfId="0" applyFont="1" applyFill="1" applyBorder="1" applyAlignment="1" applyProtection="1">
      <alignment horizontal="center" vertical="center"/>
      <protection hidden="1"/>
    </xf>
    <xf numFmtId="0" fontId="46" fillId="24" borderId="51" xfId="0" applyFont="1" applyFill="1" applyBorder="1" applyAlignment="1" applyProtection="1">
      <alignment vertical="center"/>
      <protection hidden="1"/>
    </xf>
    <xf numFmtId="0" fontId="27" fillId="24" borderId="51" xfId="0" applyFont="1" applyFill="1" applyBorder="1" applyAlignment="1" applyProtection="1">
      <alignment horizontal="center" vertical="center"/>
      <protection hidden="1"/>
    </xf>
    <xf numFmtId="182" fontId="35" fillId="24" borderId="171" xfId="0" applyNumberFormat="1" applyFont="1" applyFill="1" applyBorder="1" applyAlignment="1" applyProtection="1">
      <alignment horizontal="center" vertical="center"/>
      <protection hidden="1"/>
    </xf>
    <xf numFmtId="0" fontId="66" fillId="31" borderId="0" xfId="0" applyFont="1" applyFill="1" applyBorder="1" applyAlignment="1" applyProtection="1">
      <alignment vertical="center"/>
      <protection hidden="1"/>
    </xf>
    <xf numFmtId="182" fontId="47" fillId="31" borderId="166" xfId="0" applyNumberFormat="1" applyFont="1" applyFill="1" applyBorder="1" applyAlignment="1" applyProtection="1">
      <alignment horizontal="center" vertical="center"/>
      <protection hidden="1"/>
    </xf>
    <xf numFmtId="191" fontId="90" fillId="31" borderId="61" xfId="0" applyNumberFormat="1" applyFont="1" applyFill="1" applyBorder="1" applyAlignment="1" applyProtection="1">
      <alignment horizontal="center" vertical="center"/>
      <protection hidden="1"/>
    </xf>
    <xf numFmtId="182" fontId="35" fillId="31" borderId="165" xfId="0" applyNumberFormat="1" applyFont="1" applyFill="1" applyBorder="1" applyAlignment="1" applyProtection="1">
      <alignment horizontal="center" vertical="center"/>
      <protection hidden="1"/>
    </xf>
    <xf numFmtId="182" fontId="91" fillId="31" borderId="115" xfId="0" applyNumberFormat="1" applyFont="1" applyFill="1" applyBorder="1" applyAlignment="1" applyProtection="1">
      <alignment horizontal="center" vertical="center"/>
      <protection hidden="1"/>
    </xf>
    <xf numFmtId="200" fontId="51" fillId="34" borderId="10" xfId="0" applyNumberFormat="1" applyFont="1" applyFill="1" applyBorder="1" applyAlignment="1">
      <alignment horizontal="center" vertical="center"/>
    </xf>
    <xf numFmtId="182" fontId="47" fillId="0" borderId="166" xfId="0" applyNumberFormat="1" applyFont="1" applyFill="1" applyBorder="1" applyAlignment="1" applyProtection="1">
      <alignment horizontal="center" vertical="center"/>
      <protection hidden="1"/>
    </xf>
    <xf numFmtId="182" fontId="35" fillId="24" borderId="10" xfId="0" applyNumberFormat="1" applyFont="1" applyFill="1" applyBorder="1" applyAlignment="1" applyProtection="1">
      <alignment horizontal="center" vertical="center"/>
      <protection hidden="1"/>
    </xf>
    <xf numFmtId="191" fontId="90" fillId="24" borderId="171" xfId="0" applyNumberFormat="1" applyFont="1" applyFill="1" applyBorder="1" applyAlignment="1" applyProtection="1">
      <alignment horizontal="center" vertical="center"/>
      <protection hidden="1"/>
    </xf>
    <xf numFmtId="0" fontId="27" fillId="26" borderId="124" xfId="0" applyNumberFormat="1" applyFont="1" applyFill="1" applyBorder="1" applyAlignment="1" applyProtection="1">
      <alignment horizontal="left" vertical="center"/>
      <protection hidden="1"/>
    </xf>
    <xf numFmtId="179" fontId="37" fillId="26" borderId="172" xfId="0" applyNumberFormat="1" applyFont="1" applyFill="1" applyBorder="1" applyAlignment="1" applyProtection="1">
      <alignment horizontal="left"/>
      <protection hidden="1"/>
    </xf>
    <xf numFmtId="182" fontId="35" fillId="0" borderId="109" xfId="0" applyNumberFormat="1" applyFont="1" applyFill="1" applyBorder="1" applyAlignment="1" applyProtection="1">
      <alignment horizontal="center" vertical="center"/>
      <protection hidden="1"/>
    </xf>
    <xf numFmtId="182" fontId="35" fillId="0" borderId="145" xfId="0" applyNumberFormat="1" applyFont="1" applyFill="1" applyBorder="1" applyAlignment="1" applyProtection="1">
      <alignment horizontal="center" vertical="center"/>
      <protection hidden="1"/>
    </xf>
    <xf numFmtId="0" fontId="32" fillId="24" borderId="65" xfId="0" quotePrefix="1" applyFont="1" applyFill="1" applyBorder="1" applyAlignment="1" applyProtection="1">
      <alignment vertical="center"/>
      <protection hidden="1"/>
    </xf>
    <xf numFmtId="191" fontId="90" fillId="24" borderId="65" xfId="0" applyNumberFormat="1" applyFont="1" applyFill="1" applyBorder="1" applyAlignment="1" applyProtection="1">
      <alignment horizontal="center" vertical="center"/>
      <protection hidden="1"/>
    </xf>
    <xf numFmtId="191" fontId="90" fillId="24" borderId="66" xfId="0" applyNumberFormat="1" applyFont="1" applyFill="1" applyBorder="1" applyAlignment="1" applyProtection="1">
      <alignment horizontal="center" vertical="center"/>
      <protection hidden="1"/>
    </xf>
    <xf numFmtId="0" fontId="54" fillId="31" borderId="0" xfId="0" applyFont="1" applyFill="1" applyBorder="1" applyAlignment="1" applyProtection="1">
      <alignment vertical="center"/>
      <protection hidden="1"/>
    </xf>
    <xf numFmtId="191" fontId="91" fillId="31" borderId="61" xfId="0" applyNumberFormat="1" applyFont="1" applyFill="1" applyBorder="1" applyAlignment="1" applyProtection="1">
      <alignment horizontal="center" vertical="center"/>
      <protection hidden="1"/>
    </xf>
    <xf numFmtId="179" fontId="37" fillId="30" borderId="125" xfId="0" applyNumberFormat="1" applyFont="1" applyFill="1" applyBorder="1" applyAlignment="1" applyProtection="1">
      <alignment horizontal="left"/>
      <protection hidden="1"/>
    </xf>
    <xf numFmtId="179" fontId="37" fillId="30" borderId="173" xfId="0" applyNumberFormat="1" applyFont="1" applyFill="1" applyBorder="1" applyAlignment="1" applyProtection="1">
      <alignment horizontal="left"/>
      <protection hidden="1"/>
    </xf>
    <xf numFmtId="191" fontId="90" fillId="30" borderId="139" xfId="0" applyNumberFormat="1" applyFont="1" applyFill="1" applyBorder="1" applyAlignment="1" applyProtection="1">
      <alignment horizontal="center" vertical="center"/>
      <protection hidden="1"/>
    </xf>
    <xf numFmtId="179" fontId="37" fillId="30" borderId="172" xfId="0" applyNumberFormat="1" applyFont="1" applyFill="1" applyBorder="1" applyAlignment="1" applyProtection="1">
      <alignment horizontal="left"/>
      <protection hidden="1"/>
    </xf>
    <xf numFmtId="182" fontId="82" fillId="30" borderId="109" xfId="0" applyNumberFormat="1" applyFont="1" applyFill="1" applyBorder="1" applyAlignment="1" applyProtection="1">
      <alignment horizontal="center" vertical="center"/>
      <protection hidden="1"/>
    </xf>
    <xf numFmtId="179" fontId="37" fillId="30" borderId="174" xfId="0" applyNumberFormat="1" applyFont="1" applyFill="1" applyBorder="1" applyAlignment="1" applyProtection="1">
      <alignment horizontal="left"/>
      <protection hidden="1"/>
    </xf>
    <xf numFmtId="0" fontId="41" fillId="26" borderId="93" xfId="0" applyNumberFormat="1" applyFont="1" applyFill="1" applyBorder="1" applyAlignment="1" applyProtection="1">
      <alignment horizontal="right" vertical="center"/>
      <protection hidden="1"/>
    </xf>
    <xf numFmtId="179" fontId="37" fillId="26" borderId="175" xfId="0" applyNumberFormat="1" applyFont="1" applyFill="1" applyBorder="1" applyAlignment="1" applyProtection="1">
      <alignment horizontal="left"/>
      <protection hidden="1"/>
    </xf>
    <xf numFmtId="179" fontId="37" fillId="26" borderId="176" xfId="0" applyNumberFormat="1" applyFont="1" applyFill="1" applyBorder="1" applyAlignment="1" applyProtection="1">
      <alignment horizontal="left"/>
      <protection hidden="1"/>
    </xf>
    <xf numFmtId="0" fontId="41" fillId="24" borderId="0" xfId="0" applyFont="1" applyFill="1" applyBorder="1" applyAlignment="1" applyProtection="1">
      <alignment horizontal="right" vertical="center"/>
      <protection hidden="1"/>
    </xf>
    <xf numFmtId="0" fontId="41" fillId="24" borderId="51" xfId="0" applyFont="1" applyFill="1" applyBorder="1" applyAlignment="1" applyProtection="1">
      <alignment horizontal="right" vertical="center"/>
      <protection hidden="1"/>
    </xf>
    <xf numFmtId="184" fontId="51" fillId="29" borderId="10" xfId="0" applyNumberFormat="1" applyFont="1" applyFill="1" applyBorder="1" applyAlignment="1" applyProtection="1">
      <alignment horizontal="center"/>
    </xf>
    <xf numFmtId="182" fontId="35" fillId="0" borderId="115" xfId="0" applyNumberFormat="1" applyFont="1" applyFill="1" applyBorder="1" applyAlignment="1" applyProtection="1">
      <alignment horizontal="center" vertical="center"/>
      <protection hidden="1"/>
    </xf>
    <xf numFmtId="191" fontId="90" fillId="24" borderId="153" xfId="0" applyNumberFormat="1" applyFont="1" applyFill="1" applyBorder="1" applyAlignment="1" applyProtection="1">
      <alignment horizontal="center" vertical="center"/>
      <protection hidden="1"/>
    </xf>
    <xf numFmtId="182" fontId="35" fillId="0" borderId="133" xfId="0" applyNumberFormat="1" applyFont="1" applyFill="1" applyBorder="1" applyAlignment="1" applyProtection="1">
      <alignment horizontal="center" vertical="center"/>
      <protection hidden="1"/>
    </xf>
    <xf numFmtId="0" fontId="32" fillId="24" borderId="104" xfId="0" applyFont="1" applyFill="1" applyBorder="1" applyProtection="1">
      <alignment vertical="center"/>
      <protection hidden="1"/>
    </xf>
    <xf numFmtId="0" fontId="41" fillId="24" borderId="90" xfId="0" applyFont="1" applyFill="1" applyBorder="1" applyAlignment="1" applyProtection="1">
      <alignment horizontal="center" vertical="center"/>
      <protection hidden="1"/>
    </xf>
    <xf numFmtId="182" fontId="35" fillId="24" borderId="61" xfId="0" applyNumberFormat="1" applyFont="1" applyFill="1" applyBorder="1" applyAlignment="1" applyProtection="1">
      <alignment horizontal="center" vertical="center"/>
      <protection hidden="1"/>
    </xf>
    <xf numFmtId="191" fontId="90" fillId="24" borderId="60" xfId="0" applyNumberFormat="1" applyFont="1" applyFill="1" applyBorder="1" applyAlignment="1" applyProtection="1">
      <alignment horizontal="center" vertical="center"/>
      <protection hidden="1"/>
    </xf>
    <xf numFmtId="191" fontId="90" fillId="24" borderId="68" xfId="0" applyNumberFormat="1" applyFont="1" applyFill="1" applyBorder="1" applyAlignment="1" applyProtection="1">
      <alignment horizontal="center" vertical="center"/>
      <protection hidden="1"/>
    </xf>
    <xf numFmtId="0" fontId="32" fillId="24" borderId="53" xfId="0" applyFont="1" applyFill="1" applyBorder="1" applyProtection="1">
      <alignment vertical="center"/>
      <protection hidden="1"/>
    </xf>
    <xf numFmtId="191" fontId="90" fillId="24" borderId="177" xfId="0" applyNumberFormat="1" applyFont="1" applyFill="1" applyBorder="1" applyAlignment="1" applyProtection="1">
      <alignment horizontal="center" vertical="center"/>
      <protection hidden="1"/>
    </xf>
    <xf numFmtId="179" fontId="37" fillId="26" borderId="76" xfId="0" applyNumberFormat="1" applyFont="1" applyFill="1" applyBorder="1" applyAlignment="1" applyProtection="1">
      <alignment horizontal="left"/>
      <protection hidden="1"/>
    </xf>
    <xf numFmtId="191" fontId="90" fillId="24" borderId="24" xfId="0" applyNumberFormat="1" applyFont="1" applyFill="1" applyBorder="1" applyAlignment="1" applyProtection="1">
      <alignment horizontal="center" vertical="center"/>
      <protection hidden="1"/>
    </xf>
    <xf numFmtId="182" fontId="91" fillId="24" borderId="100" xfId="0" applyNumberFormat="1" applyFont="1" applyFill="1" applyBorder="1" applyAlignment="1" applyProtection="1">
      <alignment horizontal="center" vertical="center"/>
      <protection hidden="1"/>
    </xf>
    <xf numFmtId="182" fontId="35" fillId="29" borderId="133" xfId="0" applyNumberFormat="1" applyFont="1" applyFill="1" applyBorder="1" applyAlignment="1" applyProtection="1">
      <alignment horizontal="center" vertical="center"/>
      <protection hidden="1"/>
    </xf>
    <xf numFmtId="191" fontId="90" fillId="24" borderId="178" xfId="0" applyNumberFormat="1" applyFont="1" applyFill="1" applyBorder="1" applyAlignment="1" applyProtection="1">
      <alignment horizontal="center" vertical="center"/>
      <protection hidden="1"/>
    </xf>
    <xf numFmtId="191" fontId="90" fillId="24" borderId="179" xfId="0" applyNumberFormat="1" applyFont="1" applyFill="1" applyBorder="1" applyAlignment="1" applyProtection="1">
      <alignment horizontal="center" vertical="center"/>
      <protection hidden="1"/>
    </xf>
    <xf numFmtId="0" fontId="32" fillId="24" borderId="104" xfId="0" quotePrefix="1" applyFont="1" applyFill="1" applyBorder="1" applyProtection="1">
      <alignment vertical="center"/>
      <protection hidden="1"/>
    </xf>
    <xf numFmtId="0" fontId="65" fillId="24" borderId="61" xfId="0" applyFont="1" applyFill="1" applyBorder="1" applyAlignment="1" applyProtection="1">
      <alignment horizontal="center" vertical="center"/>
      <protection hidden="1"/>
    </xf>
    <xf numFmtId="182" fontId="91" fillId="24" borderId="88" xfId="0" applyNumberFormat="1" applyFont="1" applyFill="1" applyBorder="1" applyAlignment="1" applyProtection="1">
      <alignment horizontal="center" vertical="center"/>
      <protection hidden="1"/>
    </xf>
    <xf numFmtId="182" fontId="91" fillId="24" borderId="112" xfId="0" applyNumberFormat="1" applyFont="1" applyFill="1" applyBorder="1" applyAlignment="1" applyProtection="1">
      <alignment horizontal="center" vertical="center"/>
      <protection hidden="1"/>
    </xf>
    <xf numFmtId="182" fontId="35" fillId="24" borderId="22" xfId="0" applyNumberFormat="1" applyFont="1" applyFill="1" applyBorder="1" applyAlignment="1" applyProtection="1">
      <alignment horizontal="center" vertical="center"/>
      <protection hidden="1"/>
    </xf>
    <xf numFmtId="182" fontId="35" fillId="24" borderId="180" xfId="0" applyNumberFormat="1" applyFont="1" applyFill="1" applyBorder="1" applyAlignment="1" applyProtection="1">
      <alignment horizontal="center" vertical="center"/>
      <protection hidden="1"/>
    </xf>
    <xf numFmtId="191" fontId="90" fillId="24" borderId="163" xfId="0" applyNumberFormat="1" applyFont="1" applyFill="1" applyBorder="1" applyAlignment="1" applyProtection="1">
      <alignment horizontal="center" vertical="center"/>
      <protection hidden="1"/>
    </xf>
    <xf numFmtId="182" fontId="91" fillId="24" borderId="116" xfId="0" applyNumberFormat="1" applyFont="1" applyFill="1" applyBorder="1" applyAlignment="1" applyProtection="1">
      <alignment horizontal="center" vertical="center"/>
      <protection hidden="1"/>
    </xf>
    <xf numFmtId="40" fontId="37" fillId="0" borderId="0" xfId="35" applyNumberFormat="1" applyFont="1" applyFill="1" applyBorder="1" applyAlignment="1" applyProtection="1">
      <alignment vertical="center"/>
      <protection hidden="1"/>
    </xf>
    <xf numFmtId="40" fontId="59" fillId="0" borderId="0" xfId="35" applyNumberFormat="1" applyFont="1" applyFill="1" applyBorder="1" applyAlignment="1" applyProtection="1">
      <alignment vertical="center"/>
      <protection hidden="1"/>
    </xf>
    <xf numFmtId="182" fontId="51" fillId="0" borderId="0" xfId="0" applyNumberFormat="1" applyFont="1" applyFill="1" applyBorder="1" applyAlignment="1" applyProtection="1">
      <alignment horizontal="center"/>
    </xf>
    <xf numFmtId="0" fontId="81" fillId="0" borderId="0" xfId="0" applyFont="1" applyFill="1" applyProtection="1">
      <alignment vertical="center"/>
      <protection hidden="1"/>
    </xf>
    <xf numFmtId="0" fontId="81" fillId="0" borderId="0" xfId="0" applyFont="1" applyFill="1" applyBorder="1" applyAlignment="1" applyProtection="1">
      <alignment horizontal="left" vertical="center"/>
      <protection hidden="1"/>
    </xf>
    <xf numFmtId="0" fontId="94" fillId="0" borderId="0" xfId="0" applyFont="1" applyFill="1" applyBorder="1" applyAlignment="1" applyProtection="1">
      <alignment horizontal="left" vertical="center"/>
      <protection hidden="1"/>
    </xf>
    <xf numFmtId="0" fontId="81" fillId="0" borderId="0" xfId="0" applyFont="1" applyFill="1" applyBorder="1" applyAlignment="1" applyProtection="1">
      <alignment horizontal="right" vertical="center"/>
      <protection hidden="1"/>
    </xf>
    <xf numFmtId="0" fontId="81" fillId="0" borderId="0" xfId="0" applyFont="1" applyFill="1" applyBorder="1" applyAlignment="1" applyProtection="1">
      <alignment vertical="center"/>
      <protection hidden="1"/>
    </xf>
    <xf numFmtId="0" fontId="82" fillId="0" borderId="0" xfId="0" applyFont="1" applyFill="1" applyBorder="1" applyAlignment="1" applyProtection="1">
      <alignment vertical="center"/>
      <protection hidden="1"/>
    </xf>
    <xf numFmtId="0" fontId="82" fillId="0" borderId="0" xfId="0" applyFont="1" applyFill="1" applyBorder="1" applyAlignment="1" applyProtection="1">
      <alignment horizontal="center" vertical="center"/>
      <protection hidden="1"/>
    </xf>
    <xf numFmtId="14" fontId="75" fillId="0" borderId="0" xfId="0" applyNumberFormat="1" applyFont="1" applyFill="1" applyBorder="1" applyAlignment="1" applyProtection="1">
      <alignment horizontal="center" vertical="center"/>
      <protection hidden="1"/>
    </xf>
    <xf numFmtId="0" fontId="95" fillId="0" borderId="0" xfId="0" applyFont="1" applyFill="1" applyBorder="1" applyProtection="1">
      <alignment vertical="center"/>
      <protection hidden="1"/>
    </xf>
    <xf numFmtId="177" fontId="95" fillId="0" borderId="0" xfId="0" applyNumberFormat="1" applyFont="1" applyFill="1" applyBorder="1" applyProtection="1">
      <alignment vertical="center"/>
      <protection hidden="1"/>
    </xf>
    <xf numFmtId="0" fontId="75" fillId="0" borderId="0" xfId="0" applyFont="1" applyFill="1" applyProtection="1">
      <alignment vertical="center"/>
      <protection hidden="1"/>
    </xf>
    <xf numFmtId="0" fontId="25" fillId="0" borderId="0" xfId="0" applyFont="1" applyFill="1" applyBorder="1" applyAlignment="1" applyProtection="1">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7" fillId="0" borderId="0" xfId="0" applyFont="1" applyFill="1" applyBorder="1" applyAlignment="1" applyProtection="1">
      <alignment vertical="center"/>
      <protection hidden="1"/>
    </xf>
    <xf numFmtId="0" fontId="51" fillId="0" borderId="0" xfId="0" applyFont="1" applyFill="1" applyBorder="1" applyAlignment="1" applyProtection="1">
      <alignment vertical="center"/>
      <protection hidden="1"/>
    </xf>
    <xf numFmtId="0" fontId="98" fillId="0" borderId="0" xfId="0" applyFont="1" applyFill="1" applyBorder="1" applyAlignment="1" applyProtection="1">
      <alignment vertical="center"/>
      <protection hidden="1"/>
    </xf>
    <xf numFmtId="0" fontId="99" fillId="0" borderId="0" xfId="0" applyFont="1" applyFill="1" applyBorder="1" applyAlignment="1" applyProtection="1">
      <alignment horizontal="center" vertical="center"/>
      <protection hidden="1"/>
    </xf>
    <xf numFmtId="0" fontId="100" fillId="0" borderId="0" xfId="0" applyNumberFormat="1" applyFont="1" applyFill="1" applyBorder="1" applyProtection="1">
      <alignment vertical="center"/>
      <protection hidden="1"/>
    </xf>
    <xf numFmtId="0" fontId="100" fillId="0" borderId="0" xfId="0" applyFont="1" applyFill="1" applyBorder="1" applyProtection="1">
      <alignment vertical="center"/>
      <protection hidden="1"/>
    </xf>
    <xf numFmtId="0" fontId="99" fillId="0" borderId="0" xfId="0" applyFont="1" applyFill="1" applyBorder="1" applyAlignment="1" applyProtection="1">
      <alignment horizontal="right" vertical="center"/>
      <protection hidden="1"/>
    </xf>
    <xf numFmtId="0" fontId="101" fillId="0" borderId="0" xfId="0" applyFont="1" applyFill="1" applyBorder="1" applyAlignment="1" applyProtection="1">
      <alignment horizontal="left" vertical="top"/>
      <protection hidden="1"/>
    </xf>
    <xf numFmtId="0" fontId="97" fillId="0" borderId="0" xfId="0" applyFont="1" applyFill="1" applyBorder="1" applyAlignment="1" applyProtection="1">
      <alignment horizontal="left" vertical="center"/>
      <protection hidden="1"/>
    </xf>
    <xf numFmtId="0" fontId="98"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102" fillId="0" borderId="0" xfId="0" applyFont="1" applyFill="1" applyBorder="1" applyAlignment="1" applyProtection="1">
      <alignment vertical="center"/>
      <protection hidden="1"/>
    </xf>
    <xf numFmtId="0" fontId="103" fillId="0" borderId="0" xfId="0" applyFont="1" applyFill="1" applyBorder="1" applyAlignment="1" applyProtection="1">
      <alignment horizontal="left" vertical="center"/>
      <protection hidden="1"/>
    </xf>
    <xf numFmtId="0" fontId="103" fillId="0" borderId="0" xfId="0" applyFont="1" applyFill="1" applyBorder="1" applyAlignment="1" applyProtection="1">
      <alignment horizontal="right" vertical="center"/>
      <protection hidden="1"/>
    </xf>
    <xf numFmtId="0" fontId="103" fillId="0" borderId="0" xfId="0" applyFont="1" applyFill="1" applyBorder="1" applyAlignment="1" applyProtection="1">
      <alignment vertical="center"/>
      <protection hidden="1"/>
    </xf>
    <xf numFmtId="0" fontId="104" fillId="0" borderId="0" xfId="0" applyFont="1" applyFill="1" applyBorder="1" applyAlignment="1" applyProtection="1">
      <alignment vertical="center"/>
      <protection hidden="1"/>
    </xf>
    <xf numFmtId="0" fontId="104" fillId="0" borderId="0"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vertical="center"/>
      <protection hidden="1"/>
    </xf>
    <xf numFmtId="0" fontId="107" fillId="35" borderId="73" xfId="0" applyFont="1" applyFill="1" applyBorder="1" applyAlignment="1" applyProtection="1">
      <alignment horizontal="left" vertical="center"/>
      <protection hidden="1"/>
    </xf>
    <xf numFmtId="0" fontId="107" fillId="35" borderId="74" xfId="0" applyFont="1" applyFill="1" applyBorder="1" applyAlignment="1" applyProtection="1">
      <alignment horizontal="left" vertical="center"/>
      <protection hidden="1"/>
    </xf>
    <xf numFmtId="0" fontId="108" fillId="35" borderId="74" xfId="0" applyFont="1" applyFill="1" applyBorder="1" applyAlignment="1" applyProtection="1">
      <alignment horizontal="right" vertical="top"/>
      <protection hidden="1"/>
    </xf>
    <xf numFmtId="0" fontId="100" fillId="35" borderId="181" xfId="0" applyFont="1" applyFill="1" applyBorder="1" applyProtection="1">
      <alignment vertical="center"/>
      <protection hidden="1"/>
    </xf>
    <xf numFmtId="0" fontId="100" fillId="35" borderId="74" xfId="0" applyFont="1" applyFill="1" applyBorder="1" applyProtection="1">
      <alignment vertical="center"/>
      <protection hidden="1"/>
    </xf>
    <xf numFmtId="56" fontId="107" fillId="35" borderId="181" xfId="0" applyNumberFormat="1" applyFont="1" applyFill="1" applyBorder="1" applyProtection="1">
      <alignment vertical="center"/>
      <protection hidden="1"/>
    </xf>
    <xf numFmtId="0" fontId="107" fillId="35" borderId="135" xfId="0" applyFont="1" applyFill="1" applyBorder="1" applyAlignment="1" applyProtection="1">
      <alignment horizontal="left" vertical="center"/>
      <protection hidden="1"/>
    </xf>
    <xf numFmtId="0" fontId="76" fillId="0" borderId="0" xfId="0" applyFont="1" applyFill="1" applyBorder="1" applyProtection="1">
      <alignment vertical="center"/>
      <protection hidden="1"/>
    </xf>
    <xf numFmtId="49" fontId="27" fillId="0" borderId="83" xfId="0" applyNumberFormat="1" applyFont="1" applyFill="1" applyBorder="1" applyAlignment="1" applyProtection="1">
      <alignment horizontal="left" vertical="center"/>
      <protection hidden="1"/>
    </xf>
    <xf numFmtId="3" fontId="26" fillId="0" borderId="59" xfId="0" applyNumberFormat="1" applyFont="1" applyFill="1" applyBorder="1" applyAlignment="1" applyProtection="1">
      <alignment horizontal="left" vertical="center"/>
      <protection hidden="1"/>
    </xf>
    <xf numFmtId="3" fontId="27" fillId="0" borderId="182" xfId="0" applyNumberFormat="1" applyFont="1" applyFill="1" applyBorder="1" applyAlignment="1" applyProtection="1">
      <alignment vertical="center"/>
      <protection hidden="1"/>
    </xf>
    <xf numFmtId="0" fontId="100" fillId="0" borderId="119" xfId="0" applyFont="1" applyFill="1" applyBorder="1" applyProtection="1">
      <alignment vertical="center"/>
      <protection hidden="1"/>
    </xf>
    <xf numFmtId="0" fontId="27" fillId="0" borderId="90" xfId="0" applyFont="1" applyFill="1" applyBorder="1" applyAlignment="1" applyProtection="1">
      <alignment horizontal="left" vertical="center"/>
      <protection hidden="1"/>
    </xf>
    <xf numFmtId="0" fontId="30" fillId="0" borderId="0" xfId="0" applyFont="1" applyFill="1" applyBorder="1" applyAlignment="1" applyProtection="1">
      <alignment horizontal="left" vertical="center"/>
      <protection hidden="1"/>
    </xf>
    <xf numFmtId="40" fontId="27" fillId="0" borderId="183" xfId="0" quotePrefix="1" applyNumberFormat="1" applyFont="1" applyFill="1" applyBorder="1" applyAlignment="1" applyProtection="1">
      <alignment horizontal="left" vertical="center"/>
      <protection hidden="1"/>
    </xf>
    <xf numFmtId="2" fontId="30" fillId="0" borderId="0" xfId="0" applyNumberFormat="1" applyFont="1" applyFill="1" applyBorder="1" applyAlignment="1" applyProtection="1">
      <alignment horizontal="left" vertical="center"/>
      <protection hidden="1"/>
    </xf>
    <xf numFmtId="0" fontId="84" fillId="0" borderId="90" xfId="0" applyFont="1" applyFill="1" applyBorder="1" applyAlignment="1" applyProtection="1">
      <alignment vertical="center"/>
      <protection hidden="1"/>
    </xf>
    <xf numFmtId="0" fontId="84" fillId="0" borderId="0" xfId="0" applyFont="1" applyFill="1" applyBorder="1" applyAlignment="1" applyProtection="1">
      <alignment vertical="center"/>
      <protection hidden="1"/>
    </xf>
    <xf numFmtId="0" fontId="84" fillId="0" borderId="88" xfId="0" applyFont="1" applyFill="1" applyBorder="1" applyAlignment="1" applyProtection="1">
      <alignment vertical="center"/>
      <protection hidden="1"/>
    </xf>
    <xf numFmtId="0" fontId="100"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109" fillId="0" borderId="10" xfId="0" applyFont="1" applyFill="1" applyBorder="1" applyProtection="1">
      <alignment vertical="center"/>
      <protection hidden="1"/>
    </xf>
    <xf numFmtId="0" fontId="75" fillId="0" borderId="10" xfId="0" applyNumberFormat="1" applyFont="1" applyFill="1" applyBorder="1" applyProtection="1">
      <alignment vertical="center"/>
      <protection hidden="1"/>
    </xf>
    <xf numFmtId="0" fontId="100" fillId="0" borderId="10" xfId="0" applyNumberFormat="1" applyFont="1" applyFill="1" applyBorder="1" applyProtection="1">
      <alignment vertical="center"/>
      <protection hidden="1"/>
    </xf>
    <xf numFmtId="0" fontId="27" fillId="0" borderId="90" xfId="0" applyFont="1" applyFill="1" applyBorder="1" applyAlignment="1" applyProtection="1">
      <alignment vertical="center"/>
      <protection hidden="1"/>
    </xf>
    <xf numFmtId="3" fontId="26" fillId="0" borderId="0" xfId="0" applyNumberFormat="1" applyFont="1" applyFill="1" applyBorder="1" applyAlignment="1" applyProtection="1">
      <alignment horizontal="left" vertical="center"/>
      <protection hidden="1"/>
    </xf>
    <xf numFmtId="3" fontId="27" fillId="0" borderId="183" xfId="0" applyNumberFormat="1"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0" fontId="27" fillId="0" borderId="83" xfId="0" applyFont="1" applyFill="1" applyBorder="1" applyAlignment="1" applyProtection="1">
      <alignment horizontal="left" vertical="center"/>
      <protection hidden="1"/>
    </xf>
    <xf numFmtId="0" fontId="30" fillId="0" borderId="59" xfId="0" applyFont="1" applyFill="1" applyBorder="1" applyAlignment="1" applyProtection="1">
      <alignment horizontal="left" vertical="center"/>
      <protection hidden="1"/>
    </xf>
    <xf numFmtId="0" fontId="27" fillId="0" borderId="182" xfId="0" applyFont="1" applyFill="1" applyBorder="1" applyAlignment="1" applyProtection="1">
      <alignment horizontal="left" vertical="center"/>
      <protection hidden="1"/>
    </xf>
    <xf numFmtId="3" fontId="30" fillId="0" borderId="119" xfId="0" applyNumberFormat="1" applyFont="1" applyFill="1" applyBorder="1" applyAlignment="1" applyProtection="1">
      <alignment horizontal="left" vertical="center"/>
      <protection hidden="1"/>
    </xf>
    <xf numFmtId="0" fontId="100" fillId="0" borderId="90" xfId="0" applyFont="1" applyFill="1" applyBorder="1" applyProtection="1">
      <alignment vertical="center"/>
      <protection hidden="1"/>
    </xf>
    <xf numFmtId="0" fontId="100" fillId="0" borderId="88" xfId="0" applyFont="1" applyFill="1" applyBorder="1" applyProtection="1">
      <alignment vertical="center"/>
      <protection hidden="1"/>
    </xf>
    <xf numFmtId="0" fontId="75" fillId="0" borderId="10" xfId="0" applyFont="1" applyFill="1" applyBorder="1" applyProtection="1">
      <alignment vertical="center"/>
      <protection hidden="1"/>
    </xf>
    <xf numFmtId="0" fontId="75" fillId="0" borderId="10" xfId="0" applyNumberFormat="1" applyFont="1" applyFill="1" applyBorder="1" applyAlignment="1" applyProtection="1">
      <protection hidden="1"/>
    </xf>
    <xf numFmtId="3" fontId="30" fillId="0" borderId="0" xfId="0" applyNumberFormat="1" applyFont="1" applyFill="1" applyBorder="1" applyAlignment="1" applyProtection="1">
      <alignment horizontal="left" vertical="center"/>
      <protection hidden="1"/>
    </xf>
    <xf numFmtId="180" fontId="27" fillId="0" borderId="183" xfId="0" applyNumberFormat="1" applyFont="1" applyFill="1" applyBorder="1" applyAlignment="1" applyProtection="1">
      <alignment horizontal="right" vertical="center"/>
      <protection hidden="1"/>
    </xf>
    <xf numFmtId="0" fontId="100" fillId="0" borderId="90" xfId="0" applyFont="1" applyFill="1" applyBorder="1" applyProtection="1">
      <alignment vertical="center"/>
      <protection locked="0"/>
    </xf>
    <xf numFmtId="0" fontId="100" fillId="0" borderId="0" xfId="0" applyFont="1" applyFill="1" applyBorder="1" applyProtection="1">
      <alignment vertical="center"/>
      <protection locked="0"/>
    </xf>
    <xf numFmtId="0" fontId="100" fillId="0" borderId="88" xfId="0" applyFont="1" applyFill="1" applyBorder="1" applyProtection="1">
      <alignment vertical="center"/>
      <protection locked="0"/>
    </xf>
    <xf numFmtId="38" fontId="75" fillId="0" borderId="10" xfId="35" applyFont="1" applyFill="1" applyBorder="1" applyProtection="1">
      <alignment vertical="center"/>
      <protection hidden="1"/>
    </xf>
    <xf numFmtId="0" fontId="75" fillId="0" borderId="10" xfId="0" applyNumberFormat="1" applyFont="1" applyFill="1" applyBorder="1" applyAlignment="1" applyProtection="1">
      <alignment horizontal="left" vertical="center" wrapText="1"/>
      <protection hidden="1"/>
    </xf>
    <xf numFmtId="0" fontId="27" fillId="0" borderId="83" xfId="0" applyFont="1" applyFill="1" applyBorder="1" applyAlignment="1" applyProtection="1">
      <alignment vertical="center"/>
      <protection hidden="1"/>
    </xf>
    <xf numFmtId="3" fontId="27" fillId="0" borderId="182" xfId="0" applyNumberFormat="1" applyFont="1" applyFill="1" applyBorder="1" applyAlignment="1" applyProtection="1">
      <alignment horizontal="left" vertical="center"/>
      <protection hidden="1"/>
    </xf>
    <xf numFmtId="3" fontId="27" fillId="0" borderId="59" xfId="0" applyNumberFormat="1" applyFont="1" applyFill="1" applyBorder="1" applyAlignment="1" applyProtection="1">
      <alignment horizontal="left" vertical="center"/>
      <protection hidden="1"/>
    </xf>
    <xf numFmtId="180" fontId="27" fillId="0" borderId="182" xfId="0" applyNumberFormat="1" applyFont="1" applyFill="1" applyBorder="1" applyAlignment="1" applyProtection="1">
      <alignment horizontal="right" vertical="center"/>
      <protection hidden="1"/>
    </xf>
    <xf numFmtId="37" fontId="27" fillId="0" borderId="119" xfId="0" applyNumberFormat="1" applyFont="1" applyFill="1" applyBorder="1" applyAlignment="1" applyProtection="1">
      <alignment horizontal="left" vertical="center"/>
      <protection hidden="1"/>
    </xf>
    <xf numFmtId="3" fontId="110" fillId="0" borderId="0" xfId="0" applyNumberFormat="1" applyFont="1" applyFill="1" applyBorder="1" applyAlignment="1" applyProtection="1">
      <alignment horizontal="left" vertical="center"/>
      <protection locked="0"/>
    </xf>
    <xf numFmtId="0" fontId="6" fillId="0" borderId="10" xfId="0" applyNumberFormat="1" applyFont="1" applyFill="1" applyBorder="1" applyAlignment="1" applyProtection="1">
      <alignment vertical="center" wrapText="1"/>
      <protection hidden="1"/>
    </xf>
    <xf numFmtId="49" fontId="27" fillId="0" borderId="86" xfId="0" applyNumberFormat="1" applyFont="1" applyFill="1" applyBorder="1" applyAlignment="1" applyProtection="1">
      <alignment horizontal="left" vertical="center"/>
      <protection hidden="1"/>
    </xf>
    <xf numFmtId="3" fontId="26" fillId="0" borderId="51" xfId="0" applyNumberFormat="1" applyFont="1" applyFill="1" applyBorder="1" applyAlignment="1" applyProtection="1">
      <alignment horizontal="left" vertical="center"/>
      <protection hidden="1"/>
    </xf>
    <xf numFmtId="3" fontId="27" fillId="0" borderId="184" xfId="0" applyNumberFormat="1" applyFont="1" applyFill="1" applyBorder="1" applyAlignment="1" applyProtection="1">
      <alignment vertical="center"/>
      <protection hidden="1"/>
    </xf>
    <xf numFmtId="0" fontId="100" fillId="0" borderId="85" xfId="0" applyFont="1" applyFill="1" applyBorder="1" applyProtection="1">
      <alignment vertical="center"/>
      <protection hidden="1"/>
    </xf>
    <xf numFmtId="3" fontId="27" fillId="0" borderId="104" xfId="0" applyNumberFormat="1" applyFont="1" applyFill="1" applyBorder="1" applyAlignment="1" applyProtection="1">
      <alignment horizontal="left" vertical="center"/>
      <protection hidden="1"/>
    </xf>
    <xf numFmtId="0" fontId="111" fillId="0" borderId="54" xfId="0" applyFont="1" applyFill="1" applyBorder="1" applyProtection="1">
      <alignment vertical="center"/>
      <protection hidden="1"/>
    </xf>
    <xf numFmtId="0" fontId="27" fillId="0" borderId="185" xfId="0" applyNumberFormat="1" applyFont="1" applyFill="1" applyBorder="1" applyAlignment="1" applyProtection="1">
      <alignment vertical="center"/>
      <protection hidden="1"/>
    </xf>
    <xf numFmtId="3" fontId="27" fillId="0" borderId="114" xfId="0" applyNumberFormat="1" applyFont="1" applyFill="1" applyBorder="1" applyAlignment="1" applyProtection="1">
      <alignment horizontal="left" vertical="center"/>
      <protection hidden="1"/>
    </xf>
    <xf numFmtId="3" fontId="71" fillId="0" borderId="0" xfId="0" applyNumberFormat="1" applyFont="1" applyFill="1" applyBorder="1" applyAlignment="1" applyProtection="1">
      <alignment horizontal="left" vertical="center"/>
      <protection locked="0"/>
    </xf>
    <xf numFmtId="0" fontId="27" fillId="0" borderId="104" xfId="0" applyFont="1" applyFill="1" applyBorder="1" applyAlignment="1" applyProtection="1">
      <alignment vertical="center"/>
      <protection hidden="1"/>
    </xf>
    <xf numFmtId="2" fontId="30" fillId="0" borderId="54" xfId="0" applyNumberFormat="1" applyFont="1" applyFill="1" applyBorder="1" applyAlignment="1" applyProtection="1">
      <alignment horizontal="left" vertical="center"/>
      <protection hidden="1"/>
    </xf>
    <xf numFmtId="181" fontId="27" fillId="0" borderId="54" xfId="0" applyNumberFormat="1" applyFont="1" applyFill="1" applyBorder="1" applyAlignment="1" applyProtection="1">
      <alignment horizontal="left" vertical="center"/>
      <protection hidden="1"/>
    </xf>
    <xf numFmtId="0" fontId="100" fillId="0" borderId="114" xfId="0" applyFont="1" applyFill="1" applyBorder="1" applyProtection="1">
      <alignment vertical="center"/>
      <protection hidden="1"/>
    </xf>
    <xf numFmtId="3" fontId="27" fillId="0" borderId="83" xfId="0" applyNumberFormat="1" applyFont="1" applyFill="1" applyBorder="1" applyAlignment="1" applyProtection="1">
      <alignment horizontal="left" vertical="center"/>
      <protection hidden="1"/>
    </xf>
    <xf numFmtId="0" fontId="111" fillId="0" borderId="59" xfId="0" applyFont="1" applyFill="1" applyBorder="1" applyProtection="1">
      <alignment vertical="center"/>
      <protection hidden="1"/>
    </xf>
    <xf numFmtId="185" fontId="80" fillId="0" borderId="10" xfId="0" applyNumberFormat="1" applyFont="1" applyFill="1" applyBorder="1" applyAlignment="1" applyProtection="1">
      <alignment horizontal="center" vertical="center"/>
      <protection hidden="1"/>
    </xf>
    <xf numFmtId="0" fontId="100" fillId="0" borderId="186" xfId="0" applyFont="1" applyFill="1" applyBorder="1" applyProtection="1">
      <alignment vertical="center"/>
      <protection hidden="1"/>
    </xf>
    <xf numFmtId="0" fontId="0" fillId="0" borderId="59" xfId="0" applyBorder="1">
      <alignment vertical="center"/>
    </xf>
    <xf numFmtId="181" fontId="27" fillId="0" borderId="59" xfId="0" applyNumberFormat="1" applyFont="1" applyFill="1" applyBorder="1" applyAlignment="1" applyProtection="1">
      <alignment horizontal="left" vertical="center"/>
      <protection hidden="1"/>
    </xf>
    <xf numFmtId="0" fontId="111" fillId="0" borderId="0" xfId="0" applyFont="1" applyFill="1" applyBorder="1" applyProtection="1">
      <alignment vertical="center"/>
      <protection hidden="1"/>
    </xf>
    <xf numFmtId="31" fontId="27" fillId="0" borderId="185" xfId="0" applyNumberFormat="1" applyFont="1" applyFill="1" applyBorder="1" applyAlignment="1" applyProtection="1">
      <alignment horizontal="left" vertical="center" shrinkToFit="1"/>
      <protection hidden="1"/>
    </xf>
    <xf numFmtId="0" fontId="30" fillId="0" borderId="54" xfId="0" applyFont="1" applyFill="1" applyBorder="1" applyProtection="1">
      <alignment vertical="center"/>
      <protection hidden="1"/>
    </xf>
    <xf numFmtId="185" fontId="80" fillId="0" borderId="0" xfId="0" applyNumberFormat="1" applyFont="1" applyFill="1" applyBorder="1" applyAlignment="1" applyProtection="1">
      <alignment horizontal="center" vertical="center"/>
      <protection hidden="1"/>
    </xf>
    <xf numFmtId="37" fontId="30" fillId="0" borderId="0" xfId="0" applyNumberFormat="1" applyFont="1" applyFill="1" applyBorder="1" applyAlignment="1" applyProtection="1">
      <alignment horizontal="left" vertical="center"/>
      <protection hidden="1"/>
    </xf>
    <xf numFmtId="0" fontId="75" fillId="0" borderId="183" xfId="0" applyFont="1" applyFill="1" applyBorder="1" applyProtection="1">
      <alignment vertical="center"/>
      <protection hidden="1"/>
    </xf>
    <xf numFmtId="3" fontId="27" fillId="0" borderId="0" xfId="0" applyNumberFormat="1" applyFont="1" applyFill="1" applyBorder="1" applyAlignment="1" applyProtection="1">
      <alignment horizontal="right" vertical="center"/>
      <protection hidden="1"/>
    </xf>
    <xf numFmtId="181" fontId="27" fillId="0" borderId="0" xfId="0" applyNumberFormat="1" applyFont="1" applyFill="1" applyBorder="1" applyAlignment="1" applyProtection="1">
      <alignment horizontal="left" vertical="center"/>
      <protection hidden="1"/>
    </xf>
    <xf numFmtId="14" fontId="27" fillId="0" borderId="183" xfId="0" applyNumberFormat="1" applyFont="1" applyFill="1" applyBorder="1" applyAlignment="1" applyProtection="1">
      <alignment horizontal="left" vertical="center"/>
      <protection hidden="1"/>
    </xf>
    <xf numFmtId="0" fontId="30" fillId="0" borderId="0" xfId="0" applyFont="1" applyFill="1" applyBorder="1" applyProtection="1">
      <alignment vertical="center"/>
      <protection hidden="1"/>
    </xf>
    <xf numFmtId="185" fontId="0" fillId="0" borderId="10" xfId="0" applyNumberFormat="1" applyFill="1" applyBorder="1" applyProtection="1">
      <alignment vertical="center"/>
      <protection hidden="1"/>
    </xf>
    <xf numFmtId="0" fontId="75" fillId="0" borderId="0" xfId="0" applyNumberFormat="1" applyFont="1" applyFill="1" applyBorder="1" applyProtection="1">
      <alignment vertical="center"/>
      <protection hidden="1"/>
    </xf>
    <xf numFmtId="31" fontId="27" fillId="0" borderId="183" xfId="0" applyNumberFormat="1" applyFont="1" applyFill="1" applyBorder="1" applyAlignment="1" applyProtection="1">
      <alignment horizontal="left" vertical="center" shrinkToFit="1"/>
      <protection hidden="1"/>
    </xf>
    <xf numFmtId="0" fontId="100" fillId="0" borderId="105" xfId="0" applyFont="1" applyFill="1" applyBorder="1" applyProtection="1">
      <alignment vertical="center"/>
      <protection locked="0"/>
    </xf>
    <xf numFmtId="0" fontId="100" fillId="0" borderId="156" xfId="0" applyFont="1" applyFill="1" applyBorder="1" applyProtection="1">
      <alignment vertical="center"/>
      <protection locked="0"/>
    </xf>
    <xf numFmtId="0" fontId="100" fillId="0" borderId="112" xfId="0" applyFont="1" applyFill="1" applyBorder="1" applyProtection="1">
      <alignment vertical="center"/>
      <protection locked="0"/>
    </xf>
    <xf numFmtId="0" fontId="6" fillId="0" borderId="0" xfId="0" applyNumberFormat="1" applyFont="1" applyFill="1" applyBorder="1" applyProtection="1">
      <alignment vertical="center"/>
      <protection hidden="1"/>
    </xf>
    <xf numFmtId="37" fontId="30" fillId="0" borderId="59" xfId="0" applyNumberFormat="1" applyFont="1" applyFill="1" applyBorder="1" applyAlignment="1" applyProtection="1">
      <alignment horizontal="left" vertical="center"/>
      <protection hidden="1"/>
    </xf>
    <xf numFmtId="0" fontId="75" fillId="0" borderId="182" xfId="0" applyFont="1" applyFill="1" applyBorder="1" applyProtection="1">
      <alignment vertical="center"/>
      <protection hidden="1"/>
    </xf>
    <xf numFmtId="37" fontId="27" fillId="0" borderId="59" xfId="0" applyNumberFormat="1" applyFont="1" applyFill="1" applyBorder="1" applyAlignment="1" applyProtection="1">
      <alignment horizontal="right" vertical="center"/>
      <protection hidden="1"/>
    </xf>
    <xf numFmtId="0" fontId="27" fillId="0" borderId="59" xfId="0" applyFont="1" applyFill="1" applyBorder="1" applyAlignment="1" applyProtection="1">
      <alignment horizontal="left" vertical="center"/>
      <protection hidden="1"/>
    </xf>
    <xf numFmtId="0" fontId="100" fillId="0" borderId="59" xfId="0" applyFont="1" applyFill="1" applyBorder="1" applyProtection="1">
      <alignment vertical="center"/>
      <protection hidden="1"/>
    </xf>
    <xf numFmtId="0" fontId="27" fillId="0" borderId="182" xfId="0" applyFont="1" applyFill="1" applyBorder="1" applyProtection="1">
      <alignment vertical="center"/>
      <protection hidden="1"/>
    </xf>
    <xf numFmtId="3" fontId="27" fillId="0" borderId="20" xfId="0" applyNumberFormat="1" applyFont="1" applyFill="1" applyBorder="1" applyAlignment="1" applyProtection="1">
      <alignment horizontal="left" vertical="center"/>
      <protection hidden="1"/>
    </xf>
    <xf numFmtId="3" fontId="27" fillId="0" borderId="153" xfId="0" applyNumberFormat="1" applyFont="1" applyFill="1" applyBorder="1" applyAlignment="1" applyProtection="1">
      <alignment horizontal="right" vertical="center" indent="1"/>
      <protection hidden="1"/>
    </xf>
    <xf numFmtId="0" fontId="40" fillId="0" borderId="88" xfId="0" applyFont="1" applyFill="1" applyBorder="1" applyProtection="1">
      <alignment vertical="center"/>
      <protection hidden="1"/>
    </xf>
    <xf numFmtId="0" fontId="100" fillId="0" borderId="54" xfId="0" applyFont="1" applyFill="1" applyBorder="1" applyProtection="1">
      <alignment vertical="center"/>
      <protection hidden="1"/>
    </xf>
    <xf numFmtId="0" fontId="75" fillId="0" borderId="0" xfId="0" applyFont="1" applyFill="1" applyBorder="1" applyProtection="1">
      <alignment vertical="center"/>
      <protection hidden="1"/>
    </xf>
    <xf numFmtId="0" fontId="27" fillId="0" borderId="88" xfId="0" applyFont="1" applyFill="1" applyBorder="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left" vertical="center"/>
      <protection hidden="1"/>
    </xf>
    <xf numFmtId="0" fontId="84" fillId="0" borderId="0" xfId="0" applyNumberFormat="1" applyFont="1" applyFill="1" applyBorder="1" applyAlignment="1" applyProtection="1">
      <alignment vertical="center"/>
      <protection hidden="1"/>
    </xf>
    <xf numFmtId="0" fontId="100" fillId="0" borderId="105" xfId="0" applyFont="1" applyFill="1" applyBorder="1" applyProtection="1">
      <alignment vertical="center"/>
      <protection hidden="1"/>
    </xf>
    <xf numFmtId="3" fontId="30" fillId="0" borderId="156" xfId="0" applyNumberFormat="1" applyFont="1" applyFill="1" applyBorder="1" applyAlignment="1" applyProtection="1">
      <alignment horizontal="left" vertical="center"/>
      <protection hidden="1"/>
    </xf>
    <xf numFmtId="0" fontId="100" fillId="0" borderId="156" xfId="0" applyFont="1" applyFill="1" applyBorder="1" applyProtection="1">
      <alignment vertical="center"/>
      <protection hidden="1"/>
    </xf>
    <xf numFmtId="0" fontId="75" fillId="0" borderId="156" xfId="0" applyFont="1" applyFill="1" applyBorder="1" applyProtection="1">
      <alignment vertical="center"/>
      <protection hidden="1"/>
    </xf>
    <xf numFmtId="3" fontId="27" fillId="0" borderId="177" xfId="0" applyNumberFormat="1" applyFont="1" applyFill="1" applyBorder="1" applyAlignment="1" applyProtection="1">
      <alignment horizontal="right" vertical="center" indent="1"/>
      <protection hidden="1"/>
    </xf>
    <xf numFmtId="0" fontId="27" fillId="0" borderId="156" xfId="0" applyFont="1" applyFill="1" applyBorder="1" applyProtection="1">
      <alignment vertical="center"/>
      <protection hidden="1"/>
    </xf>
    <xf numFmtId="0" fontId="27" fillId="0" borderId="112" xfId="0" applyFont="1" applyFill="1" applyBorder="1" applyProtection="1">
      <alignment vertical="center"/>
      <protection hidden="1"/>
    </xf>
    <xf numFmtId="0" fontId="112" fillId="0" borderId="81" xfId="0" applyFont="1" applyFill="1" applyBorder="1" applyProtection="1">
      <alignment vertical="center"/>
      <protection hidden="1"/>
    </xf>
    <xf numFmtId="0" fontId="113" fillId="0" borderId="81" xfId="0" applyFont="1" applyFill="1" applyBorder="1" applyAlignment="1" applyProtection="1">
      <alignment vertical="center"/>
      <protection hidden="1"/>
    </xf>
    <xf numFmtId="0" fontId="100" fillId="0" borderId="81" xfId="0" applyFont="1" applyFill="1" applyBorder="1" applyProtection="1">
      <alignment vertical="center"/>
      <protection hidden="1"/>
    </xf>
    <xf numFmtId="3" fontId="114" fillId="0" borderId="81" xfId="0" applyNumberFormat="1" applyFont="1" applyFill="1" applyBorder="1" applyAlignment="1" applyProtection="1">
      <alignment horizontal="left" vertical="center"/>
      <protection hidden="1"/>
    </xf>
    <xf numFmtId="0" fontId="115" fillId="0" borderId="81" xfId="0" applyFont="1" applyFill="1" applyBorder="1" applyAlignment="1" applyProtection="1">
      <alignment vertical="center"/>
      <protection hidden="1"/>
    </xf>
    <xf numFmtId="37" fontId="27" fillId="0" borderId="81" xfId="0" applyNumberFormat="1" applyFont="1" applyFill="1" applyBorder="1" applyAlignment="1" applyProtection="1">
      <alignment horizontal="left" vertical="center"/>
      <protection hidden="1"/>
    </xf>
    <xf numFmtId="0" fontId="107" fillId="35" borderId="75" xfId="0" applyFont="1" applyFill="1" applyBorder="1" applyAlignment="1" applyProtection="1">
      <alignment vertical="center"/>
      <protection hidden="1"/>
    </xf>
    <xf numFmtId="0" fontId="116" fillId="35" borderId="81" xfId="0" applyFont="1" applyFill="1" applyBorder="1" applyAlignment="1" applyProtection="1">
      <alignment horizontal="right" vertical="center"/>
      <protection hidden="1"/>
    </xf>
    <xf numFmtId="0" fontId="116" fillId="35" borderId="81" xfId="0" applyFont="1" applyFill="1" applyBorder="1" applyAlignment="1" applyProtection="1">
      <alignment vertical="center"/>
      <protection hidden="1"/>
    </xf>
    <xf numFmtId="0" fontId="117" fillId="35" borderId="81" xfId="0" applyFont="1" applyFill="1" applyBorder="1" applyAlignment="1" applyProtection="1">
      <alignment vertical="center"/>
      <protection hidden="1"/>
    </xf>
    <xf numFmtId="0" fontId="107" fillId="35" borderId="181" xfId="0" applyFont="1" applyFill="1" applyBorder="1" applyProtection="1">
      <alignment vertical="center"/>
      <protection hidden="1"/>
    </xf>
    <xf numFmtId="0" fontId="60" fillId="35" borderId="74" xfId="0" applyFont="1" applyFill="1" applyBorder="1" applyAlignment="1" applyProtection="1">
      <alignment horizontal="left" vertical="center"/>
      <protection hidden="1"/>
    </xf>
    <xf numFmtId="0" fontId="78" fillId="35" borderId="74" xfId="0" applyFont="1" applyFill="1" applyBorder="1" applyAlignment="1" applyProtection="1">
      <alignment horizontal="right" vertical="center"/>
      <protection hidden="1"/>
    </xf>
    <xf numFmtId="0" fontId="78" fillId="35" borderId="135" xfId="0" applyFont="1" applyFill="1" applyBorder="1" applyAlignment="1" applyProtection="1">
      <alignment horizontal="right" vertical="center"/>
      <protection hidden="1"/>
    </xf>
    <xf numFmtId="0" fontId="100" fillId="0" borderId="75"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47" fillId="0" borderId="90" xfId="0" applyFont="1" applyFill="1" applyBorder="1" applyAlignment="1" applyProtection="1">
      <alignment vertical="center"/>
      <protection hidden="1"/>
    </xf>
    <xf numFmtId="0" fontId="47" fillId="0" borderId="0" xfId="0" applyFont="1" applyFill="1" applyBorder="1" applyAlignment="1" applyProtection="1">
      <alignment vertical="center"/>
      <protection hidden="1"/>
    </xf>
    <xf numFmtId="0" fontId="119" fillId="0" borderId="88" xfId="0" applyFont="1" applyFill="1" applyBorder="1" applyAlignment="1" applyProtection="1">
      <alignment horizontal="right" vertical="center"/>
      <protection hidden="1"/>
    </xf>
    <xf numFmtId="38" fontId="75" fillId="0" borderId="10" xfId="35" applyFont="1" applyFill="1" applyBorder="1" applyAlignment="1" applyProtection="1">
      <protection hidden="1"/>
    </xf>
    <xf numFmtId="0" fontId="82" fillId="0" borderId="90" xfId="0" applyFont="1" applyFill="1" applyBorder="1" applyAlignment="1" applyProtection="1">
      <alignment horizontal="right" vertical="center"/>
      <protection hidden="1"/>
    </xf>
    <xf numFmtId="0" fontId="35" fillId="0" borderId="0" xfId="0" applyFont="1" applyFill="1" applyBorder="1" applyAlignment="1" applyProtection="1">
      <alignment horizontal="center" vertical="center"/>
      <protection hidden="1"/>
    </xf>
    <xf numFmtId="0" fontId="35" fillId="0" borderId="88" xfId="0" applyFont="1" applyFill="1" applyBorder="1" applyAlignment="1" applyProtection="1">
      <alignment horizontal="center" vertical="center"/>
      <protection hidden="1"/>
    </xf>
    <xf numFmtId="38" fontId="6" fillId="0" borderId="10" xfId="35" applyFont="1" applyFill="1" applyBorder="1" applyProtection="1">
      <alignment vertical="center"/>
      <protection hidden="1"/>
    </xf>
    <xf numFmtId="0" fontId="100" fillId="0" borderId="187" xfId="0" applyFont="1" applyFill="1" applyBorder="1" applyProtection="1">
      <alignment vertical="center"/>
      <protection hidden="1"/>
    </xf>
    <xf numFmtId="0" fontId="100" fillId="0" borderId="188" xfId="0" applyFont="1" applyFill="1" applyBorder="1" applyProtection="1">
      <alignment vertical="center"/>
      <protection hidden="1"/>
    </xf>
    <xf numFmtId="0" fontId="100" fillId="0" borderId="189" xfId="0" applyFont="1" applyFill="1" applyBorder="1" applyProtection="1">
      <alignment vertical="center"/>
      <protection hidden="1"/>
    </xf>
    <xf numFmtId="0" fontId="100" fillId="0" borderId="90" xfId="0" applyFont="1" applyFill="1" applyBorder="1" applyAlignment="1" applyProtection="1">
      <alignment vertical="center"/>
      <protection hidden="1"/>
    </xf>
    <xf numFmtId="0" fontId="82" fillId="0" borderId="90" xfId="0" applyFont="1" applyFill="1" applyBorder="1" applyAlignment="1" applyProtection="1">
      <alignment horizontal="left" vertical="center"/>
      <protection hidden="1"/>
    </xf>
    <xf numFmtId="0" fontId="36" fillId="0" borderId="0" xfId="0" applyFont="1" applyFill="1" applyBorder="1" applyAlignment="1" applyProtection="1">
      <alignment horizontal="center" vertical="center"/>
      <protection hidden="1"/>
    </xf>
    <xf numFmtId="0" fontId="100" fillId="0" borderId="0" xfId="0" applyFont="1" applyFill="1" applyBorder="1" applyAlignment="1">
      <alignment vertical="center"/>
    </xf>
    <xf numFmtId="0" fontId="28" fillId="0" borderId="0"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0" applyNumberFormat="1" applyFont="1" applyFill="1" applyBorder="1" applyAlignment="1" applyProtection="1">
      <protection hidden="1"/>
    </xf>
    <xf numFmtId="0" fontId="6" fillId="0" borderId="10" xfId="0" quotePrefix="1" applyNumberFormat="1" applyFont="1" applyFill="1" applyBorder="1" applyAlignment="1" applyProtection="1">
      <protection hidden="1"/>
    </xf>
    <xf numFmtId="0" fontId="82" fillId="0" borderId="187" xfId="0" applyFont="1" applyFill="1" applyBorder="1" applyAlignment="1" applyProtection="1">
      <alignment horizontal="left" vertical="center"/>
      <protection hidden="1"/>
    </xf>
    <xf numFmtId="0" fontId="36" fillId="0" borderId="188" xfId="0" applyFont="1" applyFill="1" applyBorder="1" applyAlignment="1" applyProtection="1">
      <alignment horizontal="center" vertical="center"/>
      <protection hidden="1"/>
    </xf>
    <xf numFmtId="0" fontId="100" fillId="0" borderId="188" xfId="0" applyFont="1" applyFill="1" applyBorder="1" applyAlignment="1">
      <alignment vertical="center"/>
    </xf>
    <xf numFmtId="0" fontId="28" fillId="0" borderId="189" xfId="0" applyFont="1" applyFill="1" applyBorder="1" applyAlignment="1" applyProtection="1">
      <alignment horizontal="right" vertical="center"/>
      <protection hidden="1"/>
    </xf>
    <xf numFmtId="0" fontId="119"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11" fillId="0" borderId="133" xfId="0" applyFont="1" applyFill="1" applyBorder="1" applyProtection="1">
      <alignment vertical="center"/>
      <protection hidden="1"/>
    </xf>
    <xf numFmtId="0" fontId="100" fillId="36" borderId="10" xfId="0" applyFont="1" applyFill="1" applyBorder="1" applyProtection="1">
      <alignment vertical="center"/>
      <protection hidden="1"/>
    </xf>
    <xf numFmtId="9" fontId="100" fillId="0" borderId="10" xfId="0" applyNumberFormat="1" applyFont="1" applyFill="1" applyBorder="1" applyProtection="1">
      <alignment vertical="center"/>
      <protection hidden="1"/>
    </xf>
    <xf numFmtId="0" fontId="11" fillId="0" borderId="0" xfId="0" applyFont="1" applyFill="1" applyBorder="1" applyProtection="1">
      <alignment vertical="center"/>
      <protection hidden="1"/>
    </xf>
    <xf numFmtId="0" fontId="82" fillId="0" borderId="0" xfId="0" applyFont="1" applyFill="1" applyBorder="1" applyProtection="1">
      <alignment vertical="center"/>
      <protection hidden="1"/>
    </xf>
    <xf numFmtId="0" fontId="107" fillId="35" borderId="73" xfId="0" applyFont="1" applyFill="1" applyBorder="1" applyAlignment="1" applyProtection="1">
      <alignment vertical="center"/>
      <protection hidden="1"/>
    </xf>
    <xf numFmtId="0" fontId="120" fillId="35" borderId="74" xfId="0" applyFont="1" applyFill="1" applyBorder="1" applyAlignment="1" applyProtection="1">
      <alignment vertical="center"/>
      <protection hidden="1"/>
    </xf>
    <xf numFmtId="0" fontId="120" fillId="35" borderId="74" xfId="0" applyFont="1" applyFill="1" applyBorder="1" applyAlignment="1" applyProtection="1">
      <alignment horizontal="right" vertical="center"/>
      <protection hidden="1"/>
    </xf>
    <xf numFmtId="0" fontId="121" fillId="35" borderId="74" xfId="0" applyFont="1" applyFill="1" applyBorder="1" applyAlignment="1" applyProtection="1">
      <alignment horizontal="right" vertical="top"/>
      <protection hidden="1"/>
    </xf>
    <xf numFmtId="0" fontId="104" fillId="35" borderId="74" xfId="0" applyFont="1" applyFill="1" applyBorder="1" applyAlignment="1" applyProtection="1">
      <alignment horizontal="center" vertical="center"/>
      <protection hidden="1"/>
    </xf>
    <xf numFmtId="0" fontId="84" fillId="35" borderId="74" xfId="0" applyFont="1" applyFill="1" applyBorder="1" applyAlignment="1" applyProtection="1">
      <alignment vertical="center"/>
      <protection hidden="1"/>
    </xf>
    <xf numFmtId="0" fontId="121" fillId="35" borderId="135" xfId="0" applyFont="1" applyFill="1" applyBorder="1" applyAlignment="1" applyProtection="1">
      <alignment horizontal="right" vertical="center"/>
      <protection hidden="1"/>
    </xf>
    <xf numFmtId="0" fontId="123" fillId="30" borderId="90" xfId="0" applyFont="1" applyFill="1" applyBorder="1" applyAlignment="1" applyProtection="1">
      <alignment vertical="center"/>
      <protection hidden="1"/>
    </xf>
    <xf numFmtId="0" fontId="120" fillId="30" borderId="0" xfId="0" applyFont="1" applyFill="1" applyBorder="1" applyAlignment="1" applyProtection="1">
      <alignment vertical="center"/>
      <protection hidden="1"/>
    </xf>
    <xf numFmtId="0" fontId="104" fillId="30" borderId="0" xfId="0" applyFont="1" applyFill="1" applyBorder="1" applyAlignment="1" applyProtection="1">
      <alignment horizontal="center" vertical="center"/>
      <protection hidden="1"/>
    </xf>
    <xf numFmtId="0" fontId="124" fillId="30" borderId="0" xfId="0" applyFont="1" applyFill="1" applyBorder="1" applyAlignment="1" applyProtection="1">
      <alignment horizontal="right" vertical="center"/>
      <protection hidden="1"/>
    </xf>
    <xf numFmtId="0" fontId="125" fillId="30" borderId="0" xfId="0" applyFont="1" applyFill="1" applyBorder="1" applyAlignment="1" applyProtection="1">
      <alignment horizontal="right" vertical="center"/>
      <protection hidden="1"/>
    </xf>
    <xf numFmtId="0" fontId="127" fillId="30" borderId="0" xfId="0" applyFont="1" applyFill="1" applyBorder="1" applyAlignment="1" applyProtection="1">
      <alignment horizontal="right" vertical="center"/>
      <protection hidden="1"/>
    </xf>
    <xf numFmtId="176" fontId="127" fillId="30" borderId="0" xfId="0" applyNumberFormat="1" applyFont="1" applyFill="1" applyBorder="1" applyAlignment="1" applyProtection="1">
      <alignment horizontal="right" vertical="center"/>
      <protection hidden="1"/>
    </xf>
    <xf numFmtId="0" fontId="121" fillId="30" borderId="88" xfId="0" applyFont="1" applyFill="1" applyBorder="1" applyAlignment="1" applyProtection="1">
      <alignment horizontal="right" vertical="center"/>
      <protection hidden="1"/>
    </xf>
    <xf numFmtId="0" fontId="76" fillId="0" borderId="0" xfId="0" applyFont="1" applyFill="1" applyBorder="1" applyAlignment="1" applyProtection="1">
      <alignment vertical="center"/>
      <protection hidden="1"/>
    </xf>
    <xf numFmtId="181" fontId="76" fillId="0" borderId="0" xfId="0" applyNumberFormat="1" applyFont="1" applyFill="1" applyBorder="1" applyAlignment="1" applyProtection="1">
      <alignment horizontal="left" vertical="center"/>
      <protection hidden="1"/>
    </xf>
    <xf numFmtId="0" fontId="76" fillId="0" borderId="0" xfId="0" applyFont="1" applyFill="1" applyBorder="1" applyAlignment="1" applyProtection="1">
      <alignment horizontal="left" vertical="center"/>
      <protection hidden="1"/>
    </xf>
    <xf numFmtId="0" fontId="75" fillId="0" borderId="88" xfId="0" applyFont="1" applyFill="1" applyBorder="1" applyProtection="1">
      <alignment vertical="center"/>
      <protection hidden="1"/>
    </xf>
    <xf numFmtId="0" fontId="128" fillId="0" borderId="0" xfId="0" applyFont="1" applyFill="1" applyBorder="1" applyAlignment="1" applyProtection="1">
      <alignment vertical="center"/>
      <protection hidden="1"/>
    </xf>
    <xf numFmtId="0" fontId="129" fillId="0" borderId="0" xfId="0" applyFont="1" applyFill="1" applyBorder="1" applyAlignment="1" applyProtection="1">
      <alignment horizontal="left" vertical="center"/>
      <protection hidden="1"/>
    </xf>
    <xf numFmtId="0" fontId="86" fillId="0" borderId="0" xfId="0" applyFont="1" applyFill="1" applyBorder="1" applyAlignment="1" applyProtection="1">
      <alignment horizontal="right" vertical="center"/>
      <protection hidden="1"/>
    </xf>
    <xf numFmtId="0" fontId="130" fillId="0" borderId="0" xfId="0" applyFont="1" applyFill="1" applyBorder="1" applyProtection="1">
      <alignment vertical="center"/>
      <protection hidden="1"/>
    </xf>
    <xf numFmtId="181" fontId="76" fillId="0" borderId="88" xfId="0" applyNumberFormat="1" applyFont="1" applyFill="1" applyBorder="1" applyAlignment="1" applyProtection="1">
      <alignment horizontal="center" vertical="center"/>
      <protection hidden="1"/>
    </xf>
    <xf numFmtId="0" fontId="75" fillId="0" borderId="10" xfId="0" applyNumberFormat="1" applyFont="1" applyFill="1" applyBorder="1" applyAlignment="1" applyProtection="1">
      <alignment horizontal="left" vertical="center"/>
      <protection hidden="1"/>
    </xf>
    <xf numFmtId="176" fontId="75" fillId="0" borderId="10" xfId="0" applyNumberFormat="1" applyFont="1" applyFill="1" applyBorder="1" applyAlignment="1" applyProtection="1">
      <alignment horizontal="right"/>
      <protection hidden="1"/>
    </xf>
    <xf numFmtId="176" fontId="75" fillId="0" borderId="10" xfId="0" applyNumberFormat="1" applyFont="1" applyFill="1" applyBorder="1" applyProtection="1">
      <alignment vertical="center"/>
      <protection hidden="1"/>
    </xf>
    <xf numFmtId="0" fontId="6" fillId="0" borderId="10"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0" borderId="59" xfId="0" applyFont="1" applyFill="1" applyBorder="1" applyAlignment="1" applyProtection="1">
      <alignment vertical="center"/>
      <protection hidden="1"/>
    </xf>
    <xf numFmtId="0" fontId="104" fillId="0" borderId="59" xfId="0" applyFont="1" applyFill="1" applyBorder="1" applyAlignment="1" applyProtection="1">
      <alignment horizontal="center" vertical="center"/>
      <protection hidden="1"/>
    </xf>
    <xf numFmtId="0" fontId="104" fillId="0" borderId="59" xfId="0" applyFont="1" applyFill="1" applyBorder="1" applyAlignment="1" applyProtection="1">
      <alignment vertical="center"/>
      <protection hidden="1"/>
    </xf>
    <xf numFmtId="0" fontId="75" fillId="0" borderId="59" xfId="0" applyFont="1" applyFill="1" applyBorder="1" applyProtection="1">
      <alignment vertical="center"/>
      <protection hidden="1"/>
    </xf>
    <xf numFmtId="0" fontId="75" fillId="0" borderId="119" xfId="0" applyFont="1" applyFill="1" applyBorder="1" applyProtection="1">
      <alignment vertical="center"/>
      <protection hidden="1"/>
    </xf>
    <xf numFmtId="0" fontId="75" fillId="0" borderId="54" xfId="0" applyFont="1" applyFill="1" applyBorder="1" applyProtection="1">
      <alignment vertical="center"/>
      <protection hidden="1"/>
    </xf>
    <xf numFmtId="0" fontId="132" fillId="30" borderId="104" xfId="0" applyFont="1" applyFill="1" applyBorder="1" applyAlignment="1" applyProtection="1">
      <alignment vertical="center"/>
      <protection hidden="1"/>
    </xf>
    <xf numFmtId="0" fontId="120" fillId="30" borderId="54" xfId="0" applyFont="1" applyFill="1" applyBorder="1" applyAlignment="1" applyProtection="1">
      <alignment vertical="center"/>
      <protection hidden="1"/>
    </xf>
    <xf numFmtId="0" fontId="120" fillId="30" borderId="54" xfId="0" applyFont="1" applyFill="1" applyBorder="1" applyAlignment="1" applyProtection="1">
      <alignment horizontal="right" vertical="center"/>
      <protection hidden="1"/>
    </xf>
    <xf numFmtId="181" fontId="127" fillId="30" borderId="0" xfId="0" applyNumberFormat="1" applyFont="1" applyFill="1" applyBorder="1" applyAlignment="1" applyProtection="1">
      <alignment horizontal="right" vertical="center"/>
      <protection hidden="1"/>
    </xf>
    <xf numFmtId="0" fontId="76" fillId="0" borderId="90" xfId="0" applyFont="1" applyFill="1" applyBorder="1" applyAlignment="1" applyProtection="1">
      <alignment horizontal="left" vertical="center"/>
      <protection hidden="1"/>
    </xf>
    <xf numFmtId="1" fontId="76" fillId="0" borderId="0" xfId="0" applyNumberFormat="1" applyFont="1" applyFill="1" applyBorder="1" applyAlignment="1" applyProtection="1">
      <alignment horizontal="left" vertical="center"/>
      <protection hidden="1"/>
    </xf>
    <xf numFmtId="0" fontId="76" fillId="0" borderId="88" xfId="0" applyFont="1" applyFill="1" applyBorder="1" applyAlignment="1" applyProtection="1">
      <alignment horizontal="left" vertical="center"/>
      <protection hidden="1"/>
    </xf>
    <xf numFmtId="0" fontId="133" fillId="0" borderId="0" xfId="0" applyFont="1" applyFill="1" applyBorder="1" applyAlignment="1" applyProtection="1">
      <alignment vertical="center"/>
      <protection hidden="1"/>
    </xf>
    <xf numFmtId="0" fontId="30" fillId="0" borderId="0" xfId="0" applyFont="1" applyFill="1" applyBorder="1" applyAlignment="1" applyProtection="1">
      <alignment horizontal="right" vertical="center"/>
      <protection hidden="1"/>
    </xf>
    <xf numFmtId="1" fontId="30" fillId="0" borderId="0" xfId="0" applyNumberFormat="1" applyFont="1" applyFill="1" applyBorder="1" applyAlignment="1" applyProtection="1">
      <alignment vertical="center"/>
      <protection hidden="1"/>
    </xf>
    <xf numFmtId="176" fontId="100" fillId="0" borderId="0" xfId="0" applyNumberFormat="1" applyFont="1" applyFill="1" applyBorder="1" applyProtection="1">
      <alignment vertical="center"/>
      <protection hidden="1"/>
    </xf>
    <xf numFmtId="0" fontId="84"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protection hidden="1"/>
    </xf>
    <xf numFmtId="0" fontId="30" fillId="0" borderId="90"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6" fontId="75" fillId="37" borderId="10" xfId="0" applyNumberFormat="1" applyFont="1" applyFill="1" applyBorder="1" applyAlignment="1" applyProtection="1">
      <alignment horizontal="right"/>
      <protection hidden="1"/>
    </xf>
    <xf numFmtId="0" fontId="75" fillId="0" borderId="0" xfId="0" applyNumberFormat="1" applyFont="1" applyFill="1" applyBorder="1" applyAlignment="1" applyProtection="1">
      <alignment horizontal="right"/>
      <protection hidden="1"/>
    </xf>
    <xf numFmtId="0" fontId="30" fillId="0" borderId="105" xfId="0" applyFont="1" applyFill="1" applyBorder="1" applyAlignment="1" applyProtection="1">
      <alignment vertical="center"/>
      <protection hidden="1"/>
    </xf>
    <xf numFmtId="0" fontId="30" fillId="0" borderId="156" xfId="0" applyFont="1" applyFill="1" applyBorder="1" applyAlignment="1" applyProtection="1">
      <alignment vertical="center"/>
      <protection hidden="1"/>
    </xf>
    <xf numFmtId="0" fontId="30" fillId="0" borderId="156" xfId="0" applyFont="1" applyFill="1" applyBorder="1" applyAlignment="1" applyProtection="1">
      <alignment horizontal="right" vertical="center"/>
      <protection hidden="1"/>
    </xf>
    <xf numFmtId="0" fontId="104" fillId="0" borderId="156" xfId="0" applyFont="1" applyFill="1" applyBorder="1" applyAlignment="1" applyProtection="1">
      <alignment vertical="center"/>
      <protection hidden="1"/>
    </xf>
    <xf numFmtId="0" fontId="26" fillId="0" borderId="156" xfId="0" applyFont="1" applyFill="1" applyBorder="1" applyAlignment="1" applyProtection="1">
      <alignment horizontal="left" vertical="center"/>
      <protection hidden="1"/>
    </xf>
    <xf numFmtId="0" fontId="84" fillId="0" borderId="156" xfId="0" applyFont="1" applyFill="1" applyBorder="1" applyAlignment="1" applyProtection="1">
      <alignment vertical="center"/>
      <protection hidden="1"/>
    </xf>
    <xf numFmtId="0" fontId="84" fillId="0" borderId="112" xfId="0" applyFont="1" applyFill="1" applyBorder="1" applyAlignment="1" applyProtection="1">
      <alignment vertical="center"/>
      <protection hidden="1"/>
    </xf>
    <xf numFmtId="194" fontId="75" fillId="0" borderId="0" xfId="0" applyNumberFormat="1" applyFont="1" applyFill="1" applyBorder="1" applyProtection="1">
      <alignment vertical="center"/>
      <protection hidden="1"/>
    </xf>
    <xf numFmtId="0" fontId="115"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0" fontId="120" fillId="35" borderId="81" xfId="0" applyFont="1" applyFill="1" applyBorder="1" applyAlignment="1" applyProtection="1">
      <alignment vertical="center"/>
      <protection hidden="1"/>
    </xf>
    <xf numFmtId="0" fontId="120" fillId="35" borderId="81" xfId="0" applyFont="1" applyFill="1" applyBorder="1" applyAlignment="1" applyProtection="1">
      <alignment horizontal="right" vertical="center"/>
      <protection hidden="1"/>
    </xf>
    <xf numFmtId="0" fontId="134" fillId="35" borderId="81" xfId="0" applyFont="1" applyFill="1" applyBorder="1" applyAlignment="1" applyProtection="1">
      <alignment horizontal="right" vertical="top"/>
      <protection hidden="1"/>
    </xf>
    <xf numFmtId="0" fontId="104" fillId="35" borderId="81" xfId="0" applyFont="1" applyFill="1" applyBorder="1" applyAlignment="1" applyProtection="1">
      <alignment horizontal="center" vertical="center"/>
      <protection hidden="1"/>
    </xf>
    <xf numFmtId="0" fontId="84" fillId="35" borderId="81" xfId="0" applyFont="1" applyFill="1" applyBorder="1" applyAlignment="1" applyProtection="1">
      <alignment vertical="center"/>
      <protection hidden="1"/>
    </xf>
    <xf numFmtId="0" fontId="134" fillId="35" borderId="110" xfId="0" applyFont="1" applyFill="1" applyBorder="1" applyAlignment="1" applyProtection="1">
      <alignment horizontal="right" vertical="center"/>
      <protection hidden="1"/>
    </xf>
    <xf numFmtId="0" fontId="4" fillId="38" borderId="104" xfId="0" applyFont="1" applyFill="1" applyBorder="1" applyAlignment="1" applyProtection="1">
      <alignment vertical="center"/>
      <protection hidden="1"/>
    </xf>
    <xf numFmtId="0" fontId="120" fillId="38" borderId="54" xfId="0" applyFont="1" applyFill="1" applyBorder="1" applyAlignment="1" applyProtection="1">
      <alignment vertical="center"/>
      <protection hidden="1"/>
    </xf>
    <xf numFmtId="0" fontId="120" fillId="38" borderId="54" xfId="0" applyFont="1" applyFill="1" applyBorder="1" applyAlignment="1" applyProtection="1">
      <alignment horizontal="right" vertical="center"/>
      <protection hidden="1"/>
    </xf>
    <xf numFmtId="0" fontId="88" fillId="38" borderId="55" xfId="0" applyFont="1" applyFill="1" applyBorder="1" applyAlignment="1" applyProtection="1">
      <alignment vertical="center"/>
      <protection hidden="1"/>
    </xf>
    <xf numFmtId="0" fontId="4" fillId="38" borderId="54" xfId="0" applyFont="1" applyFill="1" applyBorder="1" applyAlignment="1" applyProtection="1">
      <alignment vertical="center"/>
      <protection hidden="1"/>
    </xf>
    <xf numFmtId="0" fontId="88" fillId="38" borderId="54" xfId="0" applyFont="1" applyFill="1" applyBorder="1" applyAlignment="1" applyProtection="1">
      <alignment horizontal="center" vertical="center"/>
      <protection hidden="1"/>
    </xf>
    <xf numFmtId="0" fontId="88" fillId="38" borderId="114" xfId="0" applyFont="1" applyFill="1" applyBorder="1" applyAlignment="1" applyProtection="1">
      <alignment horizontal="center" vertical="center"/>
      <protection hidden="1"/>
    </xf>
    <xf numFmtId="0" fontId="135" fillId="38" borderId="104" xfId="0" applyFont="1" applyFill="1" applyBorder="1" applyAlignment="1" applyProtection="1">
      <alignment vertical="center"/>
      <protection hidden="1"/>
    </xf>
    <xf numFmtId="0" fontId="88" fillId="38" borderId="55" xfId="0" applyFont="1" applyFill="1" applyBorder="1" applyAlignment="1" applyProtection="1">
      <alignment horizontal="center" vertical="center"/>
      <protection hidden="1"/>
    </xf>
    <xf numFmtId="0" fontId="135" fillId="38" borderId="20" xfId="0" applyFont="1" applyFill="1" applyBorder="1">
      <alignment vertical="center"/>
    </xf>
    <xf numFmtId="0" fontId="88" fillId="38" borderId="0" xfId="0" applyFont="1" applyFill="1" applyBorder="1" applyAlignment="1" applyProtection="1">
      <alignment horizontal="center" vertical="center"/>
      <protection hidden="1"/>
    </xf>
    <xf numFmtId="0" fontId="88" fillId="38" borderId="153" xfId="0" applyFont="1" applyFill="1" applyBorder="1" applyAlignment="1" applyProtection="1">
      <alignment horizontal="center" vertical="center"/>
      <protection hidden="1"/>
    </xf>
    <xf numFmtId="0" fontId="135" fillId="38" borderId="53" xfId="0" applyFont="1" applyFill="1" applyBorder="1">
      <alignment vertical="center"/>
    </xf>
    <xf numFmtId="0" fontId="88" fillId="38" borderId="0" xfId="0" applyFont="1" applyFill="1" applyBorder="1" applyAlignment="1" applyProtection="1">
      <alignment horizontal="left" vertical="center"/>
      <protection hidden="1"/>
    </xf>
    <xf numFmtId="0" fontId="120" fillId="38" borderId="0" xfId="0" applyFont="1" applyFill="1" applyBorder="1" applyAlignment="1" applyProtection="1">
      <alignment horizontal="right" vertical="center"/>
      <protection hidden="1"/>
    </xf>
    <xf numFmtId="0" fontId="120" fillId="38" borderId="88" xfId="0" applyFont="1" applyFill="1" applyBorder="1" applyAlignment="1" applyProtection="1">
      <alignment horizontal="right" vertical="center"/>
      <protection hidden="1"/>
    </xf>
    <xf numFmtId="0" fontId="135" fillId="38" borderId="104" xfId="0" applyFont="1" applyFill="1" applyBorder="1">
      <alignment vertical="center"/>
    </xf>
    <xf numFmtId="0" fontId="88" fillId="38" borderId="54" xfId="0" applyFont="1" applyFill="1" applyBorder="1" applyAlignment="1" applyProtection="1">
      <alignment horizontal="left" vertical="center"/>
      <protection hidden="1"/>
    </xf>
    <xf numFmtId="0" fontId="120" fillId="38" borderId="55" xfId="0" applyFont="1" applyFill="1" applyBorder="1" applyAlignment="1" applyProtection="1">
      <alignment horizontal="right" vertical="center"/>
      <protection hidden="1"/>
    </xf>
    <xf numFmtId="0" fontId="135" fillId="38" borderId="0" xfId="0" applyFont="1" applyFill="1" applyBorder="1">
      <alignment vertical="center"/>
    </xf>
    <xf numFmtId="0" fontId="135" fillId="38" borderId="54" xfId="0" applyFont="1" applyFill="1" applyBorder="1">
      <alignment vertical="center"/>
    </xf>
    <xf numFmtId="0" fontId="120" fillId="38" borderId="114" xfId="0" applyFont="1" applyFill="1" applyBorder="1" applyAlignment="1" applyProtection="1">
      <alignment horizontal="right" vertical="center"/>
      <protection hidden="1"/>
    </xf>
    <xf numFmtId="0" fontId="60" fillId="39" borderId="73" xfId="0" applyFont="1" applyFill="1" applyBorder="1" applyAlignment="1" applyProtection="1">
      <alignment vertical="center"/>
      <protection hidden="1"/>
    </xf>
    <xf numFmtId="0" fontId="120" fillId="39" borderId="74" xfId="0" applyFont="1" applyFill="1" applyBorder="1" applyAlignment="1" applyProtection="1">
      <alignment vertical="center"/>
      <protection hidden="1"/>
    </xf>
    <xf numFmtId="0" fontId="120" fillId="39" borderId="74" xfId="0" applyFont="1" applyFill="1" applyBorder="1" applyAlignment="1" applyProtection="1">
      <alignment horizontal="right" vertical="center"/>
      <protection hidden="1"/>
    </xf>
    <xf numFmtId="0" fontId="121" fillId="39" borderId="74" xfId="0" applyFont="1" applyFill="1" applyBorder="1" applyAlignment="1" applyProtection="1">
      <alignment vertical="top"/>
      <protection hidden="1"/>
    </xf>
    <xf numFmtId="0" fontId="84" fillId="39" borderId="74" xfId="0" applyFont="1" applyFill="1" applyBorder="1" applyAlignment="1" applyProtection="1">
      <alignment vertical="center"/>
      <protection hidden="1"/>
    </xf>
    <xf numFmtId="0" fontId="134" fillId="39" borderId="74" xfId="0" applyFont="1" applyFill="1" applyBorder="1" applyAlignment="1" applyProtection="1">
      <alignment vertical="center"/>
      <protection hidden="1"/>
    </xf>
    <xf numFmtId="0" fontId="121" fillId="39" borderId="135" xfId="0" applyFont="1" applyFill="1" applyBorder="1" applyAlignment="1" applyProtection="1">
      <alignment horizontal="right" vertical="center"/>
      <protection hidden="1"/>
    </xf>
    <xf numFmtId="0" fontId="60" fillId="28" borderId="75" xfId="0" applyFont="1" applyFill="1" applyBorder="1" applyAlignment="1" applyProtection="1">
      <alignment vertical="center"/>
      <protection hidden="1"/>
    </xf>
    <xf numFmtId="0" fontId="120" fillId="28" borderId="81" xfId="0" applyFont="1" applyFill="1" applyBorder="1" applyAlignment="1" applyProtection="1">
      <alignment vertical="center"/>
      <protection hidden="1"/>
    </xf>
    <xf numFmtId="0" fontId="120" fillId="28" borderId="81" xfId="0" applyFont="1" applyFill="1" applyBorder="1" applyAlignment="1" applyProtection="1">
      <alignment horizontal="right" vertical="center"/>
      <protection hidden="1"/>
    </xf>
    <xf numFmtId="0" fontId="134" fillId="28" borderId="81" xfId="0" applyFont="1" applyFill="1" applyBorder="1" applyAlignment="1" applyProtection="1">
      <alignment vertical="center"/>
      <protection hidden="1"/>
    </xf>
    <xf numFmtId="0" fontId="2" fillId="28" borderId="81" xfId="0" applyFont="1" applyFill="1" applyBorder="1" applyAlignment="1" applyProtection="1">
      <alignment vertical="center"/>
      <protection hidden="1"/>
    </xf>
    <xf numFmtId="0" fontId="84" fillId="28" borderId="81" xfId="0" applyFont="1" applyFill="1" applyBorder="1" applyAlignment="1" applyProtection="1">
      <alignment vertical="center"/>
      <protection hidden="1"/>
    </xf>
    <xf numFmtId="0" fontId="2" fillId="28" borderId="110" xfId="0" applyFont="1" applyFill="1" applyBorder="1" applyAlignment="1" applyProtection="1">
      <alignment horizontal="right" vertical="center"/>
      <protection hidden="1"/>
    </xf>
    <xf numFmtId="0" fontId="103" fillId="40" borderId="75" xfId="0" applyFont="1" applyFill="1" applyBorder="1" applyAlignment="1" applyProtection="1">
      <alignment horizontal="left" vertical="center"/>
      <protection hidden="1"/>
    </xf>
    <xf numFmtId="0" fontId="103" fillId="40" borderId="81" xfId="0" applyFont="1" applyFill="1" applyBorder="1" applyAlignment="1" applyProtection="1">
      <alignment horizontal="left" vertical="center"/>
      <protection hidden="1"/>
    </xf>
    <xf numFmtId="0" fontId="103" fillId="40" borderId="81" xfId="0" applyFont="1" applyFill="1" applyBorder="1" applyAlignment="1" applyProtection="1">
      <alignment horizontal="right" vertical="center"/>
      <protection hidden="1"/>
    </xf>
    <xf numFmtId="0" fontId="37" fillId="26" borderId="81" xfId="0" applyFont="1" applyFill="1" applyBorder="1" applyAlignment="1" applyProtection="1">
      <alignment vertical="center"/>
      <protection hidden="1"/>
    </xf>
    <xf numFmtId="0" fontId="30" fillId="26" borderId="81" xfId="0" applyFont="1" applyFill="1" applyBorder="1" applyAlignment="1" applyProtection="1">
      <alignment vertical="center"/>
      <protection hidden="1"/>
    </xf>
    <xf numFmtId="0" fontId="84" fillId="26" borderId="81" xfId="0" applyFont="1" applyFill="1" applyBorder="1" applyAlignment="1" applyProtection="1">
      <alignment vertical="center"/>
      <protection hidden="1"/>
    </xf>
    <xf numFmtId="0" fontId="30" fillId="26" borderId="110" xfId="0" applyFont="1" applyFill="1" applyBorder="1" applyAlignment="1" applyProtection="1">
      <alignment horizontal="right" vertical="center"/>
      <protection hidden="1"/>
    </xf>
    <xf numFmtId="0" fontId="103" fillId="40" borderId="90" xfId="0" applyFont="1" applyFill="1" applyBorder="1" applyAlignment="1" applyProtection="1">
      <alignment horizontal="left" vertical="center"/>
      <protection hidden="1"/>
    </xf>
    <xf numFmtId="49" fontId="27" fillId="40" borderId="0" xfId="0" applyNumberFormat="1" applyFont="1" applyFill="1" applyBorder="1" applyAlignment="1" applyProtection="1">
      <alignment horizontal="left" vertical="center"/>
      <protection hidden="1"/>
    </xf>
    <xf numFmtId="49" fontId="30" fillId="40" borderId="0" xfId="0" applyNumberFormat="1" applyFont="1" applyFill="1" applyBorder="1" applyAlignment="1" applyProtection="1">
      <alignment horizontal="right" vertical="center"/>
      <protection hidden="1"/>
    </xf>
    <xf numFmtId="49" fontId="26" fillId="41" borderId="0"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left" vertical="center"/>
      <protection hidden="1"/>
    </xf>
    <xf numFmtId="49" fontId="26" fillId="41" borderId="0" xfId="0" applyNumberFormat="1" applyFont="1" applyFill="1" applyBorder="1" applyAlignment="1" applyProtection="1">
      <alignment horizontal="right" vertical="center"/>
      <protection locked="0"/>
    </xf>
    <xf numFmtId="0" fontId="30" fillId="41" borderId="0" xfId="0" applyNumberFormat="1" applyFont="1" applyFill="1" applyBorder="1" applyAlignment="1" applyProtection="1">
      <alignment horizontal="center" vertical="center"/>
      <protection locked="0"/>
    </xf>
    <xf numFmtId="0" fontId="30" fillId="0" borderId="0" xfId="0" applyNumberFormat="1" applyFont="1" applyFill="1" applyBorder="1" applyAlignment="1" applyProtection="1">
      <alignment horizontal="center" vertical="center"/>
      <protection hidden="1"/>
    </xf>
    <xf numFmtId="49" fontId="26" fillId="0" borderId="0" xfId="0" applyNumberFormat="1" applyFont="1" applyFill="1" applyBorder="1" applyAlignment="1" applyProtection="1">
      <alignment horizontal="center" vertical="center"/>
      <protection hidden="1"/>
    </xf>
    <xf numFmtId="49" fontId="26" fillId="0" borderId="88" xfId="0" applyNumberFormat="1" applyFont="1" applyFill="1" applyBorder="1" applyAlignment="1" applyProtection="1">
      <alignment horizontal="left" vertical="center"/>
      <protection hidden="1"/>
    </xf>
    <xf numFmtId="0" fontId="27" fillId="40" borderId="0" xfId="0" applyFont="1" applyFill="1" applyBorder="1" applyAlignment="1" applyProtection="1">
      <alignment vertical="center"/>
      <protection hidden="1"/>
    </xf>
    <xf numFmtId="0" fontId="30" fillId="40" borderId="0" xfId="0" applyFont="1" applyFill="1" applyBorder="1" applyAlignment="1" applyProtection="1">
      <alignment horizontal="right" vertical="center"/>
      <protection hidden="1"/>
    </xf>
    <xf numFmtId="0" fontId="30" fillId="41" borderId="0" xfId="0" applyFont="1" applyFill="1" applyBorder="1" applyAlignment="1" applyProtection="1">
      <alignment vertical="center"/>
      <protection locked="0"/>
    </xf>
    <xf numFmtId="0" fontId="30" fillId="41" borderId="0" xfId="0" applyFont="1" applyFill="1" applyBorder="1" applyAlignment="1" applyProtection="1">
      <alignment horizontal="right" vertical="center"/>
      <protection locked="0"/>
    </xf>
    <xf numFmtId="0" fontId="30" fillId="41"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hidden="1"/>
    </xf>
    <xf numFmtId="0" fontId="30" fillId="0" borderId="88" xfId="0" applyFont="1" applyFill="1" applyBorder="1" applyAlignment="1" applyProtection="1">
      <alignment vertical="center"/>
      <protection hidden="1"/>
    </xf>
    <xf numFmtId="0" fontId="78" fillId="0" borderId="0" xfId="0" applyFont="1" applyFill="1" applyProtection="1">
      <alignment vertical="center"/>
      <protection hidden="1"/>
    </xf>
    <xf numFmtId="0" fontId="78" fillId="40" borderId="90" xfId="0" applyFont="1" applyFill="1" applyBorder="1" applyProtection="1">
      <alignment vertical="center"/>
      <protection hidden="1"/>
    </xf>
    <xf numFmtId="0" fontId="27" fillId="40" borderId="0" xfId="0"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center" vertical="center"/>
      <protection hidden="1"/>
    </xf>
    <xf numFmtId="0" fontId="30" fillId="40" borderId="0" xfId="0" applyFont="1" applyFill="1" applyBorder="1" applyAlignment="1" applyProtection="1">
      <alignment horizontal="left" vertical="center"/>
      <protection hidden="1"/>
    </xf>
    <xf numFmtId="49" fontId="30" fillId="0" borderId="88" xfId="0" applyNumberFormat="1" applyFont="1" applyFill="1" applyBorder="1" applyAlignment="1" applyProtection="1">
      <alignment horizontal="left" vertical="center"/>
      <protection hidden="1"/>
    </xf>
    <xf numFmtId="0" fontId="103" fillId="40" borderId="105" xfId="0" applyFont="1" applyFill="1" applyBorder="1" applyAlignment="1" applyProtection="1">
      <alignment horizontal="left" vertical="center"/>
      <protection hidden="1"/>
    </xf>
    <xf numFmtId="0" fontId="30" fillId="41" borderId="156" xfId="0" applyFont="1" applyFill="1" applyBorder="1" applyAlignment="1" applyProtection="1">
      <alignment horizontal="left" vertical="center"/>
      <protection locked="0"/>
    </xf>
    <xf numFmtId="0" fontId="30" fillId="40" borderId="156" xfId="0" applyFont="1" applyFill="1" applyBorder="1" applyAlignment="1" applyProtection="1">
      <alignment horizontal="right" vertical="center"/>
      <protection hidden="1"/>
    </xf>
    <xf numFmtId="0" fontId="30" fillId="41" borderId="156" xfId="0" applyFont="1" applyFill="1" applyBorder="1" applyAlignment="1" applyProtection="1">
      <alignment vertical="center"/>
      <protection locked="0"/>
    </xf>
    <xf numFmtId="0" fontId="27" fillId="0" borderId="156" xfId="0" applyFont="1" applyFill="1" applyBorder="1" applyAlignment="1" applyProtection="1">
      <alignment vertical="center"/>
      <protection hidden="1"/>
    </xf>
    <xf numFmtId="0" fontId="30" fillId="41" borderId="156" xfId="0" applyFont="1" applyFill="1" applyBorder="1" applyAlignment="1" applyProtection="1">
      <alignment horizontal="right" vertical="center"/>
      <protection locked="0"/>
    </xf>
    <xf numFmtId="0" fontId="30" fillId="0" borderId="156" xfId="0" applyFont="1" applyFill="1" applyBorder="1" applyAlignment="1" applyProtection="1">
      <alignment horizontal="center" vertical="center"/>
      <protection hidden="1"/>
    </xf>
    <xf numFmtId="0" fontId="30" fillId="0" borderId="112" xfId="0" applyFont="1" applyFill="1" applyBorder="1" applyAlignment="1" applyProtection="1">
      <alignment vertical="center"/>
      <protection hidden="1"/>
    </xf>
    <xf numFmtId="0" fontId="134" fillId="28" borderId="74" xfId="0" applyFont="1" applyFill="1" applyBorder="1" applyAlignment="1" applyProtection="1">
      <alignment horizontal="left" vertical="center"/>
      <protection hidden="1"/>
    </xf>
    <xf numFmtId="0" fontId="134" fillId="28" borderId="74" xfId="0" applyFont="1" applyFill="1" applyBorder="1" applyAlignment="1" applyProtection="1">
      <alignment horizontal="right" vertical="center"/>
      <protection hidden="1"/>
    </xf>
    <xf numFmtId="0" fontId="134" fillId="28" borderId="74" xfId="0" applyFont="1" applyFill="1" applyBorder="1" applyAlignment="1" applyProtection="1">
      <alignment vertical="center"/>
      <protection hidden="1"/>
    </xf>
    <xf numFmtId="0" fontId="138" fillId="28" borderId="74" xfId="0" applyFont="1" applyFill="1" applyBorder="1" applyAlignment="1" applyProtection="1">
      <alignment vertical="center"/>
      <protection hidden="1"/>
    </xf>
    <xf numFmtId="0" fontId="138" fillId="28" borderId="135" xfId="0" applyFont="1" applyFill="1" applyBorder="1" applyAlignment="1" applyProtection="1">
      <alignment vertical="center"/>
      <protection hidden="1"/>
    </xf>
    <xf numFmtId="0" fontId="4" fillId="30" borderId="75" xfId="0" applyNumberFormat="1" applyFont="1" applyFill="1" applyBorder="1" applyAlignment="1" applyProtection="1">
      <alignment vertical="center"/>
      <protection hidden="1"/>
    </xf>
    <xf numFmtId="0" fontId="88" fillId="30" borderId="81" xfId="0" applyNumberFormat="1" applyFont="1" applyFill="1" applyBorder="1" applyAlignment="1" applyProtection="1">
      <alignment vertical="center"/>
      <protection hidden="1"/>
    </xf>
    <xf numFmtId="0" fontId="88" fillId="30" borderId="81" xfId="0" applyNumberFormat="1" applyFont="1" applyFill="1" applyBorder="1" applyAlignment="1" applyProtection="1">
      <alignment horizontal="right" vertical="center"/>
      <protection hidden="1"/>
    </xf>
    <xf numFmtId="181" fontId="107" fillId="30" borderId="81" xfId="0" applyNumberFormat="1" applyFont="1" applyFill="1" applyBorder="1" applyAlignment="1" applyProtection="1">
      <alignment horizontal="center" vertical="center"/>
      <protection hidden="1"/>
    </xf>
    <xf numFmtId="0" fontId="78" fillId="30" borderId="81" xfId="0" applyFont="1" applyFill="1" applyBorder="1" applyProtection="1">
      <alignment vertical="center"/>
      <protection hidden="1"/>
    </xf>
    <xf numFmtId="0" fontId="4" fillId="30" borderId="76" xfId="0" applyNumberFormat="1" applyFont="1" applyFill="1" applyBorder="1" applyAlignment="1" applyProtection="1">
      <alignment vertical="center"/>
      <protection hidden="1"/>
    </xf>
    <xf numFmtId="0" fontId="107" fillId="30" borderId="81" xfId="0" applyNumberFormat="1" applyFont="1" applyFill="1" applyBorder="1" applyAlignment="1" applyProtection="1">
      <alignment vertical="center"/>
      <protection hidden="1"/>
    </xf>
    <xf numFmtId="0" fontId="107" fillId="30" borderId="81" xfId="0" applyNumberFormat="1" applyFont="1" applyFill="1" applyBorder="1" applyAlignment="1" applyProtection="1">
      <alignment horizontal="right" vertical="center"/>
      <protection hidden="1"/>
    </xf>
    <xf numFmtId="0" fontId="88" fillId="30" borderId="110" xfId="0" applyNumberFormat="1" applyFont="1" applyFill="1" applyBorder="1" applyAlignment="1" applyProtection="1">
      <alignment vertical="center"/>
      <protection hidden="1"/>
    </xf>
    <xf numFmtId="0" fontId="84" fillId="0" borderId="90" xfId="0" applyFont="1" applyFill="1" applyBorder="1" applyAlignment="1" applyProtection="1">
      <alignment horizontal="left" vertical="center"/>
      <protection hidden="1"/>
    </xf>
    <xf numFmtId="0" fontId="59" fillId="41" borderId="0" xfId="0" applyNumberFormat="1" applyFont="1" applyFill="1" applyBorder="1" applyAlignment="1" applyProtection="1">
      <alignment horizontal="left" vertical="center"/>
      <protection locked="0"/>
    </xf>
    <xf numFmtId="0" fontId="139" fillId="0" borderId="0" xfId="0" applyNumberFormat="1" applyFont="1" applyFill="1" applyBorder="1" applyAlignment="1" applyProtection="1">
      <alignment horizontal="right" vertical="center"/>
      <protection hidden="1"/>
    </xf>
    <xf numFmtId="0" fontId="59" fillId="41" borderId="20" xfId="0" applyNumberFormat="1" applyFont="1" applyFill="1" applyBorder="1" applyAlignment="1" applyProtection="1">
      <alignment horizontal="left" vertical="center"/>
      <protection locked="0"/>
    </xf>
    <xf numFmtId="0" fontId="119" fillId="0" borderId="0" xfId="0" applyFont="1" applyFill="1" applyBorder="1" applyAlignment="1" applyProtection="1">
      <alignment vertical="center"/>
      <protection hidden="1"/>
    </xf>
    <xf numFmtId="0" fontId="100" fillId="0" borderId="88" xfId="0" applyFont="1" applyFill="1" applyBorder="1" applyAlignment="1" applyProtection="1">
      <alignment vertical="center"/>
      <protection hidden="1"/>
    </xf>
    <xf numFmtId="0" fontId="84" fillId="0" borderId="105" xfId="0" applyFont="1" applyFill="1" applyBorder="1" applyAlignment="1" applyProtection="1">
      <alignment horizontal="left" vertical="center"/>
      <protection hidden="1"/>
    </xf>
    <xf numFmtId="0" fontId="139" fillId="41" borderId="156" xfId="0" applyNumberFormat="1" applyFont="1" applyFill="1" applyBorder="1" applyAlignment="1" applyProtection="1">
      <alignment horizontal="left" vertical="center"/>
      <protection locked="0"/>
    </xf>
    <xf numFmtId="0" fontId="139" fillId="0" borderId="156" xfId="0" applyNumberFormat="1" applyFont="1" applyFill="1" applyBorder="1" applyAlignment="1" applyProtection="1">
      <alignment horizontal="right" vertical="center"/>
      <protection hidden="1"/>
    </xf>
    <xf numFmtId="0" fontId="139" fillId="41" borderId="120" xfId="0" applyNumberFormat="1" applyFont="1" applyFill="1" applyBorder="1" applyAlignment="1" applyProtection="1">
      <alignment horizontal="left" vertical="center"/>
      <protection locked="0"/>
    </xf>
    <xf numFmtId="0" fontId="40" fillId="0" borderId="156" xfId="0" applyFont="1" applyFill="1" applyBorder="1" applyAlignment="1" applyProtection="1">
      <alignment horizontal="left" vertical="top"/>
      <protection hidden="1"/>
    </xf>
    <xf numFmtId="0" fontId="40" fillId="0" borderId="112" xfId="0" applyFont="1" applyFill="1" applyBorder="1" applyAlignment="1" applyProtection="1">
      <alignment horizontal="left" vertical="top"/>
      <protection hidden="1"/>
    </xf>
    <xf numFmtId="177" fontId="100" fillId="0" borderId="0" xfId="0" applyNumberFormat="1" applyFont="1" applyFill="1" applyBorder="1" applyProtection="1">
      <alignment vertical="center"/>
      <protection hidden="1"/>
    </xf>
    <xf numFmtId="0" fontId="100" fillId="0" borderId="0" xfId="0" applyFont="1" applyFill="1" applyProtection="1">
      <alignment vertical="center"/>
      <protection hidden="1"/>
    </xf>
    <xf numFmtId="0" fontId="140" fillId="0" borderId="53" xfId="0" quotePrefix="1" applyNumberFormat="1" applyFont="1" applyFill="1" applyBorder="1" applyAlignment="1" applyProtection="1">
      <alignment horizontal="left" vertical="center"/>
      <protection hidden="1"/>
    </xf>
    <xf numFmtId="0" fontId="141" fillId="0" borderId="54" xfId="0" applyFont="1" applyFill="1" applyBorder="1" applyAlignment="1" applyProtection="1">
      <alignment horizontal="right" vertical="center"/>
      <protection hidden="1"/>
    </xf>
    <xf numFmtId="0" fontId="103" fillId="0" borderId="54" xfId="0" applyFont="1" applyFill="1" applyBorder="1" applyAlignment="1" applyProtection="1">
      <alignment horizontal="right" vertical="center"/>
      <protection hidden="1"/>
    </xf>
    <xf numFmtId="0" fontId="141" fillId="0" borderId="54" xfId="0" quotePrefix="1" applyNumberFormat="1" applyFont="1" applyFill="1" applyBorder="1" applyAlignment="1" applyProtection="1">
      <alignment horizontal="left" vertical="center"/>
      <protection hidden="1"/>
    </xf>
    <xf numFmtId="0" fontId="141" fillId="0" borderId="54" xfId="0" quotePrefix="1" applyNumberFormat="1" applyFont="1" applyFill="1" applyBorder="1" applyAlignment="1" applyProtection="1">
      <alignment horizontal="center" vertical="center"/>
      <protection hidden="1"/>
    </xf>
    <xf numFmtId="0" fontId="141" fillId="0" borderId="54" xfId="0" applyFont="1" applyFill="1" applyBorder="1" applyAlignment="1" applyProtection="1">
      <alignment horizontal="center" vertical="center"/>
      <protection hidden="1"/>
    </xf>
    <xf numFmtId="0" fontId="141" fillId="0" borderId="54" xfId="0" applyFont="1" applyFill="1" applyBorder="1" applyAlignment="1" applyProtection="1">
      <alignment vertical="center"/>
      <protection hidden="1"/>
    </xf>
    <xf numFmtId="0" fontId="141" fillId="0" borderId="55" xfId="0" applyFont="1" applyFill="1" applyBorder="1" applyAlignment="1" applyProtection="1">
      <alignment vertical="center"/>
      <protection hidden="1"/>
    </xf>
    <xf numFmtId="0" fontId="140" fillId="0" borderId="20" xfId="0" quotePrefix="1" applyNumberFormat="1" applyFont="1" applyFill="1" applyBorder="1" applyAlignment="1" applyProtection="1">
      <alignment horizontal="left" vertical="center"/>
      <protection hidden="1"/>
    </xf>
    <xf numFmtId="0" fontId="142" fillId="0" borderId="0" xfId="0" applyFont="1" applyFill="1" applyBorder="1" applyAlignment="1" applyProtection="1">
      <alignment horizontal="right" vertical="center"/>
      <protection hidden="1"/>
    </xf>
    <xf numFmtId="0" fontId="141" fillId="0" borderId="0" xfId="0" applyNumberFormat="1" applyFont="1" applyFill="1" applyBorder="1" applyAlignment="1" applyProtection="1">
      <alignment horizontal="center" vertical="center"/>
      <protection hidden="1"/>
    </xf>
    <xf numFmtId="0" fontId="141" fillId="0" borderId="0" xfId="0" applyFont="1" applyFill="1" applyBorder="1" applyAlignment="1" applyProtection="1">
      <alignment horizontal="right" vertical="center"/>
      <protection hidden="1"/>
    </xf>
    <xf numFmtId="0" fontId="104" fillId="0" borderId="0" xfId="0" applyFont="1" applyBorder="1" applyAlignment="1" applyProtection="1">
      <alignment vertical="center"/>
      <protection hidden="1"/>
    </xf>
    <xf numFmtId="0" fontId="104" fillId="0" borderId="0" xfId="0" applyFont="1" applyBorder="1" applyAlignment="1" applyProtection="1">
      <alignment horizontal="center" vertical="center"/>
      <protection hidden="1"/>
    </xf>
    <xf numFmtId="0" fontId="141" fillId="0" borderId="0" xfId="0" applyNumberFormat="1" applyFont="1" applyFill="1" applyBorder="1" applyAlignment="1" applyProtection="1">
      <alignment horizontal="right" vertical="center"/>
      <protection hidden="1"/>
    </xf>
    <xf numFmtId="0" fontId="84" fillId="0" borderId="0" xfId="0" applyFont="1" applyBorder="1" applyAlignment="1" applyProtection="1">
      <alignment vertical="center"/>
      <protection hidden="1"/>
    </xf>
    <xf numFmtId="0" fontId="141" fillId="0" borderId="0" xfId="0" applyFont="1" applyBorder="1" applyAlignment="1" applyProtection="1">
      <alignment horizontal="center" vertical="center"/>
      <protection hidden="1"/>
    </xf>
    <xf numFmtId="0" fontId="141" fillId="0" borderId="153" xfId="0" applyFont="1" applyFill="1" applyBorder="1" applyAlignment="1" applyProtection="1">
      <alignment horizontal="right" vertical="center"/>
      <protection hidden="1"/>
    </xf>
    <xf numFmtId="0" fontId="142" fillId="0" borderId="0" xfId="0" applyNumberFormat="1" applyFont="1" applyFill="1" applyBorder="1" applyAlignment="1" applyProtection="1">
      <alignment horizontal="left" vertical="center"/>
      <protection hidden="1"/>
    </xf>
    <xf numFmtId="0" fontId="142" fillId="0" borderId="0" xfId="0" quotePrefix="1" applyNumberFormat="1" applyFont="1" applyFill="1" applyBorder="1" applyAlignment="1" applyProtection="1">
      <alignment horizontal="left" vertical="center"/>
      <protection hidden="1"/>
    </xf>
    <xf numFmtId="0" fontId="84" fillId="0" borderId="0" xfId="0" quotePrefix="1" applyNumberFormat="1" applyFont="1" applyFill="1" applyBorder="1" applyAlignment="1" applyProtection="1">
      <alignment horizontal="left" vertical="center"/>
      <protection hidden="1"/>
    </xf>
    <xf numFmtId="0" fontId="50" fillId="0" borderId="0" xfId="0" quotePrefix="1"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84" fillId="0" borderId="153" xfId="0" applyFont="1" applyFill="1" applyBorder="1" applyAlignment="1" applyProtection="1">
      <alignment vertical="center"/>
      <protection hidden="1"/>
    </xf>
    <xf numFmtId="0" fontId="103" fillId="0" borderId="20" xfId="0" applyFont="1" applyFill="1" applyBorder="1" applyAlignment="1" applyProtection="1">
      <alignment horizontal="left" vertical="center"/>
      <protection hidden="1"/>
    </xf>
    <xf numFmtId="0" fontId="142" fillId="0" borderId="0" xfId="0" applyFont="1" applyFill="1" applyBorder="1" applyAlignment="1" applyProtection="1">
      <alignment horizontal="left" vertical="center"/>
      <protection hidden="1"/>
    </xf>
    <xf numFmtId="0" fontId="142" fillId="0" borderId="0" xfId="0" applyFont="1" applyBorder="1" applyAlignment="1" applyProtection="1">
      <alignment horizontal="left" vertical="center"/>
      <protection hidden="1"/>
    </xf>
    <xf numFmtId="0" fontId="50" fillId="0" borderId="0" xfId="0" applyFont="1" applyFill="1" applyBorder="1" applyAlignment="1" applyProtection="1">
      <alignment vertical="center"/>
      <protection hidden="1"/>
    </xf>
    <xf numFmtId="0" fontId="103" fillId="0" borderId="24" xfId="0" applyFont="1" applyFill="1" applyBorder="1" applyAlignment="1" applyProtection="1">
      <alignment horizontal="left" vertical="center"/>
      <protection hidden="1"/>
    </xf>
    <xf numFmtId="0" fontId="142" fillId="0" borderId="59" xfId="0" applyFont="1" applyFill="1" applyBorder="1" applyAlignment="1" applyProtection="1">
      <alignment horizontal="right" vertical="center"/>
      <protection hidden="1"/>
    </xf>
    <xf numFmtId="0" fontId="142" fillId="0" borderId="59" xfId="0" applyFont="1" applyFill="1" applyBorder="1" applyAlignment="1" applyProtection="1">
      <alignment horizontal="left" vertical="center"/>
      <protection hidden="1"/>
    </xf>
    <xf numFmtId="0" fontId="103" fillId="0" borderId="59" xfId="0" applyFont="1" applyBorder="1" applyAlignment="1" applyProtection="1">
      <alignment vertical="center"/>
      <protection hidden="1"/>
    </xf>
    <xf numFmtId="0" fontId="104" fillId="0" borderId="59" xfId="0" applyFont="1" applyBorder="1" applyAlignment="1" applyProtection="1">
      <alignment vertical="center"/>
      <protection hidden="1"/>
    </xf>
    <xf numFmtId="0" fontId="50" fillId="0" borderId="59" xfId="0" applyFont="1" applyFill="1" applyBorder="1" applyAlignment="1" applyProtection="1">
      <alignment vertical="center"/>
      <protection hidden="1"/>
    </xf>
    <xf numFmtId="0" fontId="104" fillId="0" borderId="59" xfId="0" applyFont="1" applyBorder="1" applyAlignment="1" applyProtection="1">
      <alignment horizontal="center" vertical="center"/>
      <protection hidden="1"/>
    </xf>
    <xf numFmtId="0" fontId="84" fillId="0" borderId="59" xfId="0" applyFont="1" applyBorder="1" applyAlignment="1" applyProtection="1">
      <alignment vertical="center"/>
      <protection hidden="1"/>
    </xf>
    <xf numFmtId="0" fontId="84" fillId="0" borderId="60"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50" fillId="0" borderId="0" xfId="0" applyFont="1" applyBorder="1" applyAlignment="1" applyProtection="1">
      <alignment vertical="center"/>
      <protection hidden="1"/>
    </xf>
    <xf numFmtId="0" fontId="84" fillId="0" borderId="0" xfId="0" applyFont="1" applyFill="1" applyBorder="1" applyAlignment="1" applyProtection="1">
      <alignment horizontal="left" vertical="center"/>
      <protection hidden="1"/>
    </xf>
    <xf numFmtId="0" fontId="143"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right" vertical="center"/>
      <protection hidden="1"/>
    </xf>
    <xf numFmtId="0" fontId="143" fillId="0" borderId="0" xfId="0" quotePrefix="1" applyNumberFormat="1" applyFont="1" applyFill="1" applyBorder="1" applyAlignment="1" applyProtection="1">
      <alignment horizontal="right" vertical="center"/>
      <protection hidden="1"/>
    </xf>
    <xf numFmtId="0" fontId="100" fillId="35" borderId="190" xfId="0" applyFont="1" applyFill="1" applyBorder="1" applyProtection="1">
      <alignment vertical="center"/>
      <protection hidden="1"/>
    </xf>
    <xf numFmtId="56" fontId="107" fillId="35" borderId="191" xfId="0" applyNumberFormat="1" applyFont="1" applyFill="1" applyBorder="1" applyProtection="1">
      <alignment vertical="center"/>
      <protection hidden="1"/>
    </xf>
    <xf numFmtId="49" fontId="27" fillId="0" borderId="82" xfId="0" applyNumberFormat="1" applyFont="1" applyFill="1" applyBorder="1" applyAlignment="1" applyProtection="1">
      <alignment horizontal="left" vertical="center"/>
      <protection hidden="1"/>
    </xf>
    <xf numFmtId="3" fontId="26" fillId="0" borderId="79" xfId="0" applyNumberFormat="1" applyFont="1" applyFill="1" applyBorder="1" applyAlignment="1" applyProtection="1">
      <alignment horizontal="left" vertical="center"/>
      <protection hidden="1"/>
    </xf>
    <xf numFmtId="3" fontId="27" fillId="0" borderId="192" xfId="0" applyNumberFormat="1" applyFont="1" applyFill="1" applyBorder="1" applyAlignment="1" applyProtection="1">
      <alignment vertical="center"/>
      <protection hidden="1"/>
    </xf>
    <xf numFmtId="0" fontId="100" fillId="0" borderId="80" xfId="0" applyFont="1" applyFill="1" applyBorder="1" applyProtection="1">
      <alignment vertical="center"/>
      <protection hidden="1"/>
    </xf>
    <xf numFmtId="0" fontId="84" fillId="0" borderId="75" xfId="0" applyFont="1" applyFill="1" applyBorder="1" applyAlignment="1" applyProtection="1">
      <alignment vertical="center"/>
      <protection hidden="1"/>
    </xf>
    <xf numFmtId="0" fontId="27" fillId="0" borderId="182" xfId="0" applyNumberFormat="1" applyFont="1" applyFill="1" applyBorder="1" applyAlignment="1" applyProtection="1">
      <alignment horizontal="right" vertical="center"/>
      <protection hidden="1"/>
    </xf>
    <xf numFmtId="0" fontId="27" fillId="0" borderId="105" xfId="0" applyFont="1" applyFill="1" applyBorder="1" applyAlignment="1" applyProtection="1">
      <alignment horizontal="left" vertical="center"/>
      <protection hidden="1"/>
    </xf>
    <xf numFmtId="37" fontId="30" fillId="0" borderId="156" xfId="0" applyNumberFormat="1" applyFont="1" applyFill="1" applyBorder="1" applyAlignment="1" applyProtection="1">
      <alignment horizontal="left" vertical="center"/>
      <protection hidden="1"/>
    </xf>
    <xf numFmtId="0" fontId="75" fillId="0" borderId="193" xfId="0" applyFont="1" applyFill="1" applyBorder="1" applyProtection="1">
      <alignment vertical="center"/>
      <protection hidden="1"/>
    </xf>
    <xf numFmtId="37" fontId="27" fillId="0" borderId="156" xfId="0" applyNumberFormat="1" applyFont="1" applyFill="1" applyBorder="1" applyAlignment="1" applyProtection="1">
      <alignment horizontal="right" vertical="center"/>
      <protection hidden="1"/>
    </xf>
    <xf numFmtId="0" fontId="27" fillId="0" borderId="156" xfId="0" applyFont="1" applyFill="1" applyBorder="1" applyAlignment="1" applyProtection="1">
      <alignment horizontal="left" vertical="center"/>
      <protection hidden="1"/>
    </xf>
    <xf numFmtId="0" fontId="100" fillId="0" borderId="112" xfId="0" applyFont="1" applyFill="1" applyBorder="1" applyProtection="1">
      <alignment vertical="center"/>
      <protection hidden="1"/>
    </xf>
    <xf numFmtId="3" fontId="71" fillId="0" borderId="105" xfId="0" applyNumberFormat="1" applyFont="1" applyFill="1" applyBorder="1" applyAlignment="1" applyProtection="1">
      <alignment horizontal="left" vertical="center"/>
      <protection hidden="1"/>
    </xf>
    <xf numFmtId="3" fontId="71" fillId="0" borderId="156" xfId="0" applyNumberFormat="1" applyFont="1" applyFill="1" applyBorder="1" applyAlignment="1" applyProtection="1">
      <alignment horizontal="right" vertical="center" indent="1"/>
      <protection hidden="1"/>
    </xf>
    <xf numFmtId="0" fontId="71" fillId="0" borderId="156" xfId="0" applyFont="1" applyFill="1" applyBorder="1" applyProtection="1">
      <alignment vertical="center"/>
      <protection hidden="1"/>
    </xf>
    <xf numFmtId="0" fontId="71" fillId="0" borderId="112" xfId="0" applyFont="1" applyFill="1" applyBorder="1" applyProtection="1">
      <alignment vertical="center"/>
      <protection hidden="1"/>
    </xf>
    <xf numFmtId="0" fontId="100" fillId="0" borderId="183" xfId="0" applyFont="1" applyFill="1" applyBorder="1" applyProtection="1">
      <alignment vertical="center"/>
      <protection hidden="1"/>
    </xf>
    <xf numFmtId="0" fontId="47" fillId="0" borderId="0" xfId="0" applyFont="1" applyFill="1" applyBorder="1" applyAlignment="1" applyProtection="1">
      <alignment vertical="top" wrapText="1"/>
      <protection hidden="1"/>
    </xf>
    <xf numFmtId="0" fontId="47" fillId="0" borderId="88" xfId="0" applyFont="1" applyFill="1" applyBorder="1" applyAlignment="1" applyProtection="1">
      <alignment vertical="top" wrapText="1"/>
      <protection hidden="1"/>
    </xf>
    <xf numFmtId="0" fontId="112" fillId="0" borderId="0" xfId="0" applyFont="1" applyFill="1" applyBorder="1" applyProtection="1">
      <alignment vertical="center"/>
      <protection hidden="1"/>
    </xf>
    <xf numFmtId="3" fontId="71" fillId="0" borderId="153" xfId="0" applyNumberFormat="1" applyFont="1" applyFill="1" applyBorder="1" applyAlignment="1" applyProtection="1">
      <alignment horizontal="right" vertical="center" indent="1"/>
      <protection hidden="1"/>
    </xf>
    <xf numFmtId="0" fontId="71" fillId="0" borderId="0" xfId="0" applyFont="1" applyFill="1" applyBorder="1" applyProtection="1">
      <alignment vertical="center"/>
      <protection hidden="1"/>
    </xf>
    <xf numFmtId="0" fontId="71" fillId="0" borderId="88" xfId="0" applyFont="1" applyFill="1" applyBorder="1" applyProtection="1">
      <alignment vertical="center"/>
      <protection hidden="1"/>
    </xf>
    <xf numFmtId="0" fontId="112" fillId="0" borderId="90" xfId="0" applyFont="1" applyFill="1" applyBorder="1" applyProtection="1">
      <alignment vertical="center"/>
      <protection hidden="1"/>
    </xf>
    <xf numFmtId="3" fontId="145" fillId="0" borderId="0" xfId="0" applyNumberFormat="1" applyFont="1" applyFill="1" applyBorder="1" applyAlignment="1" applyProtection="1">
      <alignment horizontal="left" vertical="center"/>
      <protection hidden="1"/>
    </xf>
    <xf numFmtId="0" fontId="47" fillId="0" borderId="183" xfId="0" applyFont="1" applyFill="1" applyBorder="1" applyAlignment="1" applyProtection="1">
      <alignment vertical="top" wrapText="1"/>
      <protection hidden="1"/>
    </xf>
    <xf numFmtId="0" fontId="0" fillId="0" borderId="153" xfId="0" applyBorder="1">
      <alignment vertical="center"/>
    </xf>
    <xf numFmtId="0" fontId="112" fillId="0" borderId="105" xfId="0" applyFont="1" applyFill="1" applyBorder="1" applyProtection="1">
      <alignment vertical="center"/>
      <protection hidden="1"/>
    </xf>
    <xf numFmtId="3" fontId="146" fillId="0" borderId="156" xfId="0" applyNumberFormat="1" applyFont="1" applyFill="1" applyBorder="1" applyAlignment="1" applyProtection="1">
      <alignment horizontal="left" vertical="center"/>
      <protection hidden="1"/>
    </xf>
    <xf numFmtId="0" fontId="47" fillId="0" borderId="193"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47" fillId="0" borderId="112" xfId="0" applyFont="1" applyFill="1" applyBorder="1" applyAlignment="1" applyProtection="1">
      <alignment vertical="top" wrapText="1"/>
      <protection hidden="1"/>
    </xf>
    <xf numFmtId="0" fontId="0" fillId="0" borderId="177" xfId="0" applyBorder="1">
      <alignment vertical="center"/>
    </xf>
    <xf numFmtId="0" fontId="112" fillId="0" borderId="156" xfId="0" applyFont="1" applyFill="1" applyBorder="1" applyProtection="1">
      <alignment vertical="center"/>
      <protection hidden="1"/>
    </xf>
    <xf numFmtId="3" fontId="71" fillId="0" borderId="177" xfId="0" applyNumberFormat="1" applyFont="1" applyFill="1" applyBorder="1" applyAlignment="1" applyProtection="1">
      <alignment horizontal="right" vertical="center" indent="1"/>
      <protection hidden="1"/>
    </xf>
    <xf numFmtId="0" fontId="35" fillId="0" borderId="0"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top"/>
      <protection hidden="1"/>
    </xf>
    <xf numFmtId="0" fontId="47" fillId="0" borderId="0" xfId="0" applyFont="1" applyFill="1" applyBorder="1" applyAlignment="1" applyProtection="1">
      <alignment horizontal="left" vertical="top"/>
      <protection hidden="1"/>
    </xf>
    <xf numFmtId="0" fontId="109" fillId="0" borderId="194" xfId="0" applyFont="1" applyFill="1" applyBorder="1" applyProtection="1">
      <alignment vertical="center"/>
      <protection hidden="1"/>
    </xf>
    <xf numFmtId="0" fontId="109" fillId="0" borderId="78" xfId="0" applyFont="1" applyFill="1" applyBorder="1" applyProtection="1">
      <alignment vertical="center"/>
      <protection hidden="1"/>
    </xf>
    <xf numFmtId="0" fontId="75" fillId="0" borderId="82" xfId="0" applyNumberFormat="1" applyFont="1" applyFill="1" applyBorder="1" applyAlignment="1" applyProtection="1">
      <alignment horizontal="centerContinuous" vertical="center"/>
      <protection hidden="1"/>
    </xf>
    <xf numFmtId="0" fontId="100" fillId="0" borderId="80" xfId="0" applyNumberFormat="1" applyFont="1" applyFill="1" applyBorder="1" applyAlignment="1" applyProtection="1">
      <alignment horizontal="centerContinuous" vertical="center"/>
      <protection hidden="1"/>
    </xf>
    <xf numFmtId="49" fontId="41" fillId="0" borderId="82" xfId="0" applyNumberFormat="1" applyFont="1" applyFill="1" applyBorder="1" applyAlignment="1" applyProtection="1">
      <alignment horizontal="left" vertical="center"/>
      <protection hidden="1"/>
    </xf>
    <xf numFmtId="3" fontId="41" fillId="0" borderId="79" xfId="0" applyNumberFormat="1" applyFont="1" applyFill="1" applyBorder="1" applyAlignment="1" applyProtection="1">
      <alignment vertical="center"/>
      <protection hidden="1"/>
    </xf>
    <xf numFmtId="0" fontId="26" fillId="0" borderId="80" xfId="0" applyFont="1" applyFill="1" applyBorder="1" applyProtection="1">
      <alignment vertical="center"/>
      <protection hidden="1"/>
    </xf>
    <xf numFmtId="0" fontId="26" fillId="0" borderId="82" xfId="0" applyFont="1" applyFill="1" applyBorder="1" applyAlignment="1" applyProtection="1">
      <alignment vertical="center"/>
      <protection hidden="1"/>
    </xf>
    <xf numFmtId="0" fontId="7" fillId="0" borderId="45" xfId="0" applyFont="1" applyFill="1" applyBorder="1" applyAlignment="1" applyProtection="1">
      <alignment horizontal="left" vertical="center" indent="1"/>
      <protection hidden="1"/>
    </xf>
    <xf numFmtId="0" fontId="26" fillId="0" borderId="80" xfId="0" applyFont="1" applyFill="1" applyBorder="1" applyAlignment="1" applyProtection="1">
      <alignment vertical="center"/>
      <protection hidden="1"/>
    </xf>
    <xf numFmtId="0" fontId="100" fillId="0" borderId="50" xfId="0" applyFont="1" applyFill="1" applyBorder="1" applyProtection="1">
      <alignment vertical="center"/>
      <protection hidden="1"/>
    </xf>
    <xf numFmtId="0" fontId="100" fillId="0" borderId="67" xfId="0" applyFont="1" applyFill="1" applyBorder="1" applyProtection="1">
      <alignment vertical="center"/>
      <protection hidden="1"/>
    </xf>
    <xf numFmtId="0" fontId="100" fillId="0" borderId="68" xfId="0" applyFont="1" applyFill="1" applyBorder="1" applyProtection="1">
      <alignment vertical="center"/>
      <protection hidden="1"/>
    </xf>
    <xf numFmtId="0" fontId="6" fillId="0" borderId="52" xfId="0" applyNumberFormat="1" applyFont="1" applyFill="1" applyBorder="1" applyProtection="1">
      <alignment vertical="center"/>
      <protection hidden="1"/>
    </xf>
    <xf numFmtId="0" fontId="109" fillId="0" borderId="50" xfId="0" applyFont="1" applyFill="1" applyBorder="1" applyProtection="1">
      <alignment vertical="center"/>
      <protection hidden="1"/>
    </xf>
    <xf numFmtId="0" fontId="109" fillId="0" borderId="67" xfId="0" applyFont="1" applyFill="1" applyBorder="1" applyProtection="1">
      <alignment vertical="center"/>
      <protection hidden="1"/>
    </xf>
    <xf numFmtId="0" fontId="109" fillId="0" borderId="68" xfId="0" applyFont="1" applyFill="1" applyBorder="1" applyProtection="1">
      <alignment vertical="center"/>
      <protection hidden="1"/>
    </xf>
    <xf numFmtId="0" fontId="100" fillId="0" borderId="52" xfId="0" applyNumberFormat="1" applyFont="1" applyFill="1" applyBorder="1" applyProtection="1">
      <alignment vertical="center"/>
      <protection hidden="1"/>
    </xf>
    <xf numFmtId="0" fontId="27" fillId="0" borderId="104" xfId="0" applyNumberFormat="1" applyFont="1" applyFill="1" applyBorder="1" applyAlignment="1" applyProtection="1">
      <alignment vertical="center"/>
      <protection hidden="1"/>
    </xf>
    <xf numFmtId="0" fontId="26" fillId="0" borderId="195" xfId="0" applyNumberFormat="1" applyFont="1" applyFill="1" applyBorder="1" applyAlignment="1" applyProtection="1">
      <alignment horizontal="left" vertical="center"/>
      <protection hidden="1"/>
    </xf>
    <xf numFmtId="0" fontId="30" fillId="0" borderId="54" xfId="0" applyNumberFormat="1" applyFont="1" applyFill="1" applyBorder="1" applyAlignment="1" applyProtection="1">
      <alignment horizontal="left" vertical="center"/>
      <protection hidden="1"/>
    </xf>
    <xf numFmtId="0" fontId="26" fillId="0" borderId="54" xfId="0" applyNumberFormat="1" applyFont="1" applyFill="1" applyBorder="1" applyAlignment="1" applyProtection="1">
      <alignment horizontal="left" vertical="center"/>
      <protection hidden="1"/>
    </xf>
    <xf numFmtId="0" fontId="30" fillId="0" borderId="114" xfId="0" applyNumberFormat="1" applyFont="1" applyFill="1" applyBorder="1" applyProtection="1">
      <alignment vertical="center"/>
      <protection hidden="1"/>
    </xf>
    <xf numFmtId="0" fontId="27" fillId="0" borderId="104" xfId="0" applyNumberFormat="1" applyFont="1" applyFill="1" applyBorder="1" applyAlignment="1" applyProtection="1">
      <alignment horizontal="left" vertical="center"/>
      <protection hidden="1"/>
    </xf>
    <xf numFmtId="0" fontId="30" fillId="0" borderId="195" xfId="0" applyNumberFormat="1" applyFont="1" applyFill="1" applyBorder="1" applyAlignment="1" applyProtection="1">
      <alignment horizontal="left" vertical="center"/>
      <protection hidden="1"/>
    </xf>
    <xf numFmtId="0" fontId="30" fillId="0" borderId="54" xfId="0" applyNumberFormat="1" applyFont="1" applyFill="1" applyBorder="1" applyAlignment="1" applyProtection="1">
      <alignment vertical="center"/>
      <protection hidden="1"/>
    </xf>
    <xf numFmtId="0" fontId="30" fillId="0" borderId="114" xfId="0" applyNumberFormat="1" applyFont="1" applyFill="1" applyBorder="1" applyAlignment="1" applyProtection="1">
      <alignment horizontal="left" vertical="center"/>
      <protection hidden="1"/>
    </xf>
    <xf numFmtId="0" fontId="30" fillId="0" borderId="104" xfId="0" applyNumberFormat="1" applyFont="1" applyFill="1" applyBorder="1" applyProtection="1">
      <alignment vertical="center"/>
      <protection hidden="1"/>
    </xf>
    <xf numFmtId="0" fontId="30" fillId="0" borderId="195" xfId="0" applyNumberFormat="1" applyFont="1" applyFill="1" applyBorder="1" applyProtection="1">
      <alignment vertical="center"/>
      <protection hidden="1"/>
    </xf>
    <xf numFmtId="0" fontId="75" fillId="0" borderId="52" xfId="0" applyFont="1" applyFill="1" applyBorder="1" applyProtection="1">
      <alignment vertical="center"/>
      <protection hidden="1"/>
    </xf>
    <xf numFmtId="176" fontId="75" fillId="0" borderId="67" xfId="0" applyNumberFormat="1" applyFont="1" applyFill="1" applyBorder="1" applyAlignment="1" applyProtection="1">
      <protection hidden="1"/>
    </xf>
    <xf numFmtId="176" fontId="75" fillId="0" borderId="68" xfId="0" applyNumberFormat="1" applyFont="1" applyFill="1" applyBorder="1" applyAlignment="1" applyProtection="1">
      <protection hidden="1"/>
    </xf>
    <xf numFmtId="0" fontId="27" fillId="0" borderId="90" xfId="0" applyNumberFormat="1" applyFont="1" applyFill="1" applyBorder="1" applyAlignment="1" applyProtection="1">
      <alignment vertical="center"/>
      <protection hidden="1"/>
    </xf>
    <xf numFmtId="0" fontId="30" fillId="0" borderId="196" xfId="0" applyNumberFormat="1" applyFont="1" applyFill="1" applyBorder="1" applyAlignment="1" applyProtection="1">
      <alignment horizontal="left" vertical="center"/>
      <protection hidden="1"/>
    </xf>
    <xf numFmtId="0" fontId="30" fillId="0" borderId="88" xfId="0" applyNumberFormat="1" applyFont="1" applyFill="1" applyBorder="1" applyProtection="1">
      <alignment vertical="center"/>
      <protection hidden="1"/>
    </xf>
    <xf numFmtId="0" fontId="27" fillId="0" borderId="9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vertical="center"/>
      <protection hidden="1"/>
    </xf>
    <xf numFmtId="0" fontId="30" fillId="0" borderId="88" xfId="0" applyNumberFormat="1" applyFont="1" applyFill="1" applyBorder="1" applyAlignment="1" applyProtection="1">
      <alignment horizontal="left" vertical="center"/>
      <protection hidden="1"/>
    </xf>
    <xf numFmtId="0" fontId="30" fillId="0" borderId="90" xfId="0" applyNumberFormat="1" applyFont="1" applyFill="1" applyBorder="1" applyProtection="1">
      <alignment vertical="center"/>
      <protection locked="0"/>
    </xf>
    <xf numFmtId="0" fontId="30" fillId="0" borderId="196" xfId="0" applyNumberFormat="1" applyFont="1" applyFill="1" applyBorder="1" applyProtection="1">
      <alignment vertical="center"/>
      <protection hidden="1"/>
    </xf>
    <xf numFmtId="0" fontId="75" fillId="0" borderId="50" xfId="0" applyNumberFormat="1" applyFont="1" applyFill="1" applyBorder="1" applyProtection="1">
      <alignment vertical="center"/>
      <protection hidden="1"/>
    </xf>
    <xf numFmtId="0" fontId="75" fillId="0" borderId="67" xfId="0" applyNumberFormat="1" applyFont="1" applyFill="1" applyBorder="1" applyProtection="1">
      <alignment vertical="center"/>
      <protection hidden="1"/>
    </xf>
    <xf numFmtId="38" fontId="75" fillId="0" borderId="68" xfId="35" applyFont="1" applyFill="1" applyBorder="1" applyProtection="1">
      <alignment vertical="center"/>
      <protection hidden="1"/>
    </xf>
    <xf numFmtId="0" fontId="26" fillId="0" borderId="196" xfId="0" applyNumberFormat="1" applyFont="1" applyFill="1" applyBorder="1" applyAlignment="1" applyProtection="1">
      <alignment horizontal="left" vertical="center"/>
      <protection hidden="1"/>
    </xf>
    <xf numFmtId="55" fontId="30" fillId="0" borderId="0" xfId="0" applyNumberFormat="1" applyFont="1" applyFill="1" applyBorder="1" applyAlignment="1" applyProtection="1">
      <alignment horizontal="left" vertical="center"/>
      <protection locked="0"/>
    </xf>
    <xf numFmtId="0" fontId="147" fillId="0" borderId="196" xfId="0" applyNumberFormat="1" applyFont="1" applyFill="1" applyBorder="1" applyAlignment="1" applyProtection="1">
      <alignment horizontal="left" vertical="center"/>
      <protection locked="0"/>
    </xf>
    <xf numFmtId="0" fontId="27" fillId="0" borderId="0" xfId="0" applyNumberFormat="1" applyFont="1" applyFill="1" applyBorder="1" applyProtection="1">
      <alignment vertical="center"/>
      <protection locked="0"/>
    </xf>
    <xf numFmtId="0" fontId="27" fillId="0" borderId="88" xfId="0" applyNumberFormat="1" applyFont="1" applyFill="1" applyBorder="1" applyProtection="1">
      <alignment vertical="center"/>
      <protection locked="0"/>
    </xf>
    <xf numFmtId="0" fontId="111" fillId="0" borderId="0" xfId="0" applyNumberFormat="1" applyFont="1" applyFill="1" applyBorder="1" applyProtection="1">
      <alignment vertical="center"/>
      <protection hidden="1"/>
    </xf>
    <xf numFmtId="40" fontId="30" fillId="0" borderId="0" xfId="0" applyNumberFormat="1" applyFont="1" applyBorder="1">
      <alignment vertical="center"/>
    </xf>
    <xf numFmtId="0" fontId="30" fillId="0" borderId="196" xfId="0" applyNumberFormat="1" applyFont="1" applyFill="1" applyBorder="1" applyAlignment="1" applyProtection="1">
      <alignment horizontal="left" vertical="center"/>
      <protection locked="0"/>
    </xf>
    <xf numFmtId="0" fontId="75" fillId="0" borderId="68" xfId="0" applyNumberFormat="1" applyFont="1" applyFill="1" applyBorder="1" applyProtection="1">
      <alignment vertical="center"/>
      <protection hidden="1"/>
    </xf>
    <xf numFmtId="0" fontId="75" fillId="0" borderId="50" xfId="0" applyFont="1" applyFill="1" applyBorder="1" applyProtection="1">
      <alignment vertical="center"/>
      <protection hidden="1"/>
    </xf>
    <xf numFmtId="185" fontId="80" fillId="0" borderId="67" xfId="0" applyNumberFormat="1" applyFont="1" applyFill="1" applyBorder="1" applyAlignment="1" applyProtection="1">
      <alignment horizontal="center" vertical="center"/>
      <protection hidden="1"/>
    </xf>
    <xf numFmtId="185" fontId="80" fillId="0" borderId="68" xfId="0" applyNumberFormat="1" applyFont="1" applyFill="1" applyBorder="1" applyAlignment="1" applyProtection="1">
      <alignment horizontal="center" vertical="center"/>
      <protection hidden="1"/>
    </xf>
    <xf numFmtId="0" fontId="30" fillId="0" borderId="0" xfId="0" applyNumberFormat="1" applyFont="1" applyBorder="1">
      <alignment vertical="center"/>
    </xf>
    <xf numFmtId="0" fontId="27" fillId="0" borderId="0" xfId="0" applyNumberFormat="1" applyFont="1" applyFill="1" applyBorder="1" applyProtection="1">
      <alignment vertical="center"/>
      <protection hidden="1"/>
    </xf>
    <xf numFmtId="185" fontId="80" fillId="0" borderId="90" xfId="0" applyNumberFormat="1" applyFont="1" applyFill="1" applyBorder="1" applyAlignment="1" applyProtection="1">
      <alignment horizontal="center" vertical="center"/>
      <protection hidden="1"/>
    </xf>
    <xf numFmtId="185" fontId="80" fillId="0" borderId="88" xfId="0" applyNumberFormat="1" applyFont="1" applyFill="1" applyBorder="1" applyAlignment="1" applyProtection="1">
      <alignment horizontal="center" vertical="center"/>
      <protection hidden="1"/>
    </xf>
    <xf numFmtId="176" fontId="75" fillId="0" borderId="197" xfId="0" applyNumberFormat="1" applyFont="1" applyFill="1" applyBorder="1" applyAlignment="1" applyProtection="1">
      <protection hidden="1"/>
    </xf>
    <xf numFmtId="176" fontId="75" fillId="0" borderId="198" xfId="0" applyNumberFormat="1" applyFont="1" applyFill="1" applyBorder="1" applyAlignment="1" applyProtection="1">
      <protection hidden="1"/>
    </xf>
    <xf numFmtId="0" fontId="30" fillId="0" borderId="0" xfId="0" applyNumberFormat="1" applyFont="1" applyFill="1" applyBorder="1" applyProtection="1">
      <alignment vertical="center"/>
      <protection hidden="1"/>
    </xf>
    <xf numFmtId="0" fontId="30" fillId="0" borderId="0" xfId="0" applyNumberFormat="1" applyFont="1" applyFill="1" applyBorder="1" applyAlignment="1" applyProtection="1">
      <alignment horizontal="right" vertical="center"/>
      <protection hidden="1"/>
    </xf>
    <xf numFmtId="0" fontId="30" fillId="0" borderId="196" xfId="0" applyNumberFormat="1" applyFont="1" applyFill="1" applyBorder="1" applyProtection="1">
      <alignment vertical="center"/>
      <protection locked="0"/>
    </xf>
    <xf numFmtId="185" fontId="0" fillId="0" borderId="67" xfId="0" applyNumberFormat="1" applyFill="1" applyBorder="1" applyProtection="1">
      <alignment vertical="center"/>
      <protection hidden="1"/>
    </xf>
    <xf numFmtId="185" fontId="0" fillId="0" borderId="68" xfId="0" applyNumberFormat="1" applyFill="1" applyBorder="1" applyProtection="1">
      <alignment vertical="center"/>
      <protection hidden="1"/>
    </xf>
    <xf numFmtId="0" fontId="27" fillId="0" borderId="0" xfId="0" applyNumberFormat="1" applyFont="1" applyFill="1" applyBorder="1" applyAlignment="1" applyProtection="1">
      <alignment vertical="center"/>
      <protection hidden="1"/>
    </xf>
    <xf numFmtId="185" fontId="0" fillId="0" borderId="197" xfId="0" applyNumberFormat="1" applyFill="1" applyBorder="1" applyProtection="1">
      <alignment vertical="center"/>
      <protection hidden="1"/>
    </xf>
    <xf numFmtId="185" fontId="0" fillId="0" borderId="107" xfId="0" applyNumberFormat="1" applyFill="1" applyBorder="1" applyProtection="1">
      <alignment vertical="center"/>
      <protection hidden="1"/>
    </xf>
    <xf numFmtId="0" fontId="30" fillId="0" borderId="196" xfId="0" applyNumberFormat="1" applyFont="1" applyFill="1" applyBorder="1" applyAlignment="1" applyProtection="1">
      <alignment horizontal="right" vertical="center" indent="1"/>
      <protection hidden="1"/>
    </xf>
    <xf numFmtId="0" fontId="27" fillId="0" borderId="88" xfId="0" applyNumberFormat="1" applyFont="1" applyFill="1" applyBorder="1" applyProtection="1">
      <alignment vertical="center"/>
      <protection hidden="1"/>
    </xf>
    <xf numFmtId="0" fontId="30" fillId="0" borderId="9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vertical="top" wrapText="1"/>
      <protection hidden="1"/>
    </xf>
    <xf numFmtId="0" fontId="30" fillId="0" borderId="88" xfId="0" applyNumberFormat="1" applyFont="1" applyFill="1" applyBorder="1" applyAlignment="1" applyProtection="1">
      <alignment vertical="top" wrapText="1"/>
      <protection hidden="1"/>
    </xf>
    <xf numFmtId="0" fontId="30" fillId="0" borderId="90" xfId="0" applyNumberFormat="1" applyFont="1" applyFill="1" applyBorder="1" applyProtection="1">
      <alignment vertical="center"/>
      <protection hidden="1"/>
    </xf>
    <xf numFmtId="0" fontId="30" fillId="0" borderId="105" xfId="0" applyNumberFormat="1" applyFont="1" applyFill="1" applyBorder="1" applyProtection="1">
      <alignment vertical="center"/>
      <protection hidden="1"/>
    </xf>
    <xf numFmtId="0" fontId="30" fillId="0" borderId="199" xfId="0" applyNumberFormat="1" applyFont="1" applyFill="1" applyBorder="1" applyAlignment="1" applyProtection="1">
      <alignment horizontal="left" vertical="center"/>
      <protection hidden="1"/>
    </xf>
    <xf numFmtId="0" fontId="30" fillId="0" borderId="156" xfId="0" applyNumberFormat="1" applyFont="1" applyFill="1" applyBorder="1" applyAlignment="1" applyProtection="1">
      <alignment vertical="top" wrapText="1"/>
      <protection hidden="1"/>
    </xf>
    <xf numFmtId="0" fontId="30" fillId="0" borderId="112" xfId="0" applyNumberFormat="1" applyFont="1" applyFill="1" applyBorder="1" applyAlignment="1" applyProtection="1">
      <alignment vertical="top" wrapText="1"/>
      <protection hidden="1"/>
    </xf>
    <xf numFmtId="0" fontId="30" fillId="0" borderId="199" xfId="0" applyNumberFormat="1" applyFont="1" applyFill="1" applyBorder="1" applyProtection="1">
      <alignment vertical="center"/>
      <protection hidden="1"/>
    </xf>
    <xf numFmtId="0" fontId="30" fillId="0" borderId="199" xfId="0" applyNumberFormat="1" applyFont="1" applyFill="1" applyBorder="1" applyAlignment="1" applyProtection="1">
      <alignment horizontal="right" vertical="center" indent="1"/>
      <protection hidden="1"/>
    </xf>
    <xf numFmtId="0" fontId="0" fillId="0" borderId="156" xfId="0" applyBorder="1" applyAlignment="1">
      <alignment vertical="top" shrinkToFit="1"/>
    </xf>
    <xf numFmtId="0" fontId="0" fillId="0" borderId="112" xfId="0" applyBorder="1" applyAlignment="1">
      <alignment vertical="top" shrinkToFit="1"/>
    </xf>
    <xf numFmtId="0" fontId="109" fillId="0" borderId="82" xfId="0" applyFont="1" applyFill="1" applyBorder="1" applyAlignment="1" applyProtection="1">
      <alignment horizontal="centerContinuous" vertical="center"/>
      <protection hidden="1"/>
    </xf>
    <xf numFmtId="0" fontId="75" fillId="0" borderId="79" xfId="0" applyNumberFormat="1" applyFont="1" applyFill="1" applyBorder="1" applyAlignment="1" applyProtection="1">
      <alignment horizontal="centerContinuous" vertical="center"/>
      <protection hidden="1"/>
    </xf>
    <xf numFmtId="0" fontId="75" fillId="0" borderId="80" xfId="0" applyNumberFormat="1" applyFont="1" applyFill="1" applyBorder="1" applyAlignment="1" applyProtection="1">
      <alignment horizontal="centerContinuous" vertical="center"/>
      <protection hidden="1"/>
    </xf>
    <xf numFmtId="0" fontId="100" fillId="0" borderId="79" xfId="0" applyFont="1" applyFill="1" applyBorder="1" applyAlignment="1" applyProtection="1">
      <alignment horizontal="centerContinuous" vertical="center"/>
      <protection hidden="1"/>
    </xf>
    <xf numFmtId="0" fontId="100" fillId="0" borderId="80" xfId="0" applyFont="1" applyFill="1" applyBorder="1" applyAlignment="1" applyProtection="1">
      <alignment horizontal="centerContinuous" vertical="center"/>
      <protection hidden="1"/>
    </xf>
    <xf numFmtId="0" fontId="6" fillId="0" borderId="67" xfId="0" applyNumberFormat="1" applyFont="1" applyFill="1" applyBorder="1" applyProtection="1">
      <alignment vertical="center"/>
      <protection hidden="1"/>
    </xf>
    <xf numFmtId="0" fontId="6" fillId="0" borderId="68" xfId="0" applyNumberFormat="1" applyFont="1" applyFill="1" applyBorder="1" applyProtection="1">
      <alignment vertical="center"/>
      <protection hidden="1"/>
    </xf>
    <xf numFmtId="38" fontId="75" fillId="0" borderId="67" xfId="35" applyFont="1" applyFill="1" applyBorder="1" applyAlignment="1" applyProtection="1">
      <protection hidden="1"/>
    </xf>
    <xf numFmtId="38" fontId="75" fillId="0" borderId="68" xfId="35" applyFont="1" applyFill="1" applyBorder="1" applyAlignment="1" applyProtection="1">
      <protection hidden="1"/>
    </xf>
    <xf numFmtId="185" fontId="80" fillId="0" borderId="0" xfId="0" applyNumberFormat="1" applyFont="1" applyFill="1" applyBorder="1" applyAlignment="1" applyProtection="1">
      <alignment horizontal="left" vertical="top"/>
      <protection hidden="1"/>
    </xf>
    <xf numFmtId="185" fontId="80" fillId="0" borderId="0" xfId="0" applyNumberFormat="1" applyFont="1" applyFill="1" applyBorder="1" applyAlignment="1" applyProtection="1">
      <alignment horizontal="left" vertical="center"/>
      <protection hidden="1"/>
    </xf>
    <xf numFmtId="0" fontId="75" fillId="0" borderId="50" xfId="0" applyNumberFormat="1" applyFont="1" applyFill="1" applyBorder="1" applyAlignment="1" applyProtection="1">
      <protection hidden="1"/>
    </xf>
    <xf numFmtId="38" fontId="6" fillId="0" borderId="67" xfId="35" applyFont="1" applyFill="1" applyBorder="1" applyProtection="1">
      <alignment vertical="center"/>
      <protection hidden="1"/>
    </xf>
    <xf numFmtId="38" fontId="6" fillId="0" borderId="68" xfId="35" applyFont="1" applyFill="1" applyBorder="1" applyProtection="1">
      <alignment vertical="center"/>
      <protection hidden="1"/>
    </xf>
    <xf numFmtId="0" fontId="0" fillId="0" borderId="118" xfId="0" applyBorder="1">
      <alignment vertical="center"/>
    </xf>
    <xf numFmtId="38" fontId="6" fillId="0" borderId="197" xfId="35" applyFont="1" applyFill="1" applyBorder="1" applyProtection="1">
      <alignment vertical="center"/>
      <protection hidden="1"/>
    </xf>
    <xf numFmtId="38" fontId="6" fillId="0" borderId="121" xfId="35" applyFont="1" applyFill="1" applyBorder="1" applyProtection="1">
      <alignment vertical="center"/>
      <protection hidden="1"/>
    </xf>
    <xf numFmtId="38" fontId="6" fillId="0" borderId="198" xfId="35" applyFont="1" applyFill="1" applyBorder="1" applyProtection="1">
      <alignment vertical="center"/>
      <protection hidden="1"/>
    </xf>
    <xf numFmtId="201" fontId="75" fillId="0" borderId="156" xfId="0" applyNumberFormat="1" applyFont="1" applyFill="1" applyBorder="1" applyAlignment="1" applyProtection="1">
      <alignment horizontal="right" vertical="center"/>
      <protection hidden="1"/>
    </xf>
    <xf numFmtId="202" fontId="148" fillId="0" borderId="156" xfId="0" applyNumberFormat="1" applyFont="1" applyFill="1" applyBorder="1" applyProtection="1">
      <alignment vertical="center"/>
      <protection hidden="1"/>
    </xf>
    <xf numFmtId="176" fontId="127" fillId="30" borderId="0" xfId="0" applyNumberFormat="1" applyFont="1" applyFill="1" applyBorder="1" applyAlignment="1" applyProtection="1">
      <alignment horizontal="left" vertical="center"/>
      <protection hidden="1"/>
    </xf>
    <xf numFmtId="0" fontId="121" fillId="30" borderId="88" xfId="0" applyFont="1" applyFill="1" applyBorder="1" applyAlignment="1" applyProtection="1">
      <alignment horizontal="left" vertical="center"/>
      <protection hidden="1"/>
    </xf>
    <xf numFmtId="0" fontId="0" fillId="0" borderId="82" xfId="0" applyBorder="1" applyAlignment="1">
      <alignment horizontal="centerContinuous" vertical="center"/>
    </xf>
    <xf numFmtId="0" fontId="0" fillId="0" borderId="80" xfId="0" applyBorder="1" applyAlignment="1">
      <alignment horizontal="centerContinuous" vertical="center"/>
    </xf>
    <xf numFmtId="0" fontId="75" fillId="0" borderId="65" xfId="0" applyNumberFormat="1" applyFont="1" applyFill="1" applyBorder="1" applyProtection="1">
      <alignment vertical="center"/>
      <protection hidden="1"/>
    </xf>
    <xf numFmtId="0" fontId="75" fillId="0" borderId="66" xfId="0" applyNumberFormat="1" applyFont="1" applyFill="1" applyBorder="1" applyProtection="1">
      <alignment vertical="center"/>
      <protection hidden="1"/>
    </xf>
    <xf numFmtId="0" fontId="75" fillId="0" borderId="51" xfId="0" applyNumberFormat="1" applyFont="1" applyFill="1" applyBorder="1" applyProtection="1">
      <alignment vertical="center"/>
      <protection hidden="1"/>
    </xf>
    <xf numFmtId="0" fontId="75" fillId="0" borderId="50" xfId="0" applyNumberFormat="1" applyFont="1" applyFill="1" applyBorder="1" applyAlignment="1" applyProtection="1">
      <alignment horizontal="left" vertical="center"/>
      <protection hidden="1"/>
    </xf>
    <xf numFmtId="176" fontId="75" fillId="0" borderId="67" xfId="0" applyNumberFormat="1" applyFont="1" applyFill="1" applyBorder="1" applyAlignment="1" applyProtection="1">
      <alignment horizontal="right"/>
      <protection hidden="1"/>
    </xf>
    <xf numFmtId="176" fontId="75" fillId="0" borderId="68" xfId="0" applyNumberFormat="1" applyFont="1" applyFill="1" applyBorder="1" applyAlignment="1" applyProtection="1">
      <alignment horizontal="right"/>
      <protection hidden="1"/>
    </xf>
    <xf numFmtId="0" fontId="6" fillId="0" borderId="51" xfId="0" applyNumberFormat="1" applyFont="1" applyFill="1" applyBorder="1" applyProtection="1">
      <alignment vertical="center"/>
      <protection hidden="1"/>
    </xf>
    <xf numFmtId="0" fontId="75" fillId="0" borderId="51" xfId="0" applyNumberFormat="1" applyFont="1" applyFill="1" applyBorder="1" applyAlignment="1" applyProtection="1">
      <alignment horizontal="left" vertical="center"/>
      <protection hidden="1"/>
    </xf>
    <xf numFmtId="0" fontId="6" fillId="0" borderId="50" xfId="0" applyNumberFormat="1" applyFont="1" applyFill="1" applyBorder="1" applyAlignment="1" applyProtection="1">
      <alignment horizontal="left" vertical="center"/>
      <protection hidden="1"/>
    </xf>
    <xf numFmtId="0" fontId="84" fillId="0" borderId="68" xfId="0" applyNumberFormat="1" applyFont="1" applyFill="1" applyBorder="1" applyProtection="1">
      <alignment vertical="center"/>
      <protection hidden="1"/>
    </xf>
    <xf numFmtId="0" fontId="6" fillId="0" borderId="51" xfId="0" applyNumberFormat="1" applyFont="1" applyFill="1" applyBorder="1" applyAlignment="1" applyProtection="1">
      <alignment horizontal="left" vertical="center"/>
      <protection hidden="1"/>
    </xf>
    <xf numFmtId="0" fontId="75" fillId="0" borderId="90" xfId="0" applyNumberFormat="1" applyFont="1" applyFill="1" applyBorder="1" applyProtection="1">
      <alignment vertical="center"/>
      <protection hidden="1"/>
    </xf>
    <xf numFmtId="0" fontId="75" fillId="0" borderId="88" xfId="0" applyNumberFormat="1" applyFont="1" applyFill="1" applyBorder="1" applyProtection="1">
      <alignment vertical="center"/>
      <protection hidden="1"/>
    </xf>
    <xf numFmtId="0" fontId="0" fillId="0" borderId="88" xfId="0" applyBorder="1">
      <alignment vertical="center"/>
    </xf>
    <xf numFmtId="0" fontId="6" fillId="0" borderId="50" xfId="0" applyNumberFormat="1" applyFont="1" applyFill="1" applyBorder="1" applyProtection="1">
      <alignment vertical="center"/>
      <protection hidden="1"/>
    </xf>
    <xf numFmtId="176" fontId="100" fillId="0" borderId="90" xfId="0" applyNumberFormat="1" applyFont="1" applyFill="1" applyBorder="1" applyProtection="1">
      <alignment vertical="center"/>
      <protection hidden="1"/>
    </xf>
    <xf numFmtId="0" fontId="6" fillId="0" borderId="51" xfId="0" applyNumberFormat="1" applyFont="1" applyFill="1" applyBorder="1" applyAlignment="1" applyProtection="1">
      <alignment horizontal="left"/>
      <protection hidden="1"/>
    </xf>
    <xf numFmtId="0" fontId="0" fillId="0" borderId="51" xfId="0" applyNumberFormat="1" applyFill="1" applyBorder="1" applyProtection="1">
      <alignment vertical="center"/>
      <protection hidden="1"/>
    </xf>
    <xf numFmtId="176" fontId="75" fillId="37" borderId="197" xfId="0" applyNumberFormat="1" applyFont="1" applyFill="1" applyBorder="1" applyAlignment="1" applyProtection="1">
      <alignment horizontal="right"/>
      <protection hidden="1"/>
    </xf>
    <xf numFmtId="0" fontId="84" fillId="0" borderId="198" xfId="0" applyNumberFormat="1" applyFont="1" applyFill="1" applyBorder="1" applyProtection="1">
      <alignment vertical="center"/>
      <protection hidden="1"/>
    </xf>
    <xf numFmtId="176" fontId="75" fillId="0" borderId="197" xfId="0" applyNumberFormat="1" applyFont="1" applyFill="1" applyBorder="1" applyAlignment="1" applyProtection="1">
      <alignment horizontal="right"/>
      <protection hidden="1"/>
    </xf>
    <xf numFmtId="0" fontId="120" fillId="35" borderId="110" xfId="0" applyFont="1" applyFill="1" applyBorder="1" applyAlignment="1" applyProtection="1">
      <alignment vertical="center"/>
      <protection hidden="1"/>
    </xf>
    <xf numFmtId="0" fontId="0" fillId="0" borderId="116" xfId="0" applyNumberFormat="1" applyFill="1" applyBorder="1" applyAlignment="1" applyProtection="1">
      <alignment horizontal="centerContinuous" vertical="center"/>
      <protection hidden="1"/>
    </xf>
    <xf numFmtId="0" fontId="100" fillId="0" borderId="110" xfId="0" applyFont="1" applyFill="1" applyBorder="1" applyProtection="1">
      <alignment vertical="center"/>
      <protection hidden="1"/>
    </xf>
    <xf numFmtId="0" fontId="6" fillId="0" borderId="116" xfId="0" applyFont="1" applyFill="1" applyBorder="1" applyAlignment="1" applyProtection="1">
      <alignment horizontal="centerContinuous" vertical="center"/>
      <protection hidden="1"/>
    </xf>
    <xf numFmtId="0" fontId="120" fillId="0" borderId="90" xfId="0" applyFont="1" applyFill="1" applyBorder="1" applyAlignment="1" applyProtection="1">
      <alignment vertical="center"/>
      <protection hidden="1"/>
    </xf>
    <xf numFmtId="0" fontId="120" fillId="0" borderId="0" xfId="0" applyFont="1" applyFill="1" applyBorder="1" applyAlignment="1" applyProtection="1">
      <alignment vertical="center"/>
      <protection hidden="1"/>
    </xf>
    <xf numFmtId="0" fontId="120" fillId="0" borderId="88" xfId="0" applyFont="1" applyFill="1" applyBorder="1" applyAlignment="1" applyProtection="1">
      <alignment vertical="center"/>
      <protection hidden="1"/>
    </xf>
    <xf numFmtId="0" fontId="103" fillId="0" borderId="90" xfId="0" applyFont="1" applyFill="1" applyBorder="1" applyAlignment="1" applyProtection="1">
      <alignment horizontal="left" vertical="center"/>
      <protection hidden="1"/>
    </xf>
    <xf numFmtId="0" fontId="41" fillId="0" borderId="59" xfId="0" applyFont="1" applyFill="1" applyBorder="1" applyAlignment="1" applyProtection="1">
      <alignment vertical="center"/>
      <protection hidden="1"/>
    </xf>
    <xf numFmtId="0" fontId="15" fillId="0" borderId="59" xfId="0" applyFont="1" applyFill="1" applyBorder="1" applyAlignment="1" applyProtection="1">
      <alignment horizontal="center" vertical="center"/>
      <protection hidden="1"/>
    </xf>
    <xf numFmtId="0" fontId="154" fillId="0" borderId="59" xfId="0" applyFont="1" applyFill="1" applyBorder="1" applyAlignment="1" applyProtection="1">
      <alignment vertical="center"/>
      <protection hidden="1"/>
    </xf>
    <xf numFmtId="0" fontId="0" fillId="0" borderId="88" xfId="0" applyFill="1" applyBorder="1">
      <alignment vertical="center"/>
    </xf>
    <xf numFmtId="0" fontId="75" fillId="0" borderId="67" xfId="0" applyNumberFormat="1" applyFont="1" applyFill="1" applyBorder="1" applyAlignment="1" applyProtection="1">
      <protection hidden="1"/>
    </xf>
    <xf numFmtId="38" fontId="75" fillId="0" borderId="10" xfId="0" applyNumberFormat="1" applyFont="1" applyFill="1" applyBorder="1" applyAlignment="1" applyProtection="1">
      <protection hidden="1"/>
    </xf>
    <xf numFmtId="0" fontId="75" fillId="0" borderId="68" xfId="0" applyNumberFormat="1" applyFont="1" applyFill="1" applyBorder="1" applyAlignment="1" applyProtection="1">
      <protection hidden="1"/>
    </xf>
    <xf numFmtId="0" fontId="41" fillId="0" borderId="0" xfId="0" applyFont="1" applyFill="1" applyBorder="1" applyAlignment="1" applyProtection="1">
      <alignment vertical="center"/>
      <protection hidden="1"/>
    </xf>
    <xf numFmtId="0" fontId="155" fillId="0" borderId="0" xfId="0" applyFont="1" applyFill="1" applyBorder="1" applyAlignment="1" applyProtection="1">
      <alignment horizontal="center" vertical="top"/>
      <protection hidden="1"/>
    </xf>
    <xf numFmtId="0" fontId="154" fillId="0" borderId="0" xfId="0" applyFont="1" applyFill="1" applyBorder="1" applyAlignment="1" applyProtection="1">
      <alignment vertical="center"/>
      <protection hidden="1"/>
    </xf>
    <xf numFmtId="0" fontId="100" fillId="0" borderId="0" xfId="0" applyFont="1" applyFill="1" applyBorder="1">
      <alignment vertical="center"/>
    </xf>
    <xf numFmtId="0" fontId="112" fillId="0" borderId="0" xfId="0" applyFont="1" applyFill="1" applyBorder="1" applyProtection="1">
      <alignment vertical="center"/>
    </xf>
    <xf numFmtId="0" fontId="156" fillId="0" borderId="59" xfId="0" applyFont="1" applyFill="1" applyBorder="1" applyAlignment="1" applyProtection="1">
      <alignment horizontal="left"/>
      <protection hidden="1"/>
    </xf>
    <xf numFmtId="0" fontId="112" fillId="0" borderId="59" xfId="0" applyFont="1" applyFill="1" applyBorder="1" applyProtection="1">
      <alignment vertical="center"/>
    </xf>
    <xf numFmtId="38" fontId="6" fillId="0" borderId="67" xfId="0" applyNumberFormat="1" applyFont="1" applyFill="1" applyBorder="1" applyProtection="1">
      <alignment vertical="center"/>
      <protection hidden="1"/>
    </xf>
    <xf numFmtId="38" fontId="6" fillId="0" borderId="10" xfId="0" applyNumberFormat="1" applyFont="1" applyFill="1" applyBorder="1" applyProtection="1">
      <alignment vertical="center"/>
      <protection hidden="1"/>
    </xf>
    <xf numFmtId="0" fontId="0" fillId="0" borderId="51" xfId="0" applyBorder="1">
      <alignment vertical="center"/>
    </xf>
    <xf numFmtId="0" fontId="103" fillId="0" borderId="0" xfId="0" applyFont="1" applyFill="1" applyBorder="1" applyAlignment="1" applyProtection="1">
      <alignment horizontal="left" vertical="center"/>
    </xf>
    <xf numFmtId="0" fontId="156"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center"/>
    </xf>
    <xf numFmtId="0" fontId="6" fillId="0" borderId="197" xfId="0" applyNumberFormat="1" applyFont="1" applyFill="1" applyBorder="1" applyProtection="1">
      <alignment vertical="center"/>
      <protection hidden="1"/>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vertical="center"/>
    </xf>
    <xf numFmtId="0" fontId="70" fillId="0" borderId="0" xfId="0" applyFont="1" applyFill="1" applyBorder="1" applyAlignment="1" applyProtection="1">
      <alignment horizontal="center" vertical="center"/>
      <protection hidden="1"/>
    </xf>
    <xf numFmtId="0" fontId="82" fillId="0" borderId="0" xfId="0" applyFont="1" applyFill="1" applyBorder="1" applyAlignment="1">
      <alignment vertical="center"/>
    </xf>
    <xf numFmtId="0" fontId="75" fillId="0" borderId="0" xfId="0" applyFont="1" applyFill="1" applyBorder="1" applyAlignment="1" applyProtection="1">
      <alignment vertical="center"/>
    </xf>
    <xf numFmtId="176" fontId="82" fillId="0" borderId="0" xfId="0" applyNumberFormat="1" applyFont="1" applyFill="1" applyBorder="1" applyAlignment="1">
      <alignment horizontal="center" vertical="center"/>
    </xf>
    <xf numFmtId="0" fontId="50" fillId="0" borderId="0" xfId="0" applyNumberFormat="1" applyFont="1" applyFill="1" applyBorder="1" applyAlignment="1" applyProtection="1">
      <alignment horizontal="left" vertical="center"/>
      <protection hidden="1"/>
    </xf>
    <xf numFmtId="38" fontId="75" fillId="0" borderId="59" xfId="35" applyFont="1" applyFill="1" applyBorder="1" applyAlignment="1" applyProtection="1">
      <alignment horizontal="center"/>
      <protection hidden="1"/>
    </xf>
    <xf numFmtId="38" fontId="75" fillId="0" borderId="0" xfId="35" applyFont="1" applyFill="1" applyBorder="1" applyAlignment="1" applyProtection="1">
      <alignment horizontal="center" vertical="top"/>
      <protection hidden="1"/>
    </xf>
    <xf numFmtId="0" fontId="77" fillId="0" borderId="0" xfId="0" applyFont="1" applyFill="1" applyBorder="1" applyAlignment="1" applyProtection="1">
      <alignment horizontal="right" vertical="center" shrinkToFit="1"/>
      <protection hidden="1"/>
    </xf>
    <xf numFmtId="0" fontId="159"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top"/>
      <protection hidden="1"/>
    </xf>
    <xf numFmtId="38" fontId="32" fillId="0" borderId="0" xfId="35" applyFont="1" applyFill="1" applyBorder="1" applyAlignment="1" applyProtection="1">
      <alignment horizontal="center" vertical="center"/>
      <protection hidden="1"/>
    </xf>
    <xf numFmtId="0" fontId="70" fillId="0" borderId="0" xfId="0" applyNumberFormat="1" applyFont="1" applyFill="1" applyBorder="1" applyAlignment="1" applyProtection="1">
      <alignment horizontal="center" vertical="center"/>
      <protection hidden="1"/>
    </xf>
    <xf numFmtId="0" fontId="103" fillId="0" borderId="105" xfId="0" applyFont="1" applyFill="1" applyBorder="1" applyAlignment="1" applyProtection="1">
      <alignment horizontal="left" vertical="center"/>
      <protection hidden="1"/>
    </xf>
    <xf numFmtId="0" fontId="103" fillId="0" borderId="156" xfId="0" applyFont="1" applyFill="1" applyBorder="1" applyAlignment="1" applyProtection="1">
      <alignment horizontal="left" vertical="center"/>
      <protection hidden="1"/>
    </xf>
    <xf numFmtId="0" fontId="103" fillId="0" borderId="156" xfId="0" applyFont="1" applyFill="1" applyBorder="1" applyAlignment="1" applyProtection="1">
      <alignment horizontal="right" vertical="center"/>
      <protection hidden="1"/>
    </xf>
    <xf numFmtId="0" fontId="103" fillId="0" borderId="156" xfId="0" applyFont="1" applyFill="1" applyBorder="1" applyAlignment="1" applyProtection="1">
      <alignment vertical="center"/>
      <protection hidden="1"/>
    </xf>
    <xf numFmtId="38" fontId="75" fillId="0" borderId="156" xfId="35" applyFont="1" applyFill="1" applyBorder="1" applyAlignment="1" applyProtection="1">
      <alignment horizontal="center" vertical="top"/>
      <protection hidden="1"/>
    </xf>
    <xf numFmtId="0" fontId="0" fillId="0" borderId="112" xfId="0" applyFill="1" applyBorder="1">
      <alignment vertical="center"/>
    </xf>
    <xf numFmtId="0" fontId="70" fillId="0" borderId="59" xfId="0" applyFont="1" applyBorder="1">
      <alignment vertical="center"/>
    </xf>
    <xf numFmtId="0" fontId="25" fillId="0" borderId="0" xfId="0" applyFont="1" applyAlignment="1">
      <alignment horizontal="right" vertical="center"/>
    </xf>
    <xf numFmtId="0" fontId="27" fillId="24" borderId="1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23" xfId="0" applyFont="1" applyFill="1" applyBorder="1" applyAlignment="1">
      <alignment horizontal="center" vertical="center" wrapText="1"/>
    </xf>
    <xf numFmtId="189" fontId="27" fillId="24" borderId="10" xfId="0" applyNumberFormat="1" applyFont="1" applyFill="1" applyBorder="1" applyAlignment="1">
      <alignment horizontal="center" vertical="center"/>
    </xf>
    <xf numFmtId="0" fontId="27" fillId="24" borderId="10" xfId="0" applyFont="1" applyFill="1" applyBorder="1" applyAlignment="1">
      <alignment vertical="center"/>
    </xf>
    <xf numFmtId="0" fontId="27" fillId="24" borderId="22" xfId="0" applyFont="1" applyFill="1" applyBorder="1" applyAlignment="1">
      <alignment horizontal="center" vertical="center"/>
    </xf>
    <xf numFmtId="0" fontId="27" fillId="24" borderId="52" xfId="0" applyFont="1" applyFill="1" applyBorder="1" applyAlignment="1">
      <alignment horizontal="center" vertical="center" wrapText="1"/>
    </xf>
    <xf numFmtId="195" fontId="27" fillId="24" borderId="10" xfId="0" applyNumberFormat="1" applyFont="1" applyFill="1" applyBorder="1" applyAlignment="1">
      <alignment horizontal="center" vertical="center"/>
    </xf>
    <xf numFmtId="0" fontId="27" fillId="24" borderId="10" xfId="0" applyFont="1" applyFill="1" applyBorder="1" applyAlignment="1">
      <alignment vertical="center" wrapText="1"/>
    </xf>
    <xf numFmtId="0" fontId="27" fillId="24" borderId="61" xfId="0" applyFont="1" applyFill="1" applyBorder="1" applyAlignment="1">
      <alignment horizontal="center" vertical="center" wrapText="1"/>
    </xf>
    <xf numFmtId="178" fontId="27" fillId="24" borderId="10" xfId="0" applyNumberFormat="1" applyFont="1" applyFill="1" applyBorder="1" applyAlignment="1">
      <alignment horizontal="center" vertical="center"/>
    </xf>
    <xf numFmtId="0" fontId="27" fillId="24" borderId="10" xfId="0" applyFont="1" applyFill="1" applyBorder="1" applyAlignment="1" applyProtection="1">
      <alignment vertical="center" wrapText="1"/>
    </xf>
    <xf numFmtId="0" fontId="27" fillId="24" borderId="10" xfId="0" applyFont="1" applyFill="1" applyBorder="1" applyAlignment="1">
      <alignment horizontal="left" vertical="center" wrapText="1"/>
    </xf>
    <xf numFmtId="0" fontId="27" fillId="24" borderId="10" xfId="0" applyFont="1" applyFill="1" applyBorder="1" applyAlignment="1">
      <alignment horizontal="left" vertical="center" wrapText="1" shrinkToFit="1"/>
    </xf>
    <xf numFmtId="0" fontId="27" fillId="24" borderId="10" xfId="0" applyFont="1" applyFill="1" applyBorder="1" applyAlignment="1">
      <alignment horizontal="center" vertical="center" wrapText="1" shrinkToFit="1"/>
    </xf>
    <xf numFmtId="0" fontId="27" fillId="24" borderId="23" xfId="0" applyFont="1" applyFill="1" applyBorder="1" applyAlignment="1">
      <alignment horizontal="left" vertical="center" wrapText="1"/>
    </xf>
    <xf numFmtId="0" fontId="27" fillId="24" borderId="23" xfId="0" applyFont="1" applyFill="1" applyBorder="1" applyAlignment="1">
      <alignment horizontal="center" vertical="center" wrapText="1" shrinkToFit="1"/>
    </xf>
    <xf numFmtId="0" fontId="27" fillId="24" borderId="23" xfId="0" applyFont="1" applyFill="1" applyBorder="1" applyAlignment="1">
      <alignment vertical="center" wrapText="1"/>
    </xf>
    <xf numFmtId="0" fontId="27" fillId="24" borderId="20" xfId="0" applyFont="1" applyFill="1" applyBorder="1" applyAlignment="1">
      <alignment horizontal="center" vertical="center" wrapText="1"/>
    </xf>
    <xf numFmtId="0" fontId="27" fillId="24" borderId="50" xfId="0" applyFont="1" applyFill="1" applyBorder="1" applyAlignment="1">
      <alignment horizontal="left" vertical="center"/>
    </xf>
    <xf numFmtId="0" fontId="27" fillId="24" borderId="51" xfId="0" applyFont="1" applyFill="1" applyBorder="1" applyAlignment="1">
      <alignment horizontal="left" vertical="center" wrapText="1"/>
    </xf>
    <xf numFmtId="0" fontId="27" fillId="24" borderId="51" xfId="0" applyFont="1" applyFill="1" applyBorder="1" applyAlignment="1">
      <alignment horizontal="left" vertical="center" wrapText="1" shrinkToFit="1"/>
    </xf>
    <xf numFmtId="0" fontId="27" fillId="24" borderId="52" xfId="0" applyFont="1" applyFill="1" applyBorder="1" applyAlignment="1">
      <alignment vertical="center" wrapText="1"/>
    </xf>
    <xf numFmtId="0" fontId="27" fillId="24" borderId="200" xfId="0" applyFont="1" applyFill="1" applyBorder="1" applyAlignment="1">
      <alignment horizontal="center" vertical="center" wrapText="1"/>
    </xf>
    <xf numFmtId="40" fontId="27" fillId="24" borderId="200" xfId="0" applyNumberFormat="1" applyFont="1" applyFill="1" applyBorder="1" applyAlignment="1">
      <alignment horizontal="center" vertical="center" wrapText="1"/>
    </xf>
    <xf numFmtId="177" fontId="27" fillId="24" borderId="200" xfId="0" applyNumberFormat="1" applyFont="1" applyFill="1" applyBorder="1" applyAlignment="1">
      <alignment horizontal="center" vertical="center" wrapText="1" shrinkToFit="1"/>
    </xf>
    <xf numFmtId="0" fontId="27" fillId="24" borderId="147" xfId="0" applyFont="1" applyFill="1" applyBorder="1" applyAlignment="1" applyProtection="1">
      <alignment vertical="center" wrapText="1"/>
    </xf>
    <xf numFmtId="0" fontId="27" fillId="24" borderId="56" xfId="0" applyFont="1" applyFill="1" applyBorder="1" applyAlignment="1">
      <alignment horizontal="center" vertical="center" wrapText="1"/>
    </xf>
    <xf numFmtId="40" fontId="27" fillId="24" borderId="56" xfId="0" applyNumberFormat="1" applyFont="1" applyFill="1" applyBorder="1" applyAlignment="1">
      <alignment horizontal="center" vertical="center" wrapText="1"/>
    </xf>
    <xf numFmtId="177" fontId="27" fillId="24" borderId="56" xfId="0" applyNumberFormat="1" applyFont="1" applyFill="1" applyBorder="1" applyAlignment="1">
      <alignment horizontal="center" vertical="center" wrapText="1" shrinkToFit="1"/>
    </xf>
    <xf numFmtId="0" fontId="27" fillId="24" borderId="200" xfId="0" applyFont="1" applyFill="1" applyBorder="1" applyAlignment="1" applyProtection="1">
      <alignment vertical="center" wrapText="1"/>
    </xf>
    <xf numFmtId="0" fontId="27" fillId="24" borderId="56" xfId="0" applyFont="1" applyFill="1" applyBorder="1" applyAlignment="1" applyProtection="1">
      <alignment vertical="center" wrapText="1"/>
    </xf>
    <xf numFmtId="0" fontId="27" fillId="24" borderId="201" xfId="0" applyFont="1" applyFill="1" applyBorder="1" applyAlignment="1">
      <alignment horizontal="center" vertical="center" wrapText="1"/>
    </xf>
    <xf numFmtId="0" fontId="27" fillId="24" borderId="201" xfId="0" applyFont="1" applyFill="1" applyBorder="1" applyAlignment="1">
      <alignment horizontal="center" vertical="center" wrapText="1" shrinkToFit="1"/>
    </xf>
    <xf numFmtId="0" fontId="27" fillId="24" borderId="201" xfId="0" applyFont="1" applyFill="1" applyBorder="1" applyAlignment="1" applyProtection="1">
      <alignment vertical="center" wrapText="1"/>
    </xf>
    <xf numFmtId="0" fontId="27" fillId="24" borderId="52" xfId="0" applyFont="1" applyFill="1" applyBorder="1" applyAlignment="1" applyProtection="1">
      <alignment vertical="center" wrapText="1"/>
    </xf>
    <xf numFmtId="0" fontId="27" fillId="24" borderId="54" xfId="0" applyFont="1" applyFill="1" applyBorder="1" applyAlignment="1">
      <alignment horizontal="left" vertical="center" wrapText="1" shrinkToFit="1"/>
    </xf>
    <xf numFmtId="0" fontId="27" fillId="24" borderId="55" xfId="0" applyFont="1" applyFill="1" applyBorder="1" applyAlignment="1">
      <alignment vertical="center"/>
    </xf>
    <xf numFmtId="9" fontId="27" fillId="24" borderId="151" xfId="0" applyNumberFormat="1" applyFont="1" applyFill="1" applyBorder="1" applyAlignment="1">
      <alignment horizontal="center" vertical="center" wrapText="1"/>
    </xf>
    <xf numFmtId="9" fontId="27" fillId="27" borderId="202" xfId="0" applyNumberFormat="1" applyFont="1" applyFill="1" applyBorder="1" applyAlignment="1" applyProtection="1">
      <alignment horizontal="center" vertical="center" wrapText="1"/>
      <protection locked="0"/>
    </xf>
    <xf numFmtId="0" fontId="27" fillId="27" borderId="203" xfId="0" applyFont="1" applyFill="1" applyBorder="1" applyAlignment="1" applyProtection="1">
      <alignment vertical="center"/>
      <protection locked="0"/>
    </xf>
    <xf numFmtId="9" fontId="27" fillId="27" borderId="71" xfId="0" applyNumberFormat="1" applyFont="1" applyFill="1" applyBorder="1" applyAlignment="1" applyProtection="1">
      <alignment horizontal="center" vertical="center" wrapText="1"/>
      <protection locked="0"/>
    </xf>
    <xf numFmtId="0" fontId="27" fillId="27" borderId="204" xfId="0" applyFont="1" applyFill="1" applyBorder="1" applyAlignment="1" applyProtection="1">
      <alignment vertical="center"/>
      <protection locked="0"/>
    </xf>
    <xf numFmtId="9" fontId="27" fillId="24" borderId="151" xfId="0" applyNumberFormat="1" applyFont="1" applyFill="1" applyBorder="1" applyAlignment="1" applyProtection="1">
      <alignment horizontal="center" vertical="center" wrapText="1"/>
    </xf>
    <xf numFmtId="0" fontId="27" fillId="24" borderId="150" xfId="0" applyFont="1" applyFill="1" applyBorder="1" applyAlignment="1">
      <alignment horizontal="center" vertical="center" wrapText="1"/>
    </xf>
    <xf numFmtId="9" fontId="27" fillId="24" borderId="154" xfId="0" applyNumberFormat="1" applyFont="1" applyFill="1" applyBorder="1" applyAlignment="1">
      <alignment horizontal="center" vertical="center" wrapText="1" shrinkToFit="1"/>
    </xf>
    <xf numFmtId="9" fontId="27" fillId="24" borderId="154" xfId="0" applyNumberFormat="1" applyFont="1" applyFill="1" applyBorder="1" applyAlignment="1" applyProtection="1">
      <alignment horizontal="center" vertical="center" wrapText="1" shrinkToFit="1"/>
    </xf>
    <xf numFmtId="0" fontId="27" fillId="24" borderId="61" xfId="0" applyFont="1" applyFill="1" applyBorder="1" applyAlignment="1" applyProtection="1">
      <alignment vertical="center" wrapText="1"/>
    </xf>
    <xf numFmtId="0" fontId="27" fillId="24" borderId="55" xfId="0" applyFont="1" applyFill="1" applyBorder="1" applyAlignment="1">
      <alignment horizontal="center" vertical="center" wrapText="1"/>
    </xf>
    <xf numFmtId="178" fontId="27" fillId="24" borderId="23" xfId="0" applyNumberFormat="1" applyFont="1" applyFill="1" applyBorder="1" applyAlignment="1">
      <alignment horizontal="center" vertical="center"/>
    </xf>
    <xf numFmtId="178" fontId="27" fillId="24" borderId="61" xfId="0" applyNumberFormat="1" applyFont="1" applyFill="1" applyBorder="1" applyAlignment="1">
      <alignment horizontal="center" vertical="center"/>
    </xf>
    <xf numFmtId="0" fontId="27" fillId="24" borderId="50" xfId="0" applyFont="1" applyFill="1" applyBorder="1" applyAlignment="1">
      <alignment horizontal="center" vertical="center" wrapText="1"/>
    </xf>
    <xf numFmtId="0" fontId="27" fillId="24" borderId="51" xfId="0" applyFont="1" applyFill="1" applyBorder="1" applyAlignment="1">
      <alignment horizontal="center" vertical="center"/>
    </xf>
    <xf numFmtId="0" fontId="27" fillId="24" borderId="147" xfId="0" applyFont="1" applyFill="1" applyBorder="1" applyAlignment="1">
      <alignment horizontal="center" vertical="center" wrapText="1"/>
    </xf>
    <xf numFmtId="195" fontId="27" fillId="24" borderId="61" xfId="0" applyNumberFormat="1" applyFont="1" applyFill="1" applyBorder="1" applyAlignment="1">
      <alignment horizontal="center" vertical="center"/>
    </xf>
    <xf numFmtId="0" fontId="27" fillId="24" borderId="61" xfId="0" applyFont="1" applyFill="1" applyBorder="1" applyAlignment="1">
      <alignment vertical="center" wrapText="1"/>
    </xf>
    <xf numFmtId="0" fontId="27" fillId="24" borderId="153" xfId="0" applyFont="1" applyFill="1" applyBorder="1" applyAlignment="1">
      <alignment horizontal="center" vertical="center" wrapText="1"/>
    </xf>
    <xf numFmtId="195" fontId="27" fillId="24" borderId="56" xfId="0" applyNumberFormat="1" applyFont="1" applyFill="1" applyBorder="1" applyAlignment="1">
      <alignment horizontal="center" vertical="center"/>
    </xf>
    <xf numFmtId="0" fontId="27" fillId="24" borderId="56" xfId="0" applyFont="1" applyFill="1" applyBorder="1" applyAlignment="1">
      <alignment vertical="center" wrapText="1"/>
    </xf>
    <xf numFmtId="9" fontId="27" fillId="24" borderId="61" xfId="0" applyNumberFormat="1" applyFont="1" applyFill="1" applyBorder="1" applyAlignment="1">
      <alignment horizontal="center" vertical="center"/>
    </xf>
    <xf numFmtId="0" fontId="27" fillId="24" borderId="61" xfId="0" applyFont="1" applyFill="1" applyBorder="1" applyAlignment="1">
      <alignment vertical="center"/>
    </xf>
    <xf numFmtId="9" fontId="27" fillId="24" borderId="56" xfId="0" applyNumberFormat="1" applyFont="1" applyFill="1" applyBorder="1" applyAlignment="1">
      <alignment horizontal="center" vertical="center"/>
    </xf>
    <xf numFmtId="0" fontId="27" fillId="24" borderId="56" xfId="0" applyFont="1" applyFill="1" applyBorder="1" applyAlignment="1">
      <alignment vertical="center"/>
    </xf>
    <xf numFmtId="0" fontId="27" fillId="24" borderId="60" xfId="0" applyFont="1" applyFill="1" applyBorder="1" applyAlignment="1">
      <alignment horizontal="center" vertical="center" wrapText="1"/>
    </xf>
    <xf numFmtId="9" fontId="27" fillId="24" borderId="22" xfId="0" applyNumberFormat="1" applyFont="1" applyFill="1" applyBorder="1" applyAlignment="1">
      <alignment horizontal="center" vertical="center"/>
    </xf>
    <xf numFmtId="0" fontId="27" fillId="24" borderId="22" xfId="0" applyFont="1" applyFill="1" applyBorder="1" applyAlignment="1">
      <alignment vertical="center"/>
    </xf>
    <xf numFmtId="0" fontId="27" fillId="24" borderId="22" xfId="0" applyFont="1" applyFill="1" applyBorder="1" applyAlignment="1">
      <alignment horizontal="center" vertical="center" wrapText="1"/>
    </xf>
    <xf numFmtId="38" fontId="27" fillId="24" borderId="23" xfId="35" applyFont="1" applyFill="1" applyBorder="1" applyAlignment="1">
      <alignment horizontal="center" vertical="center" wrapText="1"/>
    </xf>
    <xf numFmtId="0" fontId="27" fillId="24" borderId="23" xfId="0" applyFont="1" applyFill="1" applyBorder="1" applyAlignment="1">
      <alignment vertical="center"/>
    </xf>
    <xf numFmtId="0" fontId="27" fillId="24" borderId="50" xfId="0" applyFont="1" applyFill="1" applyBorder="1" applyAlignment="1">
      <alignment vertical="center"/>
    </xf>
    <xf numFmtId="0" fontId="27" fillId="24" borderId="52" xfId="0" applyFont="1" applyFill="1" applyBorder="1" applyAlignment="1">
      <alignment vertical="center"/>
    </xf>
    <xf numFmtId="0" fontId="27" fillId="24" borderId="152" xfId="0" applyFont="1" applyFill="1" applyBorder="1" applyAlignment="1">
      <alignment horizontal="center" vertical="center" shrinkToFit="1"/>
    </xf>
    <xf numFmtId="198" fontId="27" fillId="24" borderId="200" xfId="0" applyNumberFormat="1" applyFont="1" applyFill="1" applyBorder="1" applyAlignment="1">
      <alignment horizontal="center" vertical="center"/>
    </xf>
    <xf numFmtId="0" fontId="27" fillId="24" borderId="200" xfId="0" applyFont="1" applyFill="1" applyBorder="1" applyAlignment="1">
      <alignment horizontal="center" vertical="center"/>
    </xf>
    <xf numFmtId="0" fontId="27" fillId="24" borderId="58" xfId="0" applyFont="1" applyFill="1" applyBorder="1" applyAlignment="1">
      <alignment horizontal="center" vertical="center"/>
    </xf>
    <xf numFmtId="0" fontId="27" fillId="24" borderId="56" xfId="0" applyFont="1" applyFill="1" applyBorder="1" applyAlignment="1">
      <alignment horizontal="center" vertical="center"/>
    </xf>
    <xf numFmtId="0" fontId="27" fillId="24" borderId="155" xfId="0" applyFont="1" applyFill="1" applyBorder="1" applyAlignment="1">
      <alignment horizontal="center" vertical="center" wrapText="1"/>
    </xf>
    <xf numFmtId="0" fontId="27" fillId="24" borderId="150" xfId="0" applyFont="1" applyFill="1" applyBorder="1" applyAlignment="1">
      <alignment horizontal="center" vertical="center"/>
    </xf>
    <xf numFmtId="0" fontId="27" fillId="24" borderId="0" xfId="0" applyFont="1" applyFill="1" applyBorder="1" applyAlignment="1">
      <alignment horizontal="center" vertical="center" wrapText="1"/>
    </xf>
    <xf numFmtId="0" fontId="27" fillId="27" borderId="22" xfId="0" applyFont="1" applyFill="1" applyBorder="1" applyAlignment="1" applyProtection="1">
      <alignment horizontal="center" vertical="center"/>
      <protection locked="0"/>
    </xf>
    <xf numFmtId="0" fontId="27" fillId="27" borderId="22" xfId="0" applyFont="1" applyFill="1" applyBorder="1" applyAlignment="1" applyProtection="1">
      <alignment vertical="center"/>
      <protection locked="0"/>
    </xf>
    <xf numFmtId="0" fontId="27" fillId="27" borderId="10" xfId="0" applyFont="1" applyFill="1" applyBorder="1" applyAlignment="1" applyProtection="1">
      <alignment horizontal="center" vertical="center"/>
      <protection locked="0"/>
    </xf>
    <xf numFmtId="0" fontId="27" fillId="27" borderId="10" xfId="0" applyFont="1" applyFill="1" applyBorder="1" applyAlignment="1" applyProtection="1">
      <alignment vertical="center"/>
      <protection locked="0"/>
    </xf>
    <xf numFmtId="195"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vertical="center" wrapText="1"/>
      <protection locked="0"/>
    </xf>
    <xf numFmtId="178"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left" vertical="center" wrapText="1"/>
      <protection locked="0"/>
    </xf>
    <xf numFmtId="0" fontId="27" fillId="27" borderId="10" xfId="0" applyFont="1" applyFill="1" applyBorder="1" applyAlignment="1" applyProtection="1">
      <alignment horizontal="left" vertical="center" wrapText="1" shrinkToFit="1"/>
      <protection locked="0"/>
    </xf>
    <xf numFmtId="0" fontId="27" fillId="27" borderId="10" xfId="0" applyFont="1" applyFill="1" applyBorder="1" applyAlignment="1" applyProtection="1">
      <alignment horizontal="center" vertical="center" wrapText="1" shrinkToFit="1"/>
      <protection locked="0"/>
    </xf>
    <xf numFmtId="0" fontId="27" fillId="27" borderId="147" xfId="0" applyFont="1" applyFill="1" applyBorder="1" applyAlignment="1" applyProtection="1">
      <alignment horizontal="center" vertical="center" wrapText="1"/>
      <protection locked="0"/>
    </xf>
    <xf numFmtId="0" fontId="27" fillId="27" borderId="147" xfId="0" applyFont="1" applyFill="1" applyBorder="1" applyAlignment="1" applyProtection="1">
      <alignment horizontal="center" vertical="center" wrapText="1" shrinkToFit="1"/>
      <protection locked="0"/>
    </xf>
    <xf numFmtId="0" fontId="27" fillId="27" borderId="147" xfId="0" applyFont="1" applyFill="1" applyBorder="1" applyAlignment="1" applyProtection="1">
      <alignment vertical="center" wrapText="1"/>
      <protection locked="0"/>
    </xf>
    <xf numFmtId="0" fontId="27" fillId="24" borderId="56" xfId="0" applyFont="1" applyFill="1" applyBorder="1" applyAlignment="1">
      <alignment horizontal="center" vertical="center" shrinkToFit="1"/>
    </xf>
    <xf numFmtId="0" fontId="27" fillId="27" borderId="56" xfId="0" applyFont="1" applyFill="1" applyBorder="1" applyAlignment="1" applyProtection="1">
      <alignment horizontal="center" vertical="center" wrapText="1"/>
      <protection locked="0"/>
    </xf>
    <xf numFmtId="0" fontId="27" fillId="27" borderId="56" xfId="0" applyFont="1" applyFill="1" applyBorder="1" applyAlignment="1" applyProtection="1">
      <alignment horizontal="center" vertical="center" wrapText="1" shrinkToFit="1"/>
      <protection locked="0"/>
    </xf>
    <xf numFmtId="0" fontId="27" fillId="27" borderId="200" xfId="0" applyFont="1" applyFill="1" applyBorder="1" applyAlignment="1" applyProtection="1">
      <alignment vertical="center" wrapText="1"/>
      <protection locked="0"/>
    </xf>
    <xf numFmtId="0" fontId="27" fillId="27" borderId="56" xfId="0" applyFont="1" applyFill="1" applyBorder="1" applyAlignment="1" applyProtection="1">
      <alignment vertical="center" wrapText="1"/>
      <protection locked="0"/>
    </xf>
    <xf numFmtId="0" fontId="27" fillId="27" borderId="201" xfId="0" applyFont="1" applyFill="1" applyBorder="1" applyAlignment="1" applyProtection="1">
      <alignment horizontal="center" vertical="center" wrapText="1"/>
      <protection locked="0"/>
    </xf>
    <xf numFmtId="0" fontId="27" fillId="27" borderId="201" xfId="0" applyFont="1" applyFill="1" applyBorder="1" applyAlignment="1" applyProtection="1">
      <alignment horizontal="center" vertical="center" wrapText="1" shrinkToFit="1"/>
      <protection locked="0"/>
    </xf>
    <xf numFmtId="0" fontId="27" fillId="27" borderId="201" xfId="0" applyFont="1" applyFill="1" applyBorder="1" applyAlignment="1" applyProtection="1">
      <alignment vertical="center" wrapText="1"/>
      <protection locked="0"/>
    </xf>
    <xf numFmtId="0" fontId="27" fillId="27" borderId="200" xfId="0" applyFont="1" applyFill="1" applyBorder="1" applyAlignment="1" applyProtection="1">
      <alignment horizontal="center" vertical="center" wrapText="1"/>
      <protection locked="0"/>
    </xf>
    <xf numFmtId="0" fontId="27" fillId="27" borderId="200" xfId="0" applyFont="1" applyFill="1" applyBorder="1" applyAlignment="1" applyProtection="1">
      <alignment horizontal="center" vertical="center" wrapText="1" shrinkToFit="1"/>
      <protection locked="0"/>
    </xf>
    <xf numFmtId="0" fontId="27" fillId="24" borderId="56" xfId="0" applyFont="1" applyFill="1" applyBorder="1" applyAlignment="1" applyProtection="1">
      <alignment horizontal="center" vertical="center" wrapText="1"/>
      <protection locked="0"/>
    </xf>
    <xf numFmtId="9" fontId="27" fillId="27" borderId="200" xfId="0" applyNumberFormat="1" applyFont="1" applyFill="1" applyBorder="1" applyAlignment="1" applyProtection="1">
      <alignment horizontal="center" vertical="center" wrapText="1"/>
      <protection locked="0"/>
    </xf>
    <xf numFmtId="0" fontId="27" fillId="27" borderId="200" xfId="0" applyFont="1" applyFill="1" applyBorder="1" applyAlignment="1" applyProtection="1">
      <alignment vertical="center"/>
      <protection locked="0"/>
    </xf>
    <xf numFmtId="0" fontId="27" fillId="27" borderId="56" xfId="0" applyFont="1" applyFill="1" applyBorder="1" applyAlignment="1" applyProtection="1">
      <alignment vertical="center"/>
      <protection locked="0"/>
    </xf>
    <xf numFmtId="9" fontId="27" fillId="27" borderId="150" xfId="0" applyNumberFormat="1" applyFont="1" applyFill="1" applyBorder="1" applyAlignment="1" applyProtection="1">
      <alignment horizontal="center" vertical="center" wrapText="1" shrinkToFit="1"/>
      <protection locked="0"/>
    </xf>
    <xf numFmtId="0" fontId="27" fillId="27" borderId="150" xfId="0" applyFont="1" applyFill="1" applyBorder="1" applyAlignment="1" applyProtection="1">
      <alignment vertical="center"/>
      <protection locked="0"/>
    </xf>
    <xf numFmtId="178" fontId="27" fillId="27" borderId="23" xfId="0" applyNumberFormat="1" applyFont="1" applyFill="1" applyBorder="1" applyAlignment="1" applyProtection="1">
      <alignment horizontal="center" vertical="center"/>
      <protection locked="0"/>
    </xf>
    <xf numFmtId="195" fontId="27" fillId="27" borderId="22" xfId="0" applyNumberFormat="1" applyFont="1" applyFill="1" applyBorder="1" applyAlignment="1" applyProtection="1">
      <alignment horizontal="center" vertical="center"/>
      <protection locked="0"/>
    </xf>
    <xf numFmtId="0" fontId="27" fillId="27" borderId="22" xfId="0" applyFont="1" applyFill="1" applyBorder="1" applyAlignment="1" applyProtection="1">
      <alignment vertical="center" wrapText="1"/>
      <protection locked="0"/>
    </xf>
    <xf numFmtId="195" fontId="27" fillId="27" borderId="23" xfId="0" applyNumberFormat="1" applyFont="1" applyFill="1" applyBorder="1" applyAlignment="1" applyProtection="1">
      <alignment horizontal="center" vertical="center"/>
      <protection locked="0"/>
    </xf>
    <xf numFmtId="0" fontId="27" fillId="27" borderId="23" xfId="0" applyFont="1" applyFill="1" applyBorder="1" applyAlignment="1" applyProtection="1">
      <alignment vertical="center" wrapText="1"/>
      <protection locked="0"/>
    </xf>
    <xf numFmtId="9" fontId="27" fillId="27" borderId="22" xfId="0" applyNumberFormat="1" applyFont="1" applyFill="1" applyBorder="1" applyAlignment="1" applyProtection="1">
      <alignment horizontal="center" vertical="center"/>
      <protection locked="0"/>
    </xf>
    <xf numFmtId="9"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center" vertical="center" wrapText="1"/>
      <protection locked="0"/>
    </xf>
    <xf numFmtId="38" fontId="27" fillId="27" borderId="23" xfId="35" applyFont="1" applyFill="1" applyBorder="1" applyAlignment="1" applyProtection="1">
      <alignment horizontal="center" vertical="center" wrapText="1"/>
      <protection locked="0"/>
    </xf>
    <xf numFmtId="0" fontId="27" fillId="27" borderId="23" xfId="0" applyFont="1" applyFill="1" applyBorder="1" applyAlignment="1" applyProtection="1">
      <alignment vertical="center"/>
      <protection locked="0"/>
    </xf>
    <xf numFmtId="0" fontId="27" fillId="27" borderId="200" xfId="0" applyFont="1" applyFill="1" applyBorder="1" applyAlignment="1" applyProtection="1">
      <alignment horizontal="center" vertical="center"/>
      <protection locked="0"/>
    </xf>
    <xf numFmtId="0" fontId="27" fillId="27" borderId="56" xfId="0" applyFont="1" applyFill="1" applyBorder="1" applyAlignment="1" applyProtection="1">
      <alignment horizontal="center" vertical="center"/>
      <protection locked="0"/>
    </xf>
    <xf numFmtId="0" fontId="27" fillId="27" borderId="150" xfId="0" applyFont="1" applyFill="1" applyBorder="1" applyAlignment="1" applyProtection="1">
      <alignment horizontal="center" vertical="center"/>
      <protection locked="0"/>
    </xf>
    <xf numFmtId="0" fontId="60" fillId="28" borderId="75" xfId="0" applyNumberFormat="1" applyFont="1" applyFill="1" applyBorder="1" applyAlignment="1" applyProtection="1">
      <alignment vertical="center"/>
    </xf>
    <xf numFmtId="0" fontId="49" fillId="28" borderId="81" xfId="0" applyFont="1" applyFill="1" applyBorder="1" applyAlignment="1" applyProtection="1">
      <alignment horizontal="left" vertical="center"/>
    </xf>
    <xf numFmtId="0" fontId="49" fillId="28" borderId="81" xfId="0" applyFont="1" applyFill="1" applyBorder="1" applyAlignment="1" applyProtection="1">
      <alignment vertical="center"/>
    </xf>
    <xf numFmtId="0" fontId="85" fillId="28" borderId="110" xfId="0" applyFont="1" applyFill="1" applyBorder="1" applyAlignment="1" applyProtection="1">
      <alignment vertical="center"/>
    </xf>
    <xf numFmtId="0" fontId="60" fillId="35" borderId="75" xfId="0" applyFont="1" applyFill="1" applyBorder="1" applyAlignment="1" applyProtection="1">
      <alignment vertical="center"/>
    </xf>
    <xf numFmtId="0" fontId="31" fillId="35" borderId="81" xfId="44" applyFont="1" applyFill="1" applyBorder="1" applyAlignment="1" applyProtection="1">
      <alignment vertical="center"/>
    </xf>
    <xf numFmtId="0" fontId="31" fillId="35" borderId="81" xfId="44" applyFont="1" applyFill="1" applyBorder="1" applyAlignment="1" applyProtection="1">
      <alignment horizontal="left" vertical="center"/>
    </xf>
    <xf numFmtId="0" fontId="31" fillId="35" borderId="81" xfId="44" applyNumberFormat="1" applyFont="1" applyFill="1" applyBorder="1" applyAlignment="1" applyProtection="1">
      <alignment vertical="center"/>
    </xf>
    <xf numFmtId="0" fontId="2" fillId="35" borderId="81" xfId="44" applyNumberFormat="1" applyFont="1" applyFill="1" applyBorder="1" applyAlignment="1" applyProtection="1">
      <alignment vertical="center"/>
    </xf>
    <xf numFmtId="0" fontId="2" fillId="35" borderId="81" xfId="0" applyFont="1" applyFill="1" applyBorder="1" applyAlignment="1" applyProtection="1">
      <alignment horizontal="center" vertical="center"/>
    </xf>
    <xf numFmtId="0" fontId="2" fillId="35" borderId="81" xfId="0" applyFont="1" applyFill="1" applyBorder="1" applyAlignment="1" applyProtection="1">
      <alignment vertical="center"/>
    </xf>
    <xf numFmtId="0" fontId="49" fillId="35" borderId="81" xfId="0" applyFont="1" applyFill="1" applyBorder="1" applyAlignment="1" applyProtection="1">
      <alignment vertical="center"/>
    </xf>
    <xf numFmtId="0" fontId="31" fillId="35" borderId="110" xfId="44" applyFont="1" applyFill="1" applyBorder="1" applyAlignment="1" applyProtection="1">
      <alignment vertical="center"/>
    </xf>
    <xf numFmtId="0" fontId="27" fillId="0" borderId="0" xfId="0" applyFont="1" applyBorder="1">
      <alignment vertical="center"/>
    </xf>
    <xf numFmtId="0" fontId="60" fillId="24" borderId="90" xfId="0" applyFont="1" applyFill="1" applyBorder="1" applyAlignment="1" applyProtection="1">
      <alignment vertical="center"/>
    </xf>
    <xf numFmtId="0" fontId="31" fillId="24" borderId="0" xfId="44" applyFont="1" applyFill="1" applyBorder="1" applyAlignment="1" applyProtection="1">
      <alignment vertical="center"/>
    </xf>
    <xf numFmtId="0" fontId="31" fillId="24" borderId="0" xfId="44" applyFont="1" applyFill="1" applyBorder="1" applyAlignment="1" applyProtection="1">
      <alignment horizontal="left" vertical="center"/>
    </xf>
    <xf numFmtId="0" fontId="31" fillId="24" borderId="0" xfId="44" applyNumberFormat="1" applyFont="1" applyFill="1" applyBorder="1" applyAlignment="1" applyProtection="1">
      <alignment vertical="center"/>
    </xf>
    <xf numFmtId="0" fontId="2" fillId="24" borderId="0" xfId="44" applyNumberFormat="1" applyFont="1" applyFill="1" applyBorder="1" applyAlignment="1" applyProtection="1">
      <alignment vertical="center"/>
    </xf>
    <xf numFmtId="0" fontId="27" fillId="24" borderId="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49" fillId="24" borderId="0" xfId="0" applyFont="1" applyFill="1" applyBorder="1" applyAlignment="1" applyProtection="1">
      <alignment vertical="center"/>
    </xf>
    <xf numFmtId="0" fontId="32" fillId="24" borderId="90" xfId="44" applyFont="1" applyFill="1" applyBorder="1" applyAlignment="1" applyProtection="1">
      <alignment vertical="center"/>
    </xf>
    <xf numFmtId="0" fontId="27" fillId="24" borderId="0" xfId="44" applyFont="1" applyFill="1" applyBorder="1" applyAlignment="1" applyProtection="1">
      <alignment horizontal="right" vertical="center"/>
    </xf>
    <xf numFmtId="0" fontId="6" fillId="24" borderId="0" xfId="44" applyFont="1" applyFill="1" applyBorder="1" applyAlignment="1" applyProtection="1">
      <alignment vertical="center"/>
    </xf>
    <xf numFmtId="0" fontId="27" fillId="24" borderId="88" xfId="44" applyFont="1" applyFill="1" applyBorder="1" applyAlignment="1" applyProtection="1">
      <alignment horizontal="right" vertical="center"/>
    </xf>
    <xf numFmtId="0" fontId="41" fillId="24" borderId="0" xfId="44" applyFont="1" applyFill="1" applyBorder="1" applyAlignment="1" applyProtection="1">
      <alignment vertical="center"/>
    </xf>
    <xf numFmtId="0" fontId="110" fillId="24" borderId="0" xfId="44" applyFont="1" applyFill="1" applyBorder="1" applyAlignment="1" applyProtection="1">
      <alignment horizontal="left" vertical="center"/>
    </xf>
    <xf numFmtId="0" fontId="27" fillId="24" borderId="0" xfId="44" applyFont="1" applyFill="1" applyBorder="1" applyAlignment="1" applyProtection="1">
      <alignment vertical="center"/>
      <protection hidden="1"/>
    </xf>
    <xf numFmtId="0" fontId="27" fillId="26" borderId="10" xfId="44" applyFont="1" applyFill="1" applyBorder="1" applyAlignment="1" applyProtection="1">
      <alignment horizontal="center" vertical="center"/>
    </xf>
    <xf numFmtId="179" fontId="27" fillId="26" borderId="10" xfId="44" applyNumberFormat="1" applyFont="1" applyFill="1" applyBorder="1" applyAlignment="1" applyProtection="1">
      <alignment horizontal="center" vertical="center"/>
    </xf>
    <xf numFmtId="0" fontId="27" fillId="26" borderId="10" xfId="44" applyFont="1" applyFill="1" applyBorder="1" applyAlignment="1" applyProtection="1">
      <alignment vertical="center"/>
    </xf>
    <xf numFmtId="0" fontId="27" fillId="24" borderId="0" xfId="44" applyFont="1" applyFill="1" applyBorder="1" applyAlignment="1" applyProtection="1">
      <alignment vertical="center"/>
    </xf>
    <xf numFmtId="0" fontId="27" fillId="26" borderId="68" xfId="44" applyFont="1" applyFill="1" applyBorder="1" applyAlignment="1" applyProtection="1">
      <alignment vertical="center"/>
    </xf>
    <xf numFmtId="0" fontId="27" fillId="24" borderId="0" xfId="0" applyFont="1" applyFill="1" applyBorder="1">
      <alignment vertical="center"/>
    </xf>
    <xf numFmtId="0" fontId="27" fillId="24" borderId="0" xfId="44" applyFont="1" applyFill="1" applyBorder="1" applyAlignment="1" applyProtection="1">
      <alignment horizontal="left" vertical="center"/>
    </xf>
    <xf numFmtId="38" fontId="27" fillId="0" borderId="0" xfId="35" applyFont="1" applyBorder="1" applyAlignment="1"/>
    <xf numFmtId="0" fontId="27" fillId="0" borderId="0" xfId="44" applyFont="1" applyBorder="1" applyAlignment="1"/>
    <xf numFmtId="0" fontId="6" fillId="24" borderId="88" xfId="44" applyFont="1" applyFill="1" applyBorder="1" applyAlignment="1" applyProtection="1">
      <alignment vertical="center"/>
    </xf>
    <xf numFmtId="179" fontId="27" fillId="24" borderId="153" xfId="44" applyNumberFormat="1" applyFont="1" applyFill="1" applyBorder="1" applyAlignment="1" applyProtection="1">
      <alignment horizontal="center" vertical="center"/>
    </xf>
    <xf numFmtId="0" fontId="6" fillId="24" borderId="50" xfId="44" applyFont="1" applyFill="1" applyBorder="1" applyAlignment="1" applyProtection="1">
      <alignment horizontal="left" vertical="center"/>
    </xf>
    <xf numFmtId="0" fontId="27" fillId="24" borderId="51" xfId="44" applyFont="1" applyFill="1" applyBorder="1" applyAlignment="1" applyProtection="1">
      <alignment vertical="center"/>
    </xf>
    <xf numFmtId="0" fontId="6" fillId="24" borderId="52" xfId="44" applyFont="1" applyFill="1" applyBorder="1" applyAlignment="1" applyProtection="1">
      <alignment vertical="center"/>
    </xf>
    <xf numFmtId="178" fontId="6" fillId="24" borderId="10" xfId="44" applyNumberFormat="1" applyFont="1" applyFill="1" applyBorder="1" applyAlignment="1" applyProtection="1">
      <alignment vertical="center"/>
    </xf>
    <xf numFmtId="178" fontId="6" fillId="24" borderId="68" xfId="44" applyNumberFormat="1" applyFont="1" applyFill="1" applyBorder="1" applyAlignment="1" applyProtection="1">
      <alignment vertical="center"/>
    </xf>
    <xf numFmtId="178" fontId="6" fillId="24" borderId="23" xfId="44" applyNumberFormat="1" applyFont="1" applyFill="1" applyBorder="1" applyAlignment="1" applyProtection="1">
      <alignment vertical="center"/>
    </xf>
    <xf numFmtId="0" fontId="4" fillId="30" borderId="50" xfId="44" applyFont="1" applyFill="1" applyBorder="1" applyAlignment="1" applyProtection="1">
      <alignment vertical="center"/>
    </xf>
    <xf numFmtId="0" fontId="31" fillId="30" borderId="51" xfId="44" applyFont="1" applyFill="1" applyBorder="1" applyAlignment="1" applyProtection="1">
      <alignment horizontal="left" vertical="center"/>
    </xf>
    <xf numFmtId="0" fontId="31" fillId="30" borderId="51" xfId="44" applyFont="1" applyFill="1" applyBorder="1" applyAlignment="1" applyProtection="1">
      <alignment vertical="center"/>
    </xf>
    <xf numFmtId="178" fontId="4" fillId="30" borderId="10" xfId="44" applyNumberFormat="1" applyFont="1" applyFill="1" applyBorder="1" applyAlignment="1" applyProtection="1">
      <alignment horizontal="right" vertical="center"/>
    </xf>
    <xf numFmtId="178" fontId="4" fillId="30" borderId="68" xfId="44" applyNumberFormat="1" applyFont="1" applyFill="1" applyBorder="1" applyAlignment="1" applyProtection="1">
      <alignment horizontal="right" vertical="center"/>
    </xf>
    <xf numFmtId="9" fontId="32" fillId="24" borderId="22" xfId="28" applyFont="1" applyFill="1" applyBorder="1" applyAlignment="1" applyProtection="1">
      <alignment vertical="center"/>
      <protection hidden="1"/>
    </xf>
    <xf numFmtId="9" fontId="32" fillId="24" borderId="66" xfId="44" applyNumberFormat="1" applyFont="1" applyFill="1" applyBorder="1" applyAlignment="1" applyProtection="1">
      <alignment vertical="center"/>
      <protection hidden="1"/>
    </xf>
    <xf numFmtId="0" fontId="27" fillId="24" borderId="88" xfId="44" applyFont="1" applyFill="1" applyBorder="1" applyAlignment="1" applyProtection="1">
      <alignment vertical="center"/>
      <protection hidden="1"/>
    </xf>
    <xf numFmtId="0" fontId="41" fillId="24" borderId="0" xfId="44" applyFont="1" applyFill="1" applyBorder="1" applyAlignment="1" applyProtection="1">
      <alignment horizontal="right" vertical="center"/>
      <protection hidden="1"/>
    </xf>
    <xf numFmtId="0" fontId="27" fillId="24" borderId="105" xfId="44" applyFont="1" applyFill="1" applyBorder="1" applyAlignment="1">
      <alignment vertical="center"/>
    </xf>
    <xf numFmtId="0" fontId="27" fillId="24" borderId="156" xfId="44" applyFont="1" applyFill="1" applyBorder="1" applyAlignment="1" applyProtection="1">
      <alignment vertical="center"/>
      <protection hidden="1"/>
    </xf>
    <xf numFmtId="0" fontId="27" fillId="24" borderId="112" xfId="44" applyFont="1" applyFill="1" applyBorder="1" applyAlignment="1" applyProtection="1">
      <alignment vertical="center"/>
      <protection hidden="1"/>
    </xf>
    <xf numFmtId="0" fontId="70" fillId="0" borderId="0" xfId="44" applyFont="1" applyBorder="1" applyAlignment="1"/>
    <xf numFmtId="0" fontId="32" fillId="0" borderId="0" xfId="44" applyFont="1" applyFill="1" applyBorder="1" applyAlignment="1">
      <alignment vertical="center"/>
    </xf>
    <xf numFmtId="0" fontId="41" fillId="0" borderId="0" xfId="44" applyFont="1" applyFill="1" applyBorder="1" applyAlignment="1">
      <alignment vertical="center"/>
    </xf>
    <xf numFmtId="0" fontId="27" fillId="27" borderId="50" xfId="44" applyFont="1" applyFill="1" applyBorder="1" applyAlignment="1">
      <alignment horizontal="left"/>
    </xf>
    <xf numFmtId="0" fontId="27" fillId="27" borderId="51" xfId="44" applyFont="1" applyFill="1" applyBorder="1" applyAlignment="1">
      <alignment horizontal="center"/>
    </xf>
    <xf numFmtId="0" fontId="27" fillId="27" borderId="51" xfId="44" applyFont="1" applyFill="1" applyBorder="1" applyAlignment="1">
      <alignment horizontal="left"/>
    </xf>
    <xf numFmtId="0" fontId="27" fillId="27" borderId="52" xfId="44" applyFont="1" applyFill="1" applyBorder="1" applyAlignment="1"/>
    <xf numFmtId="0" fontId="27" fillId="0" borderId="0" xfId="44" applyFont="1" applyBorder="1" applyAlignment="1">
      <alignment horizontal="left"/>
    </xf>
    <xf numFmtId="0" fontId="27" fillId="0" borderId="0" xfId="44" applyFont="1" applyFill="1" applyBorder="1" applyAlignment="1">
      <alignment vertical="center"/>
    </xf>
    <xf numFmtId="0" fontId="27" fillId="27" borderId="50" xfId="44" applyFont="1" applyFill="1" applyBorder="1" applyAlignment="1" applyProtection="1">
      <alignment horizontal="left" vertical="center"/>
      <protection hidden="1"/>
    </xf>
    <xf numFmtId="0" fontId="27" fillId="27" borderId="52" xfId="44" applyFont="1" applyFill="1" applyBorder="1" applyAlignment="1">
      <alignment horizontal="left"/>
    </xf>
    <xf numFmtId="0" fontId="27" fillId="24" borderId="50" xfId="44" applyFont="1" applyFill="1" applyBorder="1" applyAlignment="1"/>
    <xf numFmtId="0" fontId="27" fillId="24" borderId="51" xfId="44" applyFont="1" applyFill="1" applyBorder="1" applyAlignment="1">
      <alignment horizontal="left"/>
    </xf>
    <xf numFmtId="0" fontId="27" fillId="24" borderId="51" xfId="44" applyFont="1" applyFill="1" applyBorder="1" applyAlignment="1"/>
    <xf numFmtId="0" fontId="27" fillId="24" borderId="52" xfId="44" applyFont="1" applyFill="1" applyBorder="1" applyAlignment="1"/>
    <xf numFmtId="0" fontId="27" fillId="26" borderId="10" xfId="44" applyFont="1" applyFill="1" applyBorder="1" applyAlignment="1">
      <alignment horizontal="center"/>
    </xf>
    <xf numFmtId="0" fontId="27" fillId="27" borderId="10" xfId="44" applyFont="1" applyFill="1" applyBorder="1" applyAlignment="1">
      <alignment horizontal="center"/>
    </xf>
    <xf numFmtId="0" fontId="27" fillId="26" borderId="0" xfId="44" applyFont="1" applyFill="1" applyBorder="1" applyAlignment="1">
      <alignment horizontal="left"/>
    </xf>
    <xf numFmtId="0" fontId="27" fillId="26" borderId="0" xfId="44" applyFont="1" applyFill="1" applyBorder="1" applyAlignment="1">
      <alignment vertical="center"/>
    </xf>
    <xf numFmtId="0" fontId="27" fillId="26" borderId="50" xfId="44" applyFont="1" applyFill="1" applyBorder="1" applyAlignment="1">
      <alignment horizontal="center"/>
    </xf>
    <xf numFmtId="0" fontId="27" fillId="24" borderId="53" xfId="44" applyFont="1" applyFill="1" applyBorder="1" applyAlignment="1"/>
    <xf numFmtId="0" fontId="27" fillId="24" borderId="54" xfId="44" applyFont="1" applyFill="1" applyBorder="1" applyAlignment="1">
      <alignment horizontal="left"/>
    </xf>
    <xf numFmtId="0" fontId="27" fillId="24" borderId="20" xfId="44" applyFont="1" applyFill="1" applyBorder="1" applyAlignment="1"/>
    <xf numFmtId="9" fontId="27" fillId="24" borderId="52" xfId="44" applyNumberFormat="1" applyFont="1" applyFill="1" applyBorder="1" applyAlignment="1"/>
    <xf numFmtId="0" fontId="27" fillId="26" borderId="53" xfId="44" applyFont="1" applyFill="1" applyBorder="1" applyAlignment="1">
      <alignment horizontal="center"/>
    </xf>
    <xf numFmtId="0" fontId="27" fillId="26" borderId="20" xfId="44" applyFont="1" applyFill="1" applyBorder="1" applyAlignment="1"/>
    <xf numFmtId="0" fontId="27" fillId="26" borderId="153" xfId="44" applyFont="1" applyFill="1" applyBorder="1" applyAlignment="1">
      <alignment horizontal="left"/>
    </xf>
    <xf numFmtId="0" fontId="27" fillId="26" borderId="50" xfId="0" applyFont="1" applyFill="1" applyBorder="1">
      <alignment vertical="center"/>
    </xf>
    <xf numFmtId="9" fontId="27" fillId="26" borderId="52" xfId="44" applyNumberFormat="1" applyFont="1" applyFill="1" applyBorder="1" applyAlignment="1"/>
    <xf numFmtId="0" fontId="27" fillId="26" borderId="61" xfId="44" applyFont="1" applyFill="1" applyBorder="1" applyAlignment="1">
      <alignment horizontal="center"/>
    </xf>
    <xf numFmtId="9" fontId="27" fillId="26" borderId="61" xfId="44" applyNumberFormat="1" applyFont="1" applyFill="1" applyBorder="1" applyAlignment="1">
      <alignment horizontal="center"/>
    </xf>
    <xf numFmtId="0" fontId="27" fillId="26" borderId="22" xfId="44" applyFont="1" applyFill="1" applyBorder="1" applyAlignment="1">
      <alignment horizontal="center"/>
    </xf>
    <xf numFmtId="0" fontId="27" fillId="26" borderId="24" xfId="44" applyFont="1" applyFill="1" applyBorder="1" applyAlignment="1"/>
    <xf numFmtId="0" fontId="27" fillId="26" borderId="59" xfId="44" applyFont="1" applyFill="1" applyBorder="1" applyAlignment="1">
      <alignment horizontal="left"/>
    </xf>
    <xf numFmtId="0" fontId="27" fillId="26" borderId="0" xfId="44" applyFont="1" applyFill="1" applyBorder="1" applyAlignment="1">
      <alignment horizontal="center"/>
    </xf>
    <xf numFmtId="177" fontId="163" fillId="0" borderId="10" xfId="44" applyNumberFormat="1" applyFont="1" applyFill="1" applyBorder="1" applyAlignment="1"/>
    <xf numFmtId="177" fontId="27" fillId="0" borderId="10" xfId="44" applyNumberFormat="1" applyFont="1" applyFill="1" applyBorder="1" applyAlignment="1"/>
    <xf numFmtId="0" fontId="27" fillId="0" borderId="54" xfId="44" applyFont="1" applyBorder="1" applyAlignment="1"/>
    <xf numFmtId="0" fontId="27" fillId="24" borderId="10" xfId="44" applyFont="1" applyFill="1" applyBorder="1" applyAlignment="1">
      <alignment horizontal="center"/>
    </xf>
    <xf numFmtId="0" fontId="27" fillId="24" borderId="54" xfId="44" applyFont="1" applyFill="1" applyBorder="1" applyAlignment="1"/>
    <xf numFmtId="188" fontId="27" fillId="24" borderId="55" xfId="44" applyNumberFormat="1" applyFont="1" applyFill="1" applyBorder="1" applyAlignment="1">
      <alignment horizontal="left"/>
    </xf>
    <xf numFmtId="0" fontId="27" fillId="24" borderId="0" xfId="44" applyFont="1" applyFill="1" applyBorder="1" applyAlignment="1">
      <alignment horizontal="center"/>
    </xf>
    <xf numFmtId="9" fontId="27" fillId="26" borderId="51" xfId="0" applyNumberFormat="1" applyFont="1" applyFill="1" applyBorder="1">
      <alignment vertical="center"/>
    </xf>
    <xf numFmtId="40" fontId="27" fillId="0" borderId="10" xfId="35" applyNumberFormat="1" applyFont="1" applyFill="1" applyBorder="1" applyAlignment="1"/>
    <xf numFmtId="0" fontId="27" fillId="24" borderId="24" xfId="44" applyFont="1" applyFill="1" applyBorder="1" applyAlignment="1"/>
    <xf numFmtId="40" fontId="27" fillId="0" borderId="23" xfId="35" applyNumberFormat="1" applyFont="1" applyFill="1" applyBorder="1" applyAlignment="1"/>
    <xf numFmtId="0" fontId="27" fillId="24" borderId="51" xfId="44" applyFont="1" applyFill="1" applyBorder="1" applyAlignment="1">
      <alignment horizontal="center"/>
    </xf>
    <xf numFmtId="9" fontId="27" fillId="26" borderId="54" xfId="0" applyNumberFormat="1" applyFont="1" applyFill="1" applyBorder="1">
      <alignment vertical="center"/>
    </xf>
    <xf numFmtId="40" fontId="27" fillId="33" borderId="23" xfId="35" applyNumberFormat="1" applyFont="1" applyFill="1" applyBorder="1" applyAlignment="1"/>
    <xf numFmtId="0" fontId="27" fillId="0" borderId="54" xfId="44" applyFont="1" applyBorder="1" applyAlignment="1">
      <alignment horizontal="left"/>
    </xf>
    <xf numFmtId="198" fontId="27" fillId="0" borderId="10" xfId="44" applyNumberFormat="1" applyFont="1" applyBorder="1" applyAlignment="1"/>
    <xf numFmtId="0" fontId="27" fillId="0" borderId="53" xfId="44" applyFont="1" applyBorder="1" applyAlignment="1"/>
    <xf numFmtId="0" fontId="27" fillId="0" borderId="55" xfId="44" applyFont="1" applyBorder="1" applyAlignment="1"/>
    <xf numFmtId="0" fontId="28" fillId="0" borderId="0" xfId="44" applyFont="1" applyBorder="1" applyAlignment="1"/>
    <xf numFmtId="0" fontId="27" fillId="0" borderId="153" xfId="44" applyFont="1" applyBorder="1" applyAlignment="1"/>
    <xf numFmtId="0" fontId="27" fillId="0" borderId="20" xfId="44" applyFont="1" applyBorder="1" applyAlignment="1"/>
    <xf numFmtId="0" fontId="28" fillId="0" borderId="24" xfId="44" applyFont="1" applyBorder="1" applyAlignment="1"/>
    <xf numFmtId="0" fontId="27" fillId="0" borderId="59" xfId="44" applyFont="1" applyBorder="1" applyAlignment="1"/>
    <xf numFmtId="0" fontId="27" fillId="0" borderId="60" xfId="44" applyFont="1" applyBorder="1" applyAlignment="1"/>
    <xf numFmtId="188" fontId="27" fillId="24" borderId="52" xfId="44" applyNumberFormat="1" applyFont="1" applyFill="1" applyBorder="1" applyAlignment="1">
      <alignment horizontal="left"/>
    </xf>
    <xf numFmtId="0" fontId="27" fillId="0" borderId="10" xfId="44" applyFont="1" applyBorder="1" applyAlignment="1"/>
    <xf numFmtId="9" fontId="27" fillId="0" borderId="10" xfId="28" applyFont="1" applyFill="1" applyBorder="1" applyAlignment="1"/>
    <xf numFmtId="0" fontId="27" fillId="0" borderId="10" xfId="44" applyFont="1" applyFill="1" applyBorder="1" applyAlignment="1"/>
    <xf numFmtId="0" fontId="32" fillId="0" borderId="0" xfId="44" applyFont="1" applyBorder="1" applyAlignment="1"/>
    <xf numFmtId="0" fontId="27" fillId="0" borderId="0" xfId="44" applyFont="1" applyFill="1" applyBorder="1" applyAlignment="1" applyProtection="1">
      <alignment horizontal="left" vertical="center"/>
      <protection hidden="1"/>
    </xf>
    <xf numFmtId="0" fontId="27" fillId="0" borderId="0" xfId="44" applyFont="1" applyFill="1" applyBorder="1" applyAlignment="1">
      <alignment horizontal="left"/>
    </xf>
    <xf numFmtId="38" fontId="27" fillId="0" borderId="10" xfId="35" applyFont="1" applyBorder="1" applyAlignment="1"/>
    <xf numFmtId="187" fontId="27" fillId="0" borderId="10" xfId="44" applyNumberFormat="1" applyFont="1" applyFill="1" applyBorder="1" applyAlignment="1"/>
    <xf numFmtId="0" fontId="27" fillId="0" borderId="0" xfId="44" applyFont="1" applyFill="1" applyBorder="1" applyAlignment="1"/>
    <xf numFmtId="187" fontId="27" fillId="0" borderId="10" xfId="44" applyNumberFormat="1" applyFont="1" applyFill="1" applyBorder="1" applyAlignment="1"/>
    <xf numFmtId="0" fontId="67" fillId="0" borderId="0" xfId="0" applyFont="1" applyFill="1" applyAlignment="1">
      <alignment horizontal="left"/>
    </xf>
    <xf numFmtId="0" fontId="27" fillId="0" borderId="0" xfId="0" applyFont="1" applyFill="1" applyAlignment="1"/>
    <xf numFmtId="177" fontId="67" fillId="0" borderId="0" xfId="35" applyNumberFormat="1" applyFont="1" applyFill="1" applyBorder="1" applyAlignment="1"/>
    <xf numFmtId="0" fontId="67" fillId="0" borderId="0" xfId="0" applyFont="1" applyFill="1" applyBorder="1">
      <alignment vertical="center"/>
    </xf>
    <xf numFmtId="49" fontId="67" fillId="0" borderId="0" xfId="35" applyNumberFormat="1" applyFont="1" applyFill="1" applyBorder="1" applyAlignment="1">
      <alignment horizontal="center"/>
    </xf>
    <xf numFmtId="2" fontId="67" fillId="0" borderId="0" xfId="0" applyNumberFormat="1" applyFont="1" applyFill="1" applyBorder="1" applyAlignment="1">
      <alignment horizontal="left"/>
    </xf>
    <xf numFmtId="2" fontId="67" fillId="0" borderId="0" xfId="0" applyNumberFormat="1" applyFont="1" applyFill="1" applyBorder="1" applyAlignment="1">
      <alignment horizontal="center"/>
    </xf>
    <xf numFmtId="0" fontId="67" fillId="0" borderId="0" xfId="0" applyNumberFormat="1" applyFont="1" applyFill="1" applyBorder="1">
      <alignment vertical="center"/>
    </xf>
    <xf numFmtId="0" fontId="6" fillId="0" borderId="0" xfId="0" applyFont="1" applyFill="1">
      <alignment vertical="center"/>
    </xf>
    <xf numFmtId="0" fontId="27" fillId="0" borderId="0" xfId="0" applyFont="1" applyFill="1" applyAlignment="1" applyProtection="1">
      <protection hidden="1"/>
    </xf>
    <xf numFmtId="177" fontId="165" fillId="0" borderId="0" xfId="35" applyNumberFormat="1" applyFont="1" applyFill="1" applyBorder="1" applyAlignment="1" applyProtection="1">
      <protection hidden="1"/>
    </xf>
    <xf numFmtId="0" fontId="165" fillId="0" borderId="0" xfId="0" applyFont="1" applyFill="1" applyBorder="1" applyProtection="1">
      <alignment vertical="center"/>
      <protection hidden="1"/>
    </xf>
    <xf numFmtId="2" fontId="164" fillId="0" borderId="0" xfId="0" applyNumberFormat="1" applyFont="1" applyFill="1" applyBorder="1" applyAlignment="1" applyProtection="1">
      <alignment horizontal="left"/>
      <protection hidden="1"/>
    </xf>
    <xf numFmtId="49" fontId="164" fillId="0" borderId="0" xfId="0" applyNumberFormat="1" applyFont="1" applyFill="1" applyBorder="1" applyProtection="1">
      <alignment vertical="center"/>
      <protection hidden="1"/>
    </xf>
    <xf numFmtId="0" fontId="83" fillId="0" borderId="0" xfId="0" applyFont="1">
      <alignment vertical="center"/>
    </xf>
    <xf numFmtId="2" fontId="165" fillId="0" borderId="0" xfId="0" applyNumberFormat="1" applyFont="1" applyFill="1" applyBorder="1" applyAlignment="1" applyProtection="1">
      <alignment horizontal="center"/>
      <protection hidden="1"/>
    </xf>
    <xf numFmtId="0" fontId="165" fillId="0" borderId="0" xfId="0" applyNumberFormat="1" applyFont="1" applyFill="1" applyBorder="1">
      <alignment vertical="center"/>
    </xf>
    <xf numFmtId="0" fontId="83" fillId="0" borderId="0" xfId="0" applyFont="1" applyFill="1">
      <alignment vertical="center"/>
    </xf>
    <xf numFmtId="2" fontId="165" fillId="0" borderId="0" xfId="0" applyNumberFormat="1" applyFont="1" applyFill="1" applyBorder="1" applyAlignment="1" applyProtection="1">
      <alignment horizontal="left"/>
      <protection hidden="1"/>
    </xf>
    <xf numFmtId="0" fontId="67" fillId="38" borderId="50" xfId="0" applyFont="1" applyFill="1" applyBorder="1" applyAlignment="1" applyProtection="1">
      <alignment horizontal="centerContinuous" vertical="center"/>
      <protection hidden="1"/>
    </xf>
    <xf numFmtId="0" fontId="67" fillId="38" borderId="52" xfId="0" applyFont="1" applyFill="1" applyBorder="1" applyAlignment="1" applyProtection="1">
      <alignment horizontal="centerContinuous" vertical="center"/>
      <protection hidden="1"/>
    </xf>
    <xf numFmtId="0" fontId="67" fillId="0" borderId="0" xfId="0" applyFont="1" applyFill="1" applyBorder="1" applyProtection="1">
      <alignment vertical="center"/>
      <protection hidden="1"/>
    </xf>
    <xf numFmtId="0" fontId="6" fillId="38" borderId="10" xfId="0" applyFont="1" applyFill="1" applyBorder="1" applyAlignment="1" applyProtection="1">
      <alignment horizontal="center" vertical="center"/>
      <protection hidden="1"/>
    </xf>
    <xf numFmtId="2" fontId="67" fillId="38" borderId="50" xfId="0" applyNumberFormat="1" applyFont="1" applyFill="1" applyBorder="1" applyAlignment="1" applyProtection="1">
      <alignment horizontal="centerContinuous"/>
      <protection hidden="1"/>
    </xf>
    <xf numFmtId="2" fontId="67" fillId="38" borderId="51" xfId="0" applyNumberFormat="1" applyFont="1" applyFill="1" applyBorder="1" applyAlignment="1" applyProtection="1">
      <alignment horizontal="centerContinuous"/>
      <protection hidden="1"/>
    </xf>
    <xf numFmtId="2" fontId="67" fillId="38" borderId="52" xfId="0" applyNumberFormat="1" applyFont="1" applyFill="1" applyBorder="1" applyAlignment="1" applyProtection="1">
      <alignment horizontal="centerContinuous"/>
      <protection hidden="1"/>
    </xf>
    <xf numFmtId="0" fontId="155" fillId="0" borderId="0" xfId="0" applyNumberFormat="1" applyFont="1" applyFill="1" applyBorder="1" applyAlignment="1">
      <alignment horizontal="left" vertical="top"/>
    </xf>
    <xf numFmtId="0" fontId="6" fillId="38" borderId="24" xfId="0" applyFont="1" applyFill="1" applyBorder="1" applyAlignment="1" applyProtection="1">
      <alignment horizontal="center" vertical="center"/>
      <protection hidden="1"/>
    </xf>
    <xf numFmtId="177" fontId="67" fillId="38" borderId="10" xfId="35" applyNumberFormat="1" applyFont="1" applyFill="1" applyBorder="1" applyAlignment="1" applyProtection="1">
      <alignment horizontal="center"/>
      <protection hidden="1"/>
    </xf>
    <xf numFmtId="0" fontId="67" fillId="0" borderId="0" xfId="0" applyFont="1" applyFill="1" applyBorder="1" applyAlignment="1" applyProtection="1">
      <alignment horizontal="center"/>
      <protection hidden="1"/>
    </xf>
    <xf numFmtId="2" fontId="67" fillId="38" borderId="10" xfId="0" applyNumberFormat="1" applyFont="1" applyFill="1" applyBorder="1" applyAlignment="1" applyProtection="1">
      <alignment horizontal="center" vertical="top"/>
      <protection hidden="1"/>
    </xf>
    <xf numFmtId="2" fontId="67" fillId="38" borderId="50" xfId="0" applyNumberFormat="1" applyFont="1" applyFill="1" applyBorder="1" applyAlignment="1" applyProtection="1">
      <alignment horizontal="center" vertical="top"/>
      <protection hidden="1"/>
    </xf>
    <xf numFmtId="2" fontId="67" fillId="38" borderId="52" xfId="0" applyNumberFormat="1" applyFont="1" applyFill="1" applyBorder="1" applyAlignment="1" applyProtection="1">
      <alignment horizontal="center" vertical="top"/>
      <protection hidden="1"/>
    </xf>
    <xf numFmtId="0" fontId="67" fillId="0" borderId="0" xfId="0" applyNumberFormat="1" applyFont="1" applyFill="1" applyBorder="1" applyAlignment="1">
      <alignment horizontal="center" vertical="top"/>
    </xf>
    <xf numFmtId="0" fontId="27" fillId="38" borderId="60" xfId="0" applyFont="1" applyFill="1" applyBorder="1" applyAlignment="1" applyProtection="1">
      <alignment horizontal="center" vertical="center"/>
      <protection hidden="1"/>
    </xf>
    <xf numFmtId="190" fontId="67" fillId="38" borderId="10" xfId="35" applyNumberFormat="1" applyFont="1" applyFill="1" applyBorder="1" applyAlignment="1" applyProtection="1">
      <alignment horizontal="center" vertical="top"/>
      <protection hidden="1"/>
    </xf>
    <xf numFmtId="0" fontId="4" fillId="38" borderId="10"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center" vertical="center"/>
      <protection hidden="1"/>
    </xf>
    <xf numFmtId="177" fontId="29" fillId="38" borderId="10" xfId="35" applyNumberFormat="1"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4" fillId="38" borderId="10" xfId="0" applyFont="1" applyFill="1" applyBorder="1" applyAlignment="1" applyProtection="1">
      <alignment horizontal="center" vertical="center"/>
      <protection hidden="1"/>
    </xf>
    <xf numFmtId="190" fontId="29" fillId="38" borderId="10" xfId="35" applyNumberFormat="1" applyFont="1" applyFill="1" applyBorder="1" applyAlignment="1" applyProtection="1">
      <alignment horizontal="center" vertical="top"/>
      <protection hidden="1"/>
    </xf>
    <xf numFmtId="190" fontId="29" fillId="38" borderId="50" xfId="35" applyNumberFormat="1" applyFont="1" applyFill="1" applyBorder="1" applyAlignment="1" applyProtection="1">
      <alignment horizontal="center" vertical="top"/>
      <protection hidden="1"/>
    </xf>
    <xf numFmtId="190" fontId="29" fillId="38" borderId="52" xfId="0" applyNumberFormat="1" applyFont="1" applyFill="1" applyBorder="1" applyAlignment="1" applyProtection="1">
      <alignment horizontal="center" vertical="top"/>
      <protection hidden="1"/>
    </xf>
    <xf numFmtId="0" fontId="29" fillId="0" borderId="0" xfId="0" applyNumberFormat="1" applyFont="1" applyFill="1" applyBorder="1" applyAlignment="1">
      <alignment horizontal="center" vertical="top"/>
    </xf>
    <xf numFmtId="0" fontId="4" fillId="0" borderId="0" xfId="0" applyFont="1" applyFill="1">
      <alignment vertical="center"/>
    </xf>
    <xf numFmtId="0" fontId="41" fillId="26" borderId="10" xfId="0" applyNumberFormat="1" applyFont="1" applyFill="1" applyBorder="1" applyAlignment="1" applyProtection="1">
      <alignment horizontal="left" vertical="center"/>
      <protection hidden="1"/>
    </xf>
    <xf numFmtId="0" fontId="41" fillId="26" borderId="10" xfId="0" applyNumberFormat="1" applyFont="1" applyFill="1" applyBorder="1" applyAlignment="1" applyProtection="1">
      <alignment vertical="center"/>
      <protection hidden="1"/>
    </xf>
    <xf numFmtId="197" fontId="41" fillId="26" borderId="10" xfId="35" applyNumberFormat="1" applyFont="1" applyFill="1" applyBorder="1" applyAlignment="1" applyProtection="1">
      <alignment vertical="center"/>
      <protection hidden="1"/>
    </xf>
    <xf numFmtId="187" fontId="155" fillId="26" borderId="10" xfId="35" applyNumberFormat="1" applyFont="1" applyFill="1" applyBorder="1" applyAlignment="1" applyProtection="1">
      <protection hidden="1"/>
    </xf>
    <xf numFmtId="0" fontId="155" fillId="0" borderId="0" xfId="0" applyFont="1" applyFill="1" applyBorder="1" applyProtection="1">
      <alignment vertical="center"/>
      <protection hidden="1"/>
    </xf>
    <xf numFmtId="0" fontId="155" fillId="26" borderId="10" xfId="0" applyNumberFormat="1" applyFont="1" applyFill="1" applyBorder="1" applyAlignment="1" applyProtection="1">
      <alignment horizontal="left" vertical="center"/>
      <protection hidden="1"/>
    </xf>
    <xf numFmtId="190" fontId="41" fillId="26" borderId="10" xfId="35" applyNumberFormat="1" applyFont="1" applyFill="1" applyBorder="1" applyAlignment="1" applyProtection="1">
      <alignment horizontal="center" vertical="center"/>
      <protection hidden="1"/>
    </xf>
    <xf numFmtId="0" fontId="155" fillId="0" borderId="0" xfId="35" applyNumberFormat="1" applyFont="1" applyFill="1" applyBorder="1" applyAlignment="1">
      <alignment horizontal="right" vertical="center"/>
    </xf>
    <xf numFmtId="0" fontId="32" fillId="0" borderId="0" xfId="0" applyFont="1" applyFill="1">
      <alignment vertical="center"/>
    </xf>
    <xf numFmtId="0" fontId="155" fillId="24" borderId="10" xfId="0" applyNumberFormat="1" applyFont="1" applyFill="1" applyBorder="1" applyAlignment="1" applyProtection="1">
      <alignment horizontal="left" vertical="center"/>
      <protection hidden="1"/>
    </xf>
    <xf numFmtId="0" fontId="41" fillId="24" borderId="10" xfId="0" applyNumberFormat="1" applyFont="1" applyFill="1" applyBorder="1" applyAlignment="1" applyProtection="1">
      <alignment vertical="center"/>
      <protection hidden="1"/>
    </xf>
    <xf numFmtId="197" fontId="41" fillId="24" borderId="10" xfId="35" applyNumberFormat="1" applyFont="1" applyFill="1" applyBorder="1" applyAlignment="1" applyProtection="1">
      <alignment vertical="center"/>
      <protection hidden="1"/>
    </xf>
    <xf numFmtId="187" fontId="155" fillId="24" borderId="1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protection hidden="1"/>
    </xf>
    <xf numFmtId="190" fontId="41" fillId="24" borderId="50" xfId="35" applyNumberFormat="1" applyFont="1" applyFill="1" applyBorder="1" applyAlignment="1" applyProtection="1">
      <alignment horizontal="center" vertical="center"/>
      <protection hidden="1"/>
    </xf>
    <xf numFmtId="0" fontId="155" fillId="0" borderId="0" xfId="35" applyNumberFormat="1" applyFont="1" applyFill="1" applyBorder="1" applyAlignment="1"/>
    <xf numFmtId="0" fontId="67" fillId="24" borderId="10" xfId="0" applyNumberFormat="1" applyFont="1" applyFill="1" applyBorder="1" applyAlignment="1" applyProtection="1">
      <alignment horizontal="left" vertical="center"/>
      <protection hidden="1"/>
    </xf>
    <xf numFmtId="0" fontId="27" fillId="24" borderId="10" xfId="0" applyFont="1" applyFill="1" applyBorder="1" applyAlignment="1" applyProtection="1">
      <alignment vertical="center"/>
      <protection hidden="1"/>
    </xf>
    <xf numFmtId="197" fontId="27" fillId="24" borderId="10" xfId="35" applyNumberFormat="1" applyFont="1" applyFill="1" applyBorder="1" applyAlignment="1" applyProtection="1">
      <alignment vertical="center"/>
      <protection hidden="1"/>
    </xf>
    <xf numFmtId="187" fontId="67" fillId="24" borderId="10" xfId="35" applyNumberFormat="1" applyFont="1" applyFill="1" applyBorder="1" applyAlignment="1" applyProtection="1">
      <protection hidden="1"/>
    </xf>
    <xf numFmtId="49"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vertical="center"/>
      <protection hidden="1"/>
    </xf>
    <xf numFmtId="190" fontId="27" fillId="24" borderId="52" xfId="35" applyNumberFormat="1" applyFont="1" applyFill="1" applyBorder="1" applyAlignment="1" applyProtection="1">
      <alignment horizontal="center" vertical="center"/>
      <protection hidden="1"/>
    </xf>
    <xf numFmtId="0" fontId="67" fillId="0" borderId="0" xfId="35" applyNumberFormat="1" applyFont="1" applyFill="1" applyBorder="1" applyAlignment="1">
      <alignment vertical="center"/>
    </xf>
    <xf numFmtId="0" fontId="67" fillId="24" borderId="10" xfId="0" applyFont="1" applyFill="1" applyBorder="1" applyAlignment="1" applyProtection="1">
      <alignment horizontal="left" vertical="center"/>
      <protection hidden="1"/>
    </xf>
    <xf numFmtId="197" fontId="27" fillId="24" borderId="10" xfId="35" applyNumberFormat="1" applyFont="1" applyFill="1" applyBorder="1">
      <alignment vertical="center"/>
    </xf>
    <xf numFmtId="2" fontId="27" fillId="24" borderId="10" xfId="35" applyNumberFormat="1" applyFont="1" applyFill="1" applyBorder="1" applyAlignment="1" applyProtection="1">
      <alignment horizontal="center" vertical="center"/>
      <protection hidden="1"/>
    </xf>
    <xf numFmtId="2" fontId="27" fillId="24" borderId="50" xfId="35" applyNumberFormat="1" applyFont="1" applyFill="1" applyBorder="1" applyAlignment="1" applyProtection="1">
      <alignment horizontal="center" vertical="center"/>
      <protection hidden="1"/>
    </xf>
    <xf numFmtId="2" fontId="27" fillId="24" borderId="52" xfId="35" applyNumberFormat="1" applyFont="1" applyFill="1" applyBorder="1" applyAlignment="1" applyProtection="1">
      <alignment horizontal="center" vertical="center"/>
      <protection hidden="1"/>
    </xf>
    <xf numFmtId="190" fontId="27" fillId="24" borderId="50" xfId="35" applyNumberFormat="1" applyFont="1" applyFill="1" applyBorder="1" applyAlignment="1" applyProtection="1">
      <alignment horizontal="center" vertical="center"/>
      <protection hidden="1"/>
    </xf>
    <xf numFmtId="0" fontId="155" fillId="24" borderId="10" xfId="0" applyFont="1" applyFill="1" applyBorder="1" applyAlignment="1" applyProtection="1">
      <alignment horizontal="left" vertical="center"/>
      <protection hidden="1"/>
    </xf>
    <xf numFmtId="0" fontId="41" fillId="24" borderId="10" xfId="0" applyFont="1" applyFill="1" applyBorder="1" applyAlignment="1" applyProtection="1">
      <alignment vertical="center"/>
      <protection hidden="1"/>
    </xf>
    <xf numFmtId="190" fontId="41" fillId="24" borderId="50" xfId="0"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vertical="center"/>
      <protection hidden="1"/>
    </xf>
    <xf numFmtId="190" fontId="27" fillId="24" borderId="50" xfId="0" applyNumberFormat="1" applyFont="1" applyFill="1" applyBorder="1" applyAlignment="1" applyProtection="1">
      <alignment horizontal="center" vertical="center"/>
      <protection hidden="1"/>
    </xf>
    <xf numFmtId="0" fontId="67" fillId="0" borderId="0" xfId="35" applyNumberFormat="1" applyFont="1" applyFill="1" applyBorder="1" applyAlignment="1">
      <alignment horizontal="right" vertical="center"/>
    </xf>
    <xf numFmtId="190" fontId="27" fillId="24" borderId="10" xfId="0" applyNumberFormat="1" applyFont="1" applyFill="1" applyBorder="1" applyAlignment="1" applyProtection="1">
      <alignment horizontal="center"/>
      <protection hidden="1"/>
    </xf>
    <xf numFmtId="177" fontId="41" fillId="24" borderId="10" xfId="35" applyNumberFormat="1" applyFont="1" applyFill="1" applyBorder="1" applyAlignment="1" applyProtection="1">
      <alignment horizontal="center"/>
      <protection hidden="1"/>
    </xf>
    <xf numFmtId="177" fontId="41" fillId="24" borderId="50" xfId="0" applyNumberFormat="1" applyFont="1" applyFill="1" applyBorder="1" applyAlignment="1" applyProtection="1">
      <alignment horizontal="center" vertical="center"/>
      <protection hidden="1"/>
    </xf>
    <xf numFmtId="177" fontId="27" fillId="24" borderId="10" xfId="35" applyNumberFormat="1" applyFont="1" applyFill="1" applyBorder="1" applyAlignment="1" applyProtection="1">
      <alignment horizontal="center" vertical="center"/>
      <protection hidden="1"/>
    </xf>
    <xf numFmtId="177" fontId="27" fillId="24" borderId="50" xfId="35" applyNumberFormat="1" applyFont="1" applyFill="1" applyBorder="1" applyAlignment="1" applyProtection="1">
      <alignment horizontal="center" vertical="center"/>
      <protection hidden="1"/>
    </xf>
    <xf numFmtId="177" fontId="27" fillId="24" borderId="52" xfId="35" applyNumberFormat="1" applyFont="1" applyFill="1" applyBorder="1" applyAlignment="1" applyProtection="1">
      <alignment horizontal="center" vertical="center"/>
      <protection hidden="1"/>
    </xf>
    <xf numFmtId="177" fontId="67" fillId="24" borderId="10" xfId="35" applyNumberFormat="1" applyFont="1" applyFill="1" applyBorder="1" applyAlignment="1" applyProtection="1">
      <alignment horizontal="center" vertical="center"/>
      <protection hidden="1"/>
    </xf>
    <xf numFmtId="40" fontId="155" fillId="0" borderId="0" xfId="35" applyNumberFormat="1" applyFont="1" applyFill="1" applyBorder="1" applyAlignment="1" applyProtection="1">
      <alignment horizontal="right" vertical="center"/>
      <protection hidden="1"/>
    </xf>
    <xf numFmtId="0" fontId="41" fillId="24" borderId="10" xfId="0" applyNumberFormat="1" applyFont="1" applyFill="1" applyBorder="1" applyAlignment="1" applyProtection="1">
      <alignment horizontal="left" vertical="center"/>
      <protection hidden="1"/>
    </xf>
    <xf numFmtId="40" fontId="155" fillId="0" borderId="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vertical="center"/>
      <protection hidden="1"/>
    </xf>
    <xf numFmtId="40" fontId="67" fillId="0" borderId="0" xfId="35" applyNumberFormat="1" applyFont="1" applyFill="1" applyBorder="1" applyAlignment="1" applyProtection="1">
      <alignment vertical="center"/>
      <protection hidden="1"/>
    </xf>
    <xf numFmtId="40" fontId="67" fillId="0" borderId="0" xfId="35" applyNumberFormat="1" applyFont="1" applyFill="1" applyBorder="1" applyAlignment="1" applyProtection="1">
      <alignment horizontal="right" vertical="center"/>
      <protection hidden="1"/>
    </xf>
    <xf numFmtId="190" fontId="41" fillId="24" borderId="50" xfId="35" applyNumberFormat="1" applyFont="1" applyFill="1" applyBorder="1" applyAlignment="1" applyProtection="1">
      <alignment horizontal="center"/>
      <protection hidden="1"/>
    </xf>
    <xf numFmtId="0" fontId="27" fillId="24" borderId="10" xfId="0" applyNumberFormat="1" applyFont="1" applyFill="1" applyBorder="1" applyAlignment="1" applyProtection="1">
      <alignment horizontal="left" vertical="center"/>
      <protection hidden="1"/>
    </xf>
    <xf numFmtId="197" fontId="27" fillId="24" borderId="10" xfId="35" applyNumberFormat="1" applyFont="1" applyFill="1" applyBorder="1" applyAlignment="1" applyProtection="1">
      <alignment horizontal="left" vertical="center"/>
      <protection hidden="1"/>
    </xf>
    <xf numFmtId="0" fontId="67" fillId="31" borderId="10" xfId="0" applyFont="1" applyFill="1" applyBorder="1" applyAlignment="1" applyProtection="1">
      <alignment horizontal="left" vertical="center"/>
      <protection hidden="1"/>
    </xf>
    <xf numFmtId="0" fontId="27" fillId="31" borderId="10" xfId="0" applyFont="1" applyFill="1" applyBorder="1" applyAlignment="1" applyProtection="1">
      <alignment vertical="center"/>
      <protection hidden="1"/>
    </xf>
    <xf numFmtId="197" fontId="27" fillId="31" borderId="10" xfId="35" applyNumberFormat="1" applyFont="1" applyFill="1" applyBorder="1" applyAlignment="1" applyProtection="1">
      <alignment vertical="center"/>
      <protection hidden="1"/>
    </xf>
    <xf numFmtId="187" fontId="67" fillId="31" borderId="10" xfId="35" applyNumberFormat="1" applyFont="1" applyFill="1" applyBorder="1" applyAlignment="1" applyProtection="1">
      <protection hidden="1"/>
    </xf>
    <xf numFmtId="0" fontId="67" fillId="31" borderId="10" xfId="0" applyNumberFormat="1" applyFont="1" applyFill="1" applyBorder="1" applyAlignment="1" applyProtection="1">
      <alignment horizontal="left" vertical="center"/>
      <protection hidden="1"/>
    </xf>
    <xf numFmtId="190" fontId="27" fillId="31" borderId="10" xfId="35" applyNumberFormat="1" applyFont="1" applyFill="1" applyBorder="1" applyAlignment="1" applyProtection="1">
      <alignment horizontal="center" vertical="center"/>
      <protection hidden="1"/>
    </xf>
    <xf numFmtId="190" fontId="27" fillId="31" borderId="50" xfId="35" applyNumberFormat="1" applyFont="1" applyFill="1" applyBorder="1" applyAlignment="1" applyProtection="1">
      <alignment horizontal="center" vertical="center"/>
      <protection hidden="1"/>
    </xf>
    <xf numFmtId="190" fontId="27" fillId="31" borderId="52" xfId="35" applyNumberFormat="1" applyFont="1" applyFill="1" applyBorder="1" applyAlignment="1" applyProtection="1">
      <alignment horizontal="center" vertical="center"/>
      <protection hidden="1"/>
    </xf>
    <xf numFmtId="0" fontId="41" fillId="24" borderId="10" xfId="0" applyFont="1" applyFill="1" applyBorder="1" applyProtection="1">
      <alignment vertical="center"/>
      <protection hidden="1"/>
    </xf>
    <xf numFmtId="190" fontId="41" fillId="26" borderId="52" xfId="35" applyNumberFormat="1" applyFont="1" applyFill="1" applyBorder="1" applyAlignment="1" applyProtection="1">
      <alignment horizontal="center" vertical="center"/>
      <protection hidden="1"/>
    </xf>
    <xf numFmtId="190" fontId="41" fillId="24" borderId="52"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protection hidden="1"/>
    </xf>
    <xf numFmtId="190" fontId="27" fillId="24" borderId="52" xfId="35" applyNumberFormat="1" applyFont="1" applyFill="1" applyBorder="1" applyAlignment="1" applyProtection="1">
      <alignment horizontal="center"/>
      <protection hidden="1"/>
    </xf>
    <xf numFmtId="0" fontId="155" fillId="31" borderId="10" xfId="0" applyFont="1" applyFill="1" applyBorder="1" applyAlignment="1" applyProtection="1">
      <alignment horizontal="left" vertical="center"/>
      <protection hidden="1"/>
    </xf>
    <xf numFmtId="0" fontId="41" fillId="31" borderId="10" xfId="0" applyFont="1" applyFill="1" applyBorder="1" applyAlignment="1" applyProtection="1">
      <alignment vertical="center"/>
      <protection hidden="1"/>
    </xf>
    <xf numFmtId="187" fontId="155" fillId="31" borderId="10" xfId="35" applyNumberFormat="1" applyFont="1" applyFill="1" applyBorder="1" applyAlignment="1" applyProtection="1">
      <protection hidden="1"/>
    </xf>
    <xf numFmtId="0" fontId="155" fillId="31" borderId="10" xfId="0" applyNumberFormat="1" applyFont="1" applyFill="1" applyBorder="1" applyAlignment="1" applyProtection="1">
      <alignment horizontal="left" vertical="center"/>
      <protection hidden="1"/>
    </xf>
    <xf numFmtId="197" fontId="60" fillId="38" borderId="60" xfId="35" applyNumberFormat="1" applyFont="1" applyFill="1" applyBorder="1" applyAlignment="1" applyProtection="1">
      <alignment horizontal="center" vertical="center"/>
      <protection hidden="1"/>
    </xf>
    <xf numFmtId="0" fontId="4" fillId="38" borderId="10" xfId="0" applyNumberFormat="1" applyFont="1" applyFill="1" applyBorder="1" applyAlignment="1" applyProtection="1">
      <alignment horizontal="center" vertical="center"/>
      <protection hidden="1"/>
    </xf>
    <xf numFmtId="190" fontId="41" fillId="38" borderId="10" xfId="35" applyNumberFormat="1" applyFont="1" applyFill="1" applyBorder="1" applyAlignment="1" applyProtection="1">
      <alignment horizontal="center" vertical="top"/>
      <protection hidden="1"/>
    </xf>
    <xf numFmtId="190" fontId="41" fillId="38" borderId="50" xfId="35" applyNumberFormat="1" applyFont="1" applyFill="1" applyBorder="1" applyAlignment="1" applyProtection="1">
      <alignment horizontal="center" vertical="top"/>
      <protection hidden="1"/>
    </xf>
    <xf numFmtId="190" fontId="41" fillId="38" borderId="52" xfId="0" applyNumberFormat="1" applyFont="1" applyFill="1" applyBorder="1" applyAlignment="1" applyProtection="1">
      <alignment horizontal="center" vertical="top"/>
      <protection hidden="1"/>
    </xf>
    <xf numFmtId="190" fontId="41" fillId="38" borderId="10" xfId="0" applyNumberFormat="1" applyFont="1" applyFill="1" applyBorder="1" applyAlignment="1" applyProtection="1">
      <alignment horizontal="center" vertical="top"/>
      <protection hidden="1"/>
    </xf>
    <xf numFmtId="0" fontId="41" fillId="24" borderId="10" xfId="0" quotePrefix="1" applyNumberFormat="1" applyFont="1" applyFill="1" applyBorder="1" applyAlignment="1" applyProtection="1">
      <alignment horizontal="left" vertical="center"/>
      <protection hidden="1"/>
    </xf>
    <xf numFmtId="0" fontId="155" fillId="24" borderId="10" xfId="0" quotePrefix="1" applyNumberFormat="1" applyFont="1" applyFill="1" applyBorder="1" applyAlignment="1" applyProtection="1">
      <alignment horizontal="left" vertical="center"/>
      <protection hidden="1"/>
    </xf>
    <xf numFmtId="2" fontId="155" fillId="24" borderId="10" xfId="35" applyNumberFormat="1" applyFont="1" applyFill="1" applyBorder="1" applyAlignment="1" applyProtection="1">
      <alignment horizontal="center" vertical="center"/>
      <protection hidden="1"/>
    </xf>
    <xf numFmtId="0" fontId="67" fillId="24" borderId="10" xfId="0" quotePrefix="1" applyNumberFormat="1" applyFont="1" applyFill="1" applyBorder="1" applyAlignment="1" applyProtection="1">
      <alignment horizontal="left" vertical="center"/>
      <protection hidden="1"/>
    </xf>
    <xf numFmtId="40" fontId="67" fillId="0" borderId="0" xfId="35" applyNumberFormat="1" applyFont="1" applyFill="1" applyBorder="1" applyAlignment="1" applyProtection="1">
      <protection hidden="1"/>
    </xf>
    <xf numFmtId="0" fontId="67" fillId="0" borderId="0" xfId="35" applyNumberFormat="1" applyFont="1" applyFill="1" applyBorder="1" applyAlignment="1"/>
    <xf numFmtId="0" fontId="27" fillId="24" borderId="10" xfId="0" applyFont="1" applyFill="1" applyBorder="1" applyAlignment="1" applyProtection="1">
      <alignment horizontal="left" vertical="center"/>
      <protection hidden="1"/>
    </xf>
    <xf numFmtId="0" fontId="6" fillId="0" borderId="0" xfId="0" applyFont="1" applyFill="1" applyBorder="1">
      <alignment vertical="center"/>
    </xf>
    <xf numFmtId="0" fontId="155" fillId="26" borderId="10" xfId="0" applyNumberFormat="1" applyFont="1" applyFill="1" applyBorder="1" applyAlignment="1" applyProtection="1">
      <alignment vertical="center"/>
      <protection hidden="1"/>
    </xf>
    <xf numFmtId="190" fontId="41" fillId="26" borderId="50" xfId="35" applyNumberFormat="1" applyFont="1" applyFill="1" applyBorder="1" applyAlignment="1" applyProtection="1">
      <alignment horizontal="center" vertical="center"/>
      <protection hidden="1"/>
    </xf>
    <xf numFmtId="190" fontId="41" fillId="26" borderId="52" xfId="0" applyNumberFormat="1" applyFont="1" applyFill="1" applyBorder="1" applyAlignment="1" applyProtection="1">
      <alignment horizontal="center"/>
      <protection hidden="1"/>
    </xf>
    <xf numFmtId="190" fontId="41" fillId="26" borderId="10" xfId="0" applyNumberFormat="1" applyFont="1" applyFill="1" applyBorder="1" applyAlignment="1" applyProtection="1">
      <alignment horizontal="center"/>
      <protection hidden="1"/>
    </xf>
    <xf numFmtId="0" fontId="155" fillId="0" borderId="0" xfId="0" applyNumberFormat="1" applyFont="1" applyFill="1" applyBorder="1">
      <alignment vertical="center"/>
    </xf>
    <xf numFmtId="190" fontId="41" fillId="24" borderId="52" xfId="0" applyNumberFormat="1" applyFont="1" applyFill="1" applyBorder="1" applyAlignment="1" applyProtection="1">
      <alignment horizontal="center"/>
      <protection hidden="1"/>
    </xf>
    <xf numFmtId="190" fontId="41" fillId="24" borderId="10" xfId="0" applyNumberFormat="1" applyFont="1" applyFill="1" applyBorder="1" applyAlignment="1" applyProtection="1">
      <alignment horizontal="center"/>
      <protection hidden="1"/>
    </xf>
    <xf numFmtId="190" fontId="27" fillId="24" borderId="52"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protection hidden="1"/>
    </xf>
    <xf numFmtId="190" fontId="41" fillId="24" borderId="52" xfId="35" applyNumberFormat="1" applyFont="1" applyFill="1" applyBorder="1" applyAlignment="1" applyProtection="1">
      <alignment horizontal="center" vertical="center"/>
      <protection hidden="1"/>
    </xf>
    <xf numFmtId="187" fontId="27" fillId="24" borderId="10" xfId="35" applyNumberFormat="1" applyFont="1" applyFill="1" applyBorder="1" applyAlignment="1" applyProtection="1">
      <protection hidden="1"/>
    </xf>
    <xf numFmtId="0" fontId="41" fillId="0" borderId="0" xfId="0" applyFont="1" applyFill="1" applyBorder="1" applyProtection="1">
      <alignment vertical="center"/>
      <protection hidden="1"/>
    </xf>
    <xf numFmtId="49" fontId="27" fillId="24" borderId="10" xfId="0" applyNumberFormat="1" applyFont="1" applyFill="1" applyBorder="1" applyAlignment="1" applyProtection="1">
      <alignment horizontal="left" vertical="center"/>
      <protection hidden="1"/>
    </xf>
    <xf numFmtId="0" fontId="27" fillId="24" borderId="51" xfId="0" applyNumberFormat="1" applyFont="1" applyFill="1" applyBorder="1" applyAlignment="1" applyProtection="1">
      <alignment horizontal="left" vertical="center" shrinkToFit="1"/>
      <protection hidden="1"/>
    </xf>
    <xf numFmtId="0" fontId="27" fillId="24" borderId="50" xfId="0" applyNumberFormat="1" applyFont="1" applyFill="1" applyBorder="1" applyAlignment="1" applyProtection="1">
      <alignment horizontal="left" vertical="center" shrinkToFit="1"/>
      <protection hidden="1"/>
    </xf>
    <xf numFmtId="186" fontId="67" fillId="0" borderId="0" xfId="35" applyNumberFormat="1" applyFont="1" applyFill="1" applyBorder="1" applyAlignment="1"/>
    <xf numFmtId="177" fontId="164" fillId="0" borderId="0" xfId="35" applyNumberFormat="1" applyFont="1" applyFill="1" applyBorder="1" applyAlignment="1" applyProtection="1">
      <alignment horizontal="left"/>
      <protection hidden="1"/>
    </xf>
    <xf numFmtId="0" fontId="166" fillId="0" borderId="0" xfId="0" applyNumberFormat="1" applyFont="1" applyFill="1" applyBorder="1" applyAlignment="1" applyProtection="1">
      <alignment horizontal="left" vertical="center"/>
      <protection hidden="1"/>
    </xf>
    <xf numFmtId="177" fontId="67" fillId="0" borderId="0" xfId="35" applyNumberFormat="1" applyFont="1" applyFill="1" applyBorder="1" applyAlignment="1" applyProtection="1">
      <protection hidden="1"/>
    </xf>
    <xf numFmtId="0" fontId="6" fillId="38" borderId="50" xfId="0" applyFont="1" applyFill="1" applyBorder="1" applyAlignment="1" applyProtection="1">
      <alignment horizontal="centerContinuous" vertical="center"/>
      <protection hidden="1"/>
    </xf>
    <xf numFmtId="177" fontId="67" fillId="38" borderId="10" xfId="35" applyNumberFormat="1" applyFont="1" applyFill="1" applyBorder="1" applyAlignment="1" applyProtection="1">
      <alignment horizontal="centerContinuous" vertical="center"/>
      <protection hidden="1"/>
    </xf>
    <xf numFmtId="0" fontId="67" fillId="38" borderId="51" xfId="0" applyFont="1" applyFill="1" applyBorder="1" applyAlignment="1" applyProtection="1">
      <alignment horizontal="centerContinuous" vertical="center"/>
      <protection hidden="1"/>
    </xf>
    <xf numFmtId="0" fontId="6" fillId="38" borderId="24" xfId="0" applyFont="1" applyFill="1" applyBorder="1" applyAlignment="1" applyProtection="1">
      <alignment horizontal="left" vertical="center"/>
      <protection hidden="1"/>
    </xf>
    <xf numFmtId="186" fontId="67" fillId="38" borderId="52" xfId="35" applyNumberFormat="1" applyFont="1" applyFill="1" applyBorder="1" applyAlignment="1" applyProtection="1">
      <protection hidden="1"/>
    </xf>
    <xf numFmtId="186" fontId="29" fillId="38" borderId="52" xfId="35" applyNumberFormat="1" applyFont="1" applyFill="1" applyBorder="1" applyAlignment="1" applyProtection="1">
      <protection hidden="1"/>
    </xf>
    <xf numFmtId="186" fontId="155" fillId="26" borderId="10" xfId="35" applyNumberFormat="1" applyFont="1" applyFill="1" applyBorder="1" applyAlignment="1" applyProtection="1">
      <alignment horizontal="right"/>
      <protection hidden="1"/>
    </xf>
    <xf numFmtId="186" fontId="155" fillId="24" borderId="10" xfId="35" applyNumberFormat="1" applyFont="1" applyFill="1" applyBorder="1" applyAlignment="1" applyProtection="1">
      <alignment horizontal="right"/>
      <protection hidden="1"/>
    </xf>
    <xf numFmtId="186" fontId="67" fillId="24" borderId="10" xfId="0" applyNumberFormat="1" applyFont="1" applyFill="1" applyBorder="1" applyProtection="1">
      <alignment vertical="center"/>
      <protection hidden="1"/>
    </xf>
    <xf numFmtId="186" fontId="41" fillId="24" borderId="10" xfId="0" applyNumberFormat="1" applyFont="1" applyFill="1" applyBorder="1" applyAlignment="1" applyProtection="1">
      <alignment vertical="center"/>
      <protection hidden="1"/>
    </xf>
    <xf numFmtId="187" fontId="41" fillId="24" borderId="10" xfId="0" applyNumberFormat="1" applyFont="1" applyFill="1" applyBorder="1" applyAlignment="1" applyProtection="1">
      <alignment vertical="center"/>
      <protection hidden="1"/>
    </xf>
    <xf numFmtId="2" fontId="41" fillId="24" borderId="10" xfId="35" applyNumberFormat="1" applyFont="1" applyFill="1" applyBorder="1" applyAlignment="1" applyProtection="1">
      <alignment horizontal="center"/>
      <protection hidden="1"/>
    </xf>
    <xf numFmtId="2" fontId="41" fillId="24" borderId="50" xfId="35" applyNumberFormat="1" applyFont="1" applyFill="1" applyBorder="1" applyAlignment="1" applyProtection="1">
      <alignment horizontal="center" vertical="center"/>
      <protection hidden="1"/>
    </xf>
    <xf numFmtId="186" fontId="67" fillId="24" borderId="10" xfId="35" applyNumberFormat="1" applyFont="1" applyFill="1" applyBorder="1" applyAlignment="1" applyProtection="1">
      <alignment horizontal="right"/>
      <protection hidden="1"/>
    </xf>
    <xf numFmtId="177" fontId="27" fillId="24" borderId="50" xfId="0" applyNumberFormat="1" applyFont="1" applyFill="1" applyBorder="1" applyAlignment="1" applyProtection="1">
      <alignment horizontal="center" vertical="center"/>
      <protection hidden="1"/>
    </xf>
    <xf numFmtId="2" fontId="27" fillId="24" borderId="10" xfId="0" applyNumberFormat="1" applyFont="1" applyFill="1" applyBorder="1" applyAlignment="1" applyProtection="1">
      <alignment horizontal="center"/>
      <protection hidden="1"/>
    </xf>
    <xf numFmtId="186" fontId="27" fillId="24" borderId="10" xfId="35" applyNumberFormat="1" applyFont="1" applyFill="1" applyBorder="1" applyAlignment="1" applyProtection="1">
      <alignment horizontal="right"/>
      <protection hidden="1"/>
    </xf>
    <xf numFmtId="40" fontId="27" fillId="0" borderId="0" xfId="35" applyNumberFormat="1" applyFont="1" applyFill="1" applyBorder="1" applyAlignment="1" applyProtection="1">
      <alignment vertical="center"/>
      <protection hidden="1"/>
    </xf>
    <xf numFmtId="0" fontId="27" fillId="24" borderId="10" xfId="0" applyNumberFormat="1" applyFont="1" applyFill="1" applyBorder="1" applyAlignment="1" applyProtection="1">
      <alignment horizontal="center" vertical="center"/>
      <protection hidden="1"/>
    </xf>
    <xf numFmtId="0" fontId="27" fillId="0" borderId="0" xfId="35" applyNumberFormat="1" applyFont="1" applyFill="1" applyBorder="1" applyAlignment="1">
      <alignment vertical="center"/>
    </xf>
    <xf numFmtId="2" fontId="27" fillId="24" borderId="10" xfId="0" applyNumberFormat="1" applyFont="1" applyFill="1" applyBorder="1" applyAlignment="1" applyProtection="1">
      <alignment horizontal="left" vertical="center"/>
      <protection hidden="1"/>
    </xf>
    <xf numFmtId="186" fontId="27" fillId="24" borderId="10" xfId="0" applyNumberFormat="1" applyFont="1" applyFill="1" applyBorder="1" applyProtection="1">
      <alignment vertical="center"/>
      <protection hidden="1"/>
    </xf>
    <xf numFmtId="0" fontId="27" fillId="24" borderId="10" xfId="0" applyFont="1" applyFill="1" applyBorder="1" applyAlignment="1" applyProtection="1">
      <alignment horizontal="right" vertical="center"/>
      <protection hidden="1"/>
    </xf>
    <xf numFmtId="186" fontId="67" fillId="31" borderId="10" xfId="0" applyNumberFormat="1" applyFont="1" applyFill="1" applyBorder="1" applyProtection="1">
      <alignment vertical="center"/>
      <protection hidden="1"/>
    </xf>
    <xf numFmtId="187" fontId="27" fillId="24" borderId="10" xfId="0" applyNumberFormat="1" applyFont="1" applyFill="1" applyBorder="1">
      <alignment vertical="center"/>
    </xf>
    <xf numFmtId="187" fontId="41" fillId="24" borderId="10" xfId="0" applyNumberFormat="1" applyFont="1" applyFill="1" applyBorder="1">
      <alignment vertical="center"/>
    </xf>
    <xf numFmtId="186" fontId="155" fillId="31" borderId="10" xfId="35" applyNumberFormat="1" applyFont="1" applyFill="1" applyBorder="1" applyAlignment="1" applyProtection="1">
      <alignment horizontal="right"/>
      <protection hidden="1"/>
    </xf>
    <xf numFmtId="40" fontId="29" fillId="38" borderId="10" xfId="35" applyNumberFormat="1" applyFont="1" applyFill="1" applyBorder="1" applyAlignment="1" applyProtection="1">
      <alignment horizontal="center" vertical="top"/>
      <protection hidden="1"/>
    </xf>
    <xf numFmtId="40" fontId="29" fillId="38" borderId="50" xfId="35" applyNumberFormat="1" applyFont="1" applyFill="1" applyBorder="1" applyAlignment="1" applyProtection="1">
      <alignment horizontal="center" vertical="top"/>
      <protection hidden="1"/>
    </xf>
    <xf numFmtId="2" fontId="29" fillId="38" borderId="52" xfId="0" applyNumberFormat="1" applyFont="1" applyFill="1" applyBorder="1" applyAlignment="1" applyProtection="1">
      <alignment horizontal="center" vertical="top"/>
      <protection hidden="1"/>
    </xf>
    <xf numFmtId="2" fontId="29" fillId="38" borderId="10" xfId="0" applyNumberFormat="1" applyFont="1" applyFill="1" applyBorder="1" applyAlignment="1" applyProtection="1">
      <alignment horizontal="center" vertical="top"/>
      <protection hidden="1"/>
    </xf>
    <xf numFmtId="186" fontId="155" fillId="26" borderId="10" xfId="35" applyNumberFormat="1" applyFont="1" applyFill="1" applyBorder="1" applyAlignment="1" applyProtection="1">
      <alignment horizontal="right" vertical="center"/>
      <protection hidden="1"/>
    </xf>
    <xf numFmtId="49" fontId="155" fillId="24" borderId="10" xfId="0" quotePrefix="1" applyNumberFormat="1" applyFont="1" applyFill="1" applyBorder="1" applyAlignment="1" applyProtection="1">
      <alignment horizontal="left" vertical="center"/>
      <protection hidden="1"/>
    </xf>
    <xf numFmtId="0" fontId="41" fillId="24" borderId="52" xfId="0" applyNumberFormat="1" applyFont="1" applyFill="1" applyBorder="1" applyAlignment="1" applyProtection="1">
      <alignment horizontal="left" vertical="center"/>
      <protection hidden="1"/>
    </xf>
    <xf numFmtId="0" fontId="27" fillId="24" borderId="52" xfId="0" applyNumberFormat="1" applyFont="1" applyFill="1" applyBorder="1" applyAlignment="1" applyProtection="1">
      <alignment horizontal="left" vertical="center"/>
      <protection hidden="1"/>
    </xf>
    <xf numFmtId="0" fontId="37" fillId="24" borderId="52" xfId="0" applyNumberFormat="1" applyFont="1" applyFill="1" applyBorder="1" applyAlignment="1" applyProtection="1">
      <alignment horizontal="left" vertical="center"/>
      <protection hidden="1"/>
    </xf>
    <xf numFmtId="2" fontId="155" fillId="24" borderId="52" xfId="35"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horizontal="left" vertical="center" shrinkToFit="1"/>
      <protection hidden="1"/>
    </xf>
    <xf numFmtId="49" fontId="67" fillId="0" borderId="0" xfId="35" applyNumberFormat="1" applyFont="1" applyFill="1" applyBorder="1" applyAlignment="1">
      <alignment horizontal="left"/>
    </xf>
    <xf numFmtId="49" fontId="164" fillId="0" borderId="0" xfId="0" applyNumberFormat="1" applyFont="1" applyFill="1" applyBorder="1" applyAlignment="1" applyProtection="1">
      <alignment horizontal="left" vertical="center"/>
      <protection hidden="1"/>
    </xf>
    <xf numFmtId="0" fontId="6" fillId="38" borderId="10" xfId="0" applyFont="1" applyFill="1" applyBorder="1" applyAlignment="1" applyProtection="1">
      <alignment horizontal="left" vertical="center"/>
      <protection hidden="1"/>
    </xf>
    <xf numFmtId="0" fontId="27" fillId="24" borderId="55" xfId="0" applyNumberFormat="1" applyFont="1" applyFill="1" applyBorder="1" applyAlignment="1" applyProtection="1">
      <alignment horizontal="left" vertical="center"/>
      <protection hidden="1"/>
    </xf>
    <xf numFmtId="0" fontId="27" fillId="24" borderId="52" xfId="0" applyFont="1" applyFill="1" applyBorder="1" applyAlignment="1" applyProtection="1">
      <alignment vertical="center"/>
      <protection hidden="1"/>
    </xf>
    <xf numFmtId="187" fontId="41" fillId="24" borderId="10" xfId="35" applyNumberFormat="1" applyFont="1" applyFill="1" applyBorder="1" applyAlignment="1" applyProtection="1">
      <protection hidden="1"/>
    </xf>
    <xf numFmtId="49" fontId="41" fillId="24" borderId="10" xfId="0" applyNumberFormat="1" applyFont="1" applyFill="1" applyBorder="1" applyAlignment="1" applyProtection="1">
      <alignment horizontal="left" vertical="center"/>
      <protection hidden="1"/>
    </xf>
    <xf numFmtId="0" fontId="27" fillId="24" borderId="52" xfId="0" applyNumberFormat="1" applyFont="1" applyFill="1" applyBorder="1" applyAlignment="1" applyProtection="1">
      <alignment horizontal="left" vertical="center" shrinkToFit="1"/>
      <protection hidden="1"/>
    </xf>
    <xf numFmtId="0" fontId="0" fillId="0" borderId="0" xfId="0" applyAlignment="1">
      <alignment horizontal="left" vertical="center"/>
    </xf>
    <xf numFmtId="0" fontId="6" fillId="0" borderId="0" xfId="0" applyFont="1">
      <alignment vertical="center"/>
    </xf>
    <xf numFmtId="38" fontId="164" fillId="0" borderId="0" xfId="35" applyFont="1" applyFill="1" applyBorder="1" applyAlignment="1" applyProtection="1">
      <protection hidden="1"/>
    </xf>
    <xf numFmtId="0" fontId="27" fillId="38" borderId="60" xfId="0" applyFont="1" applyFill="1" applyBorder="1" applyAlignment="1" applyProtection="1">
      <alignment vertical="center"/>
      <protection hidden="1"/>
    </xf>
    <xf numFmtId="40" fontId="67" fillId="38" borderId="10" xfId="35" applyNumberFormat="1" applyFont="1" applyFill="1" applyBorder="1" applyAlignment="1" applyProtection="1">
      <alignment horizontal="center" vertical="top"/>
      <protection hidden="1"/>
    </xf>
    <xf numFmtId="40" fontId="67" fillId="38" borderId="50" xfId="35" applyNumberFormat="1" applyFont="1" applyFill="1" applyBorder="1" applyAlignment="1" applyProtection="1">
      <alignment horizontal="center" vertical="top"/>
      <protection hidden="1"/>
    </xf>
    <xf numFmtId="0" fontId="60" fillId="38" borderId="60" xfId="0" applyFont="1" applyFill="1" applyBorder="1" applyAlignment="1" applyProtection="1">
      <alignment vertical="center"/>
      <protection hidden="1"/>
    </xf>
    <xf numFmtId="187" fontId="41" fillId="26" borderId="10" xfId="0" applyNumberFormat="1" applyFont="1" applyFill="1" applyBorder="1" applyAlignment="1" applyProtection="1">
      <alignment vertical="center"/>
      <protection hidden="1"/>
    </xf>
    <xf numFmtId="190" fontId="155" fillId="26" borderId="10" xfId="35" applyNumberFormat="1" applyFont="1" applyFill="1" applyBorder="1" applyAlignment="1" applyProtection="1">
      <alignment horizontal="center" vertical="center"/>
      <protection hidden="1"/>
    </xf>
    <xf numFmtId="190" fontId="155" fillId="26" borderId="52" xfId="35" applyNumberFormat="1" applyFont="1" applyFill="1" applyBorder="1" applyAlignment="1" applyProtection="1">
      <alignment horizontal="center" vertical="center"/>
      <protection hidden="1"/>
    </xf>
    <xf numFmtId="190" fontId="155" fillId="24" borderId="10" xfId="35" applyNumberFormat="1" applyFont="1" applyFill="1" applyBorder="1" applyAlignment="1" applyProtection="1">
      <alignment horizontal="center"/>
      <protection hidden="1"/>
    </xf>
    <xf numFmtId="190" fontId="155" fillId="24" borderId="50" xfId="35" applyNumberFormat="1" applyFont="1" applyFill="1" applyBorder="1" applyAlignment="1" applyProtection="1">
      <alignment horizontal="center" vertical="center"/>
      <protection hidden="1"/>
    </xf>
    <xf numFmtId="190" fontId="155" fillId="24" borderId="52" xfId="35" applyNumberFormat="1" applyFont="1" applyFill="1" applyBorder="1" applyAlignment="1" applyProtection="1">
      <alignment horizontal="center"/>
      <protection hidden="1"/>
    </xf>
    <xf numFmtId="190" fontId="67" fillId="24" borderId="10" xfId="35" applyNumberFormat="1" applyFont="1" applyFill="1" applyBorder="1" applyAlignment="1" applyProtection="1">
      <alignment horizontal="center" vertical="center"/>
      <protection hidden="1"/>
    </xf>
    <xf numFmtId="190" fontId="67" fillId="24" borderId="52" xfId="35" applyNumberFormat="1" applyFont="1" applyFill="1" applyBorder="1" applyAlignment="1" applyProtection="1">
      <alignment horizontal="center" vertical="center"/>
      <protection hidden="1"/>
    </xf>
    <xf numFmtId="190" fontId="67" fillId="24" borderId="50" xfId="35" applyNumberFormat="1" applyFont="1" applyFill="1" applyBorder="1" applyAlignment="1" applyProtection="1">
      <alignment horizontal="center" vertical="center"/>
      <protection hidden="1"/>
    </xf>
    <xf numFmtId="190" fontId="155" fillId="24" borderId="50" xfId="0" applyNumberFormat="1" applyFont="1" applyFill="1" applyBorder="1" applyAlignment="1" applyProtection="1">
      <alignment horizontal="center" vertical="center"/>
      <protection hidden="1"/>
    </xf>
    <xf numFmtId="190" fontId="67" fillId="24" borderId="50" xfId="0" applyNumberFormat="1" applyFont="1" applyFill="1" applyBorder="1" applyAlignment="1" applyProtection="1">
      <alignment horizontal="center" vertical="center"/>
      <protection hidden="1"/>
    </xf>
    <xf numFmtId="190" fontId="67" fillId="24" borderId="10" xfId="0" applyNumberFormat="1" applyFont="1" applyFill="1" applyBorder="1" applyAlignment="1" applyProtection="1">
      <alignment horizontal="center"/>
      <protection hidden="1"/>
    </xf>
    <xf numFmtId="190" fontId="155" fillId="24" borderId="10" xfId="35" applyNumberFormat="1" applyFont="1" applyFill="1" applyBorder="1" applyAlignment="1" applyProtection="1">
      <alignment horizontal="center" vertical="center"/>
      <protection hidden="1"/>
    </xf>
    <xf numFmtId="190" fontId="155" fillId="24" borderId="52" xfId="35" applyNumberFormat="1" applyFont="1" applyFill="1" applyBorder="1" applyAlignment="1" applyProtection="1">
      <alignment horizontal="center" vertical="center"/>
      <protection hidden="1"/>
    </xf>
    <xf numFmtId="0" fontId="6" fillId="40" borderId="0" xfId="0" applyFont="1" applyFill="1">
      <alignment vertical="center"/>
    </xf>
    <xf numFmtId="190" fontId="155" fillId="24" borderId="50" xfId="35" applyNumberFormat="1" applyFont="1" applyFill="1" applyBorder="1" applyAlignment="1" applyProtection="1">
      <alignment horizontal="center"/>
      <protection hidden="1"/>
    </xf>
    <xf numFmtId="190" fontId="67" fillId="31" borderId="10" xfId="35" applyNumberFormat="1" applyFont="1" applyFill="1" applyBorder="1" applyAlignment="1" applyProtection="1">
      <alignment horizontal="center" vertical="center"/>
      <protection hidden="1"/>
    </xf>
    <xf numFmtId="190" fontId="67" fillId="31" borderId="50" xfId="35" applyNumberFormat="1" applyFont="1" applyFill="1" applyBorder="1" applyAlignment="1" applyProtection="1">
      <alignment horizontal="center" vertical="center"/>
      <protection hidden="1"/>
    </xf>
    <xf numFmtId="190" fontId="67" fillId="31" borderId="52" xfId="35" applyNumberFormat="1" applyFont="1" applyFill="1" applyBorder="1" applyAlignment="1" applyProtection="1">
      <alignment horizontal="center" vertical="center"/>
      <protection hidden="1"/>
    </xf>
    <xf numFmtId="190" fontId="67" fillId="24" borderId="10" xfId="35" applyNumberFormat="1" applyFont="1" applyFill="1" applyBorder="1" applyAlignment="1" applyProtection="1">
      <alignment horizontal="center"/>
      <protection hidden="1"/>
    </xf>
    <xf numFmtId="190" fontId="67" fillId="24" borderId="52"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shrinkToFit="1"/>
      <protection hidden="1"/>
    </xf>
    <xf numFmtId="190" fontId="155" fillId="31" borderId="10" xfId="35" applyNumberFormat="1" applyFont="1" applyFill="1" applyBorder="1" applyAlignment="1" applyProtection="1">
      <alignment horizontal="center"/>
      <protection hidden="1"/>
    </xf>
    <xf numFmtId="190" fontId="155" fillId="31" borderId="50" xfId="35" applyNumberFormat="1" applyFont="1" applyFill="1" applyBorder="1" applyAlignment="1" applyProtection="1">
      <alignment horizontal="center"/>
      <protection hidden="1"/>
    </xf>
    <xf numFmtId="190" fontId="155" fillId="31" borderId="52" xfId="35" applyNumberFormat="1" applyFont="1" applyFill="1" applyBorder="1" applyAlignment="1" applyProtection="1">
      <alignment horizontal="center"/>
      <protection hidden="1"/>
    </xf>
    <xf numFmtId="190" fontId="29" fillId="38" borderId="10" xfId="0" applyNumberFormat="1" applyFont="1" applyFill="1" applyBorder="1" applyAlignment="1" applyProtection="1">
      <alignment horizontal="center" vertical="top"/>
      <protection hidden="1"/>
    </xf>
    <xf numFmtId="187" fontId="155" fillId="24" borderId="22" xfId="35" applyNumberFormat="1" applyFont="1" applyFill="1" applyBorder="1" applyAlignment="1" applyProtection="1">
      <protection hidden="1"/>
    </xf>
    <xf numFmtId="0" fontId="41" fillId="24" borderId="10" xfId="0" applyNumberFormat="1" applyFont="1" applyFill="1" applyBorder="1" applyAlignment="1" applyProtection="1">
      <alignment horizontal="left" vertical="center" shrinkToFit="1"/>
      <protection hidden="1"/>
    </xf>
    <xf numFmtId="190" fontId="155" fillId="26" borderId="50" xfId="35" applyNumberFormat="1" applyFont="1" applyFill="1" applyBorder="1" applyAlignment="1" applyProtection="1">
      <alignment horizontal="center" vertical="center"/>
      <protection hidden="1"/>
    </xf>
    <xf numFmtId="190" fontId="155" fillId="26" borderId="52" xfId="0" applyNumberFormat="1" applyFont="1" applyFill="1" applyBorder="1" applyAlignment="1" applyProtection="1">
      <alignment horizontal="center"/>
      <protection hidden="1"/>
    </xf>
    <xf numFmtId="190" fontId="155" fillId="26" borderId="10" xfId="0" applyNumberFormat="1" applyFont="1" applyFill="1" applyBorder="1" applyAlignment="1" applyProtection="1">
      <alignment horizontal="center"/>
      <protection hidden="1"/>
    </xf>
    <xf numFmtId="190" fontId="155" fillId="24" borderId="52" xfId="0" applyNumberFormat="1" applyFont="1" applyFill="1" applyBorder="1" applyAlignment="1" applyProtection="1">
      <alignment horizontal="center"/>
      <protection hidden="1"/>
    </xf>
    <xf numFmtId="190" fontId="155" fillId="24" borderId="10" xfId="0" applyNumberFormat="1" applyFont="1" applyFill="1" applyBorder="1" applyAlignment="1" applyProtection="1">
      <alignment horizontal="center"/>
      <protection hidden="1"/>
    </xf>
    <xf numFmtId="190" fontId="67" fillId="24" borderId="52"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shrinkToFit="1"/>
      <protection hidden="1"/>
    </xf>
    <xf numFmtId="0" fontId="67" fillId="24" borderId="1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44" fillId="0" borderId="0" xfId="0" applyFont="1" applyFill="1" applyProtection="1">
      <alignment vertical="center"/>
      <protection hidden="1"/>
    </xf>
    <xf numFmtId="0" fontId="33" fillId="42" borderId="10" xfId="0" applyFont="1" applyFill="1" applyBorder="1" applyAlignment="1" applyProtection="1">
      <alignment horizontal="center" vertical="center"/>
      <protection locked="0"/>
    </xf>
    <xf numFmtId="0" fontId="170" fillId="31" borderId="90" xfId="0" applyFont="1" applyFill="1" applyBorder="1" applyAlignment="1" applyProtection="1">
      <alignment horizontal="center"/>
      <protection hidden="1"/>
    </xf>
    <xf numFmtId="0" fontId="171" fillId="31" borderId="0" xfId="0" applyNumberFormat="1" applyFont="1" applyFill="1" applyBorder="1" applyAlignment="1" applyProtection="1">
      <alignment horizontal="center" vertical="center"/>
      <protection hidden="1"/>
    </xf>
    <xf numFmtId="0" fontId="172" fillId="31" borderId="0" xfId="0" applyNumberFormat="1" applyFont="1" applyFill="1" applyBorder="1" applyAlignment="1" applyProtection="1">
      <alignment horizontal="left" vertical="center"/>
      <protection hidden="1"/>
    </xf>
    <xf numFmtId="0" fontId="172" fillId="31" borderId="0" xfId="0" applyFont="1" applyFill="1" applyBorder="1" applyAlignment="1" applyProtection="1">
      <alignment horizontal="center" vertical="center"/>
      <protection hidden="1"/>
    </xf>
    <xf numFmtId="0" fontId="170" fillId="31" borderId="90" xfId="0" quotePrefix="1" applyNumberFormat="1" applyFont="1" applyFill="1" applyBorder="1" applyAlignment="1" applyProtection="1">
      <alignment horizontal="left" vertical="center"/>
      <protection hidden="1"/>
    </xf>
    <xf numFmtId="0" fontId="173" fillId="31" borderId="0" xfId="0" applyFont="1" applyFill="1" applyBorder="1" applyAlignment="1" applyProtection="1">
      <alignment horizontal="left"/>
      <protection hidden="1"/>
    </xf>
    <xf numFmtId="0" fontId="174" fillId="31" borderId="0" xfId="0" applyFont="1" applyFill="1" applyBorder="1" applyAlignment="1" applyProtection="1">
      <alignment vertical="center"/>
      <protection hidden="1"/>
    </xf>
    <xf numFmtId="0" fontId="21" fillId="31" borderId="0" xfId="0" applyFont="1" applyFill="1" applyBorder="1" applyAlignment="1" applyProtection="1">
      <alignment vertical="center"/>
      <protection hidden="1"/>
    </xf>
    <xf numFmtId="0" fontId="170" fillId="31" borderId="104" xfId="0" applyFont="1" applyFill="1" applyBorder="1" applyAlignment="1" applyProtection="1">
      <alignment horizontal="center"/>
      <protection hidden="1"/>
    </xf>
    <xf numFmtId="0" fontId="171" fillId="31" borderId="54" xfId="0" applyNumberFormat="1" applyFont="1" applyFill="1" applyBorder="1" applyAlignment="1" applyProtection="1">
      <alignment horizontal="center" vertical="center"/>
      <protection hidden="1"/>
    </xf>
    <xf numFmtId="0" fontId="172" fillId="31" borderId="54" xfId="0" applyNumberFormat="1" applyFont="1" applyFill="1" applyBorder="1" applyAlignment="1" applyProtection="1">
      <alignment horizontal="left" vertical="center"/>
      <protection hidden="1"/>
    </xf>
    <xf numFmtId="0" fontId="172" fillId="31" borderId="54" xfId="0" applyFont="1" applyFill="1" applyBorder="1" applyAlignment="1" applyProtection="1">
      <alignment horizontal="center" vertical="center"/>
      <protection hidden="1"/>
    </xf>
    <xf numFmtId="0" fontId="174" fillId="31" borderId="23" xfId="0" applyFont="1" applyFill="1" applyBorder="1" applyAlignment="1" applyProtection="1">
      <alignment horizontal="center" vertical="center"/>
    </xf>
    <xf numFmtId="0" fontId="174" fillId="31" borderId="54" xfId="0" applyFont="1" applyFill="1" applyBorder="1" applyAlignment="1" applyProtection="1">
      <alignment horizontal="center" vertical="center"/>
    </xf>
    <xf numFmtId="0" fontId="170" fillId="0" borderId="90" xfId="0" quotePrefix="1" applyNumberFormat="1" applyFont="1" applyFill="1" applyBorder="1" applyAlignment="1" applyProtection="1">
      <alignment horizontal="left" vertical="center"/>
      <protection hidden="1"/>
    </xf>
    <xf numFmtId="0" fontId="173" fillId="0" borderId="0" xfId="0" applyFont="1" applyFill="1" applyBorder="1" applyAlignment="1" applyProtection="1">
      <alignment horizontal="left"/>
      <protection hidden="1"/>
    </xf>
    <xf numFmtId="0" fontId="174"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179" fontId="175" fillId="0" borderId="61" xfId="0" applyNumberFormat="1" applyFont="1" applyFill="1" applyBorder="1" applyAlignment="1" applyProtection="1">
      <alignment horizontal="left"/>
    </xf>
    <xf numFmtId="179" fontId="175" fillId="0" borderId="0" xfId="0" applyNumberFormat="1" applyFont="1" applyFill="1" applyBorder="1" applyAlignment="1" applyProtection="1">
      <alignment horizontal="left"/>
    </xf>
    <xf numFmtId="38" fontId="11" fillId="36" borderId="10" xfId="0" applyNumberFormat="1" applyFont="1" applyFill="1" applyBorder="1" applyProtection="1">
      <alignment vertical="center"/>
      <protection hidden="1"/>
    </xf>
    <xf numFmtId="0" fontId="100" fillId="36" borderId="10" xfId="35" applyNumberFormat="1" applyFont="1" applyFill="1" applyBorder="1" applyProtection="1">
      <alignment vertical="center"/>
      <protection hidden="1"/>
    </xf>
    <xf numFmtId="0" fontId="28" fillId="0" borderId="88" xfId="0" applyFont="1" applyFill="1" applyBorder="1" applyAlignment="1" applyProtection="1">
      <alignment horizontal="right" vertical="center"/>
      <protection hidden="1"/>
    </xf>
    <xf numFmtId="0" fontId="28" fillId="0" borderId="205" xfId="0" applyFont="1" applyFill="1" applyBorder="1" applyAlignment="1" applyProtection="1">
      <alignment horizontal="right" vertical="center"/>
      <protection hidden="1"/>
    </xf>
    <xf numFmtId="0" fontId="100" fillId="0" borderId="206" xfId="0" applyFont="1" applyFill="1" applyBorder="1" applyProtection="1">
      <alignment vertical="center"/>
      <protection hidden="1"/>
    </xf>
    <xf numFmtId="0" fontId="28" fillId="0" borderId="88" xfId="0" applyFont="1" applyFill="1" applyBorder="1" applyAlignment="1" applyProtection="1">
      <alignment vertical="center"/>
      <protection hidden="1"/>
    </xf>
    <xf numFmtId="0" fontId="6" fillId="0" borderId="0" xfId="35" applyNumberFormat="1" applyFont="1" applyFill="1" applyBorder="1" applyAlignment="1" applyProtection="1">
      <protection hidden="1"/>
    </xf>
    <xf numFmtId="185" fontId="75" fillId="0" borderId="10" xfId="0" applyNumberFormat="1" applyFont="1" applyFill="1" applyBorder="1" applyProtection="1">
      <alignment vertical="center"/>
      <protection hidden="1"/>
    </xf>
    <xf numFmtId="0" fontId="11" fillId="0" borderId="0" xfId="0" applyFont="1" applyFill="1" applyProtection="1">
      <alignment vertical="center"/>
      <protection hidden="1"/>
    </xf>
    <xf numFmtId="178" fontId="27" fillId="24" borderId="50" xfId="0" applyNumberFormat="1" applyFont="1" applyFill="1" applyBorder="1" applyAlignment="1" applyProtection="1">
      <alignment horizontal="center" vertical="center"/>
      <protection hidden="1"/>
    </xf>
    <xf numFmtId="0" fontId="6" fillId="0" borderId="0" xfId="35" applyNumberFormat="1" applyFont="1" applyFill="1" applyBorder="1" applyAlignment="1" applyProtection="1">
      <alignment wrapText="1"/>
      <protection hidden="1"/>
    </xf>
    <xf numFmtId="0" fontId="50" fillId="0" borderId="205" xfId="0" applyFont="1" applyFill="1" applyBorder="1" applyAlignment="1" applyProtection="1">
      <alignment horizontal="right" vertical="center"/>
      <protection hidden="1"/>
    </xf>
    <xf numFmtId="0" fontId="11" fillId="0" borderId="23" xfId="0" applyFont="1" applyFill="1" applyBorder="1" applyProtection="1">
      <alignment vertical="center"/>
      <protection hidden="1"/>
    </xf>
    <xf numFmtId="0" fontId="100" fillId="0" borderId="23" xfId="0" applyFont="1" applyFill="1" applyBorder="1" applyProtection="1">
      <alignment vertical="center"/>
      <protection hidden="1"/>
    </xf>
    <xf numFmtId="0" fontId="100" fillId="36" borderId="163" xfId="0" applyFont="1" applyFill="1" applyBorder="1" applyProtection="1">
      <alignment vertical="center"/>
      <protection hidden="1"/>
    </xf>
    <xf numFmtId="9" fontId="100" fillId="0" borderId="163" xfId="0" applyNumberFormat="1" applyFont="1" applyFill="1" applyBorder="1" applyProtection="1">
      <alignment vertical="center"/>
      <protection hidden="1"/>
    </xf>
    <xf numFmtId="0" fontId="100" fillId="0" borderId="78" xfId="0" applyFont="1" applyFill="1" applyBorder="1" applyProtection="1">
      <alignment vertical="center"/>
      <protection hidden="1"/>
    </xf>
    <xf numFmtId="0" fontId="100" fillId="36" borderId="121" xfId="0" applyFont="1" applyFill="1" applyBorder="1" applyProtection="1">
      <alignment vertical="center"/>
      <protection hidden="1"/>
    </xf>
    <xf numFmtId="9" fontId="100" fillId="0" borderId="121" xfId="0" applyNumberFormat="1" applyFont="1" applyFill="1" applyBorder="1" applyProtection="1">
      <alignment vertical="center"/>
      <protection hidden="1"/>
    </xf>
    <xf numFmtId="0" fontId="100" fillId="0" borderId="198" xfId="0" applyFont="1" applyFill="1" applyBorder="1" applyProtection="1">
      <alignment vertical="center"/>
      <protection hidden="1"/>
    </xf>
    <xf numFmtId="0" fontId="6" fillId="0" borderId="109" xfId="0" applyFont="1" applyFill="1" applyBorder="1" applyAlignment="1" applyProtection="1">
      <alignment horizontal="center" vertical="center"/>
      <protection hidden="1"/>
    </xf>
    <xf numFmtId="0" fontId="75" fillId="0" borderId="118" xfId="0" applyFont="1" applyFill="1" applyBorder="1" applyProtection="1">
      <alignment vertical="center"/>
      <protection hidden="1"/>
    </xf>
    <xf numFmtId="0" fontId="75" fillId="0" borderId="145" xfId="0" applyFont="1" applyFill="1" applyBorder="1" applyProtection="1">
      <alignment vertical="center"/>
      <protection hidden="1"/>
    </xf>
    <xf numFmtId="0" fontId="75" fillId="0" borderId="0" xfId="0" applyFont="1" applyFill="1" applyBorder="1" applyAlignment="1" applyProtection="1">
      <alignment vertical="center" wrapText="1"/>
      <protection hidden="1"/>
    </xf>
    <xf numFmtId="38" fontId="100" fillId="36" borderId="163" xfId="0" applyNumberFormat="1" applyFont="1" applyFill="1" applyBorder="1" applyProtection="1">
      <alignment vertical="center"/>
      <protection hidden="1"/>
    </xf>
    <xf numFmtId="38" fontId="100" fillId="36" borderId="121" xfId="0" applyNumberFormat="1" applyFont="1" applyFill="1" applyBorder="1" applyProtection="1">
      <alignment vertical="center"/>
      <protection hidden="1"/>
    </xf>
    <xf numFmtId="0" fontId="27" fillId="24" borderId="51" xfId="0" applyFont="1" applyFill="1" applyBorder="1" applyAlignment="1">
      <alignment horizontal="center" vertical="center" wrapText="1"/>
    </xf>
    <xf numFmtId="178" fontId="27" fillId="24" borderId="200" xfId="0" quotePrefix="1" applyNumberFormat="1" applyFont="1" applyFill="1" applyBorder="1" applyAlignment="1">
      <alignment horizontal="center" vertical="center"/>
    </xf>
    <xf numFmtId="177" fontId="27" fillId="24" borderId="200" xfId="0" applyNumberFormat="1" applyFont="1" applyFill="1" applyBorder="1" applyAlignment="1">
      <alignment horizontal="center" vertical="center"/>
    </xf>
    <xf numFmtId="178" fontId="27" fillId="24" borderId="56" xfId="0" applyNumberFormat="1" applyFont="1" applyFill="1" applyBorder="1" applyAlignment="1">
      <alignment horizontal="center" vertical="center" wrapText="1"/>
    </xf>
    <xf numFmtId="178" fontId="27" fillId="24" borderId="56" xfId="0" applyNumberFormat="1" applyFont="1" applyFill="1" applyBorder="1" applyAlignment="1">
      <alignment horizontal="center" vertical="center"/>
    </xf>
    <xf numFmtId="0" fontId="27" fillId="24" borderId="56" xfId="0" applyFont="1" applyFill="1" applyBorder="1" applyAlignment="1" applyProtection="1">
      <alignment vertical="center" wrapText="1"/>
      <protection locked="0"/>
    </xf>
    <xf numFmtId="178" fontId="27" fillId="24" borderId="61" xfId="0" applyNumberFormat="1" applyFont="1" applyFill="1" applyBorder="1" applyAlignment="1">
      <alignment horizontal="right" vertical="center" wrapText="1"/>
    </xf>
    <xf numFmtId="178" fontId="27" fillId="24" borderId="200" xfId="0" applyNumberFormat="1" applyFont="1" applyFill="1" applyBorder="1" applyAlignment="1">
      <alignment horizontal="right" vertical="center" wrapText="1"/>
    </xf>
    <xf numFmtId="0" fontId="27" fillId="24" borderId="200" xfId="0" applyFont="1" applyFill="1" applyBorder="1" applyAlignment="1" applyProtection="1">
      <alignment vertical="center" wrapText="1"/>
      <protection locked="0"/>
    </xf>
    <xf numFmtId="178" fontId="27" fillId="24" borderId="22" xfId="0" applyNumberFormat="1" applyFont="1" applyFill="1" applyBorder="1" applyAlignment="1">
      <alignment horizontal="center" vertical="center"/>
    </xf>
    <xf numFmtId="178" fontId="27" fillId="24" borderId="22" xfId="0" quotePrefix="1" applyNumberFormat="1" applyFont="1" applyFill="1" applyBorder="1" applyAlignment="1">
      <alignment horizontal="center" vertical="center"/>
    </xf>
    <xf numFmtId="0" fontId="27" fillId="24" borderId="22" xfId="0" applyFont="1" applyFill="1" applyBorder="1" applyAlignment="1" applyProtection="1">
      <alignment vertical="center" wrapText="1"/>
    </xf>
    <xf numFmtId="178" fontId="27" fillId="24" borderId="61" xfId="0" quotePrefix="1" applyNumberFormat="1" applyFont="1" applyFill="1" applyBorder="1" applyAlignment="1">
      <alignment horizontal="center" vertical="center"/>
    </xf>
    <xf numFmtId="0" fontId="27" fillId="24" borderId="56" xfId="0" applyFont="1" applyFill="1" applyBorder="1" applyAlignment="1">
      <alignment horizontal="left" vertical="center" wrapText="1"/>
    </xf>
    <xf numFmtId="178" fontId="27" fillId="24" borderId="56" xfId="0" quotePrefix="1" applyNumberFormat="1" applyFont="1" applyFill="1" applyBorder="1" applyAlignment="1">
      <alignment horizontal="center" vertical="center"/>
    </xf>
    <xf numFmtId="178" fontId="27" fillId="24" borderId="22" xfId="0" applyNumberFormat="1" applyFont="1" applyFill="1" applyBorder="1" applyAlignment="1">
      <alignment horizontal="left" vertical="center" wrapText="1"/>
    </xf>
    <xf numFmtId="177" fontId="27" fillId="27" borderId="200" xfId="0" applyNumberFormat="1" applyFont="1" applyFill="1" applyBorder="1" applyAlignment="1" applyProtection="1">
      <alignment horizontal="center" vertical="center"/>
      <protection locked="0"/>
    </xf>
    <xf numFmtId="177" fontId="27" fillId="27" borderId="56" xfId="0" applyNumberFormat="1" applyFont="1" applyFill="1" applyBorder="1" applyAlignment="1" applyProtection="1">
      <alignment horizontal="center" vertical="center"/>
      <protection locked="0"/>
    </xf>
    <xf numFmtId="177" fontId="27" fillId="27" borderId="61" xfId="0" applyNumberFormat="1" applyFont="1" applyFill="1" applyBorder="1" applyAlignment="1" applyProtection="1">
      <alignment horizontal="center" vertical="center"/>
      <protection locked="0"/>
    </xf>
    <xf numFmtId="178" fontId="27" fillId="27" borderId="22" xfId="0" applyNumberFormat="1" applyFont="1" applyFill="1" applyBorder="1" applyAlignment="1" applyProtection="1">
      <alignment horizontal="center" vertical="center"/>
      <protection locked="0"/>
    </xf>
    <xf numFmtId="0" fontId="27" fillId="27" borderId="150" xfId="0" applyFont="1" applyFill="1" applyBorder="1" applyAlignment="1" applyProtection="1">
      <alignment vertical="center" wrapText="1"/>
      <protection locked="0"/>
    </xf>
    <xf numFmtId="38" fontId="27" fillId="24" borderId="56" xfId="35" applyFont="1" applyFill="1" applyBorder="1" applyAlignment="1">
      <alignment horizontal="center" vertical="center" wrapText="1" shrinkToFit="1"/>
    </xf>
    <xf numFmtId="0" fontId="27" fillId="24" borderId="201" xfId="0" applyFont="1" applyFill="1" applyBorder="1" applyAlignment="1" applyProtection="1">
      <alignment vertical="center" wrapText="1"/>
      <protection locked="0"/>
    </xf>
    <xf numFmtId="186" fontId="27" fillId="24" borderId="56" xfId="0" applyNumberFormat="1" applyFont="1" applyFill="1" applyBorder="1" applyAlignment="1">
      <alignment horizontal="center" vertical="center" wrapText="1" shrinkToFit="1"/>
    </xf>
    <xf numFmtId="0" fontId="27" fillId="24" borderId="200" xfId="0" applyFont="1" applyFill="1" applyBorder="1" applyAlignment="1">
      <alignment horizontal="left" vertical="center"/>
    </xf>
    <xf numFmtId="38" fontId="27" fillId="24" borderId="200" xfId="35" applyFont="1" applyFill="1" applyBorder="1" applyAlignment="1">
      <alignment horizontal="center" vertical="center" wrapText="1" shrinkToFit="1"/>
    </xf>
    <xf numFmtId="40" fontId="27" fillId="24" borderId="201" xfId="0" applyNumberFormat="1" applyFont="1" applyFill="1" applyBorder="1" applyAlignment="1">
      <alignment horizontal="center" vertical="center" wrapText="1"/>
    </xf>
    <xf numFmtId="38" fontId="27" fillId="24" borderId="201" xfId="35" applyFont="1" applyFill="1" applyBorder="1" applyAlignment="1">
      <alignment horizontal="center" vertical="center" wrapText="1" shrinkToFit="1"/>
    </xf>
    <xf numFmtId="40" fontId="27" fillId="24" borderId="150" xfId="0" applyNumberFormat="1" applyFont="1" applyFill="1" applyBorder="1" applyAlignment="1">
      <alignment horizontal="center" vertical="center" wrapText="1"/>
    </xf>
    <xf numFmtId="177" fontId="27" fillId="24" borderId="150" xfId="0" applyNumberFormat="1" applyFont="1" applyFill="1" applyBorder="1" applyAlignment="1">
      <alignment horizontal="center" vertical="center" wrapText="1" shrinkToFit="1"/>
    </xf>
    <xf numFmtId="0" fontId="27" fillId="24" borderId="150" xfId="0" applyFont="1" applyFill="1" applyBorder="1" applyAlignment="1" applyProtection="1">
      <alignment vertical="center" wrapText="1"/>
      <protection locked="0"/>
    </xf>
    <xf numFmtId="190" fontId="29" fillId="38" borderId="52" xfId="35" applyNumberFormat="1" applyFont="1" applyFill="1" applyBorder="1" applyAlignment="1" applyProtection="1">
      <alignment horizontal="center" vertical="top"/>
      <protection hidden="1"/>
    </xf>
    <xf numFmtId="2" fontId="27" fillId="24" borderId="52" xfId="0" applyNumberFormat="1" applyFont="1" applyFill="1" applyBorder="1" applyAlignment="1" applyProtection="1">
      <alignment horizontal="center"/>
      <protection hidden="1"/>
    </xf>
    <xf numFmtId="40" fontId="29" fillId="38" borderId="52" xfId="35" applyNumberFormat="1" applyFont="1" applyFill="1" applyBorder="1" applyAlignment="1" applyProtection="1">
      <alignment horizontal="center" vertical="top"/>
      <protection hidden="1"/>
    </xf>
    <xf numFmtId="0" fontId="27" fillId="24" borderId="0" xfId="0" applyFont="1" applyFill="1" applyBorder="1" applyProtection="1">
      <alignment vertical="center"/>
      <protection hidden="1"/>
    </xf>
    <xf numFmtId="0" fontId="27" fillId="24" borderId="25" xfId="0" applyFont="1" applyFill="1" applyBorder="1" applyProtection="1">
      <alignment vertical="center"/>
      <protection hidden="1"/>
    </xf>
    <xf numFmtId="0" fontId="27" fillId="24" borderId="207" xfId="0" applyFont="1" applyFill="1" applyBorder="1" applyProtection="1">
      <alignment vertical="center"/>
      <protection hidden="1"/>
    </xf>
    <xf numFmtId="0" fontId="27" fillId="24" borderId="208" xfId="0" applyFont="1" applyFill="1" applyBorder="1" applyProtection="1">
      <alignment vertical="center"/>
      <protection hidden="1"/>
    </xf>
    <xf numFmtId="0" fontId="176" fillId="35" borderId="75" xfId="0" applyFont="1" applyFill="1" applyBorder="1" applyAlignment="1" applyProtection="1">
      <alignment vertical="center"/>
    </xf>
    <xf numFmtId="0" fontId="31" fillId="35" borderId="81" xfId="45" applyFont="1" applyFill="1" applyBorder="1" applyAlignment="1" applyProtection="1">
      <alignment vertical="center"/>
      <protection hidden="1"/>
    </xf>
    <xf numFmtId="0" fontId="31" fillId="35" borderId="81" xfId="45" applyFont="1" applyFill="1" applyBorder="1" applyAlignment="1" applyProtection="1">
      <alignment horizontal="left" vertical="center"/>
      <protection hidden="1"/>
    </xf>
    <xf numFmtId="0" fontId="31" fillId="35" borderId="110" xfId="45" applyFont="1" applyFill="1" applyBorder="1" applyAlignment="1" applyProtection="1">
      <alignment vertical="center"/>
      <protection hidden="1"/>
    </xf>
    <xf numFmtId="0" fontId="70" fillId="0" borderId="0" xfId="0" applyFont="1" applyProtection="1">
      <alignment vertical="center"/>
    </xf>
    <xf numFmtId="0" fontId="6" fillId="24" borderId="90" xfId="45" applyFont="1" applyFill="1" applyBorder="1" applyAlignment="1" applyProtection="1"/>
    <xf numFmtId="0" fontId="6" fillId="24" borderId="0" xfId="45" applyNumberFormat="1" applyFont="1" applyFill="1" applyBorder="1" applyAlignment="1" applyProtection="1">
      <alignment vertical="center"/>
      <protection hidden="1"/>
    </xf>
    <xf numFmtId="0" fontId="6" fillId="24" borderId="0" xfId="45" applyFont="1" applyFill="1" applyBorder="1" applyAlignment="1" applyProtection="1">
      <alignment horizontal="left" vertical="center"/>
      <protection hidden="1"/>
    </xf>
    <xf numFmtId="0" fontId="6" fillId="24" borderId="0" xfId="45" applyFont="1" applyFill="1" applyBorder="1" applyAlignment="1" applyProtection="1">
      <alignment vertical="center"/>
      <protection hidden="1"/>
    </xf>
    <xf numFmtId="0" fontId="6" fillId="24" borderId="88" xfId="0" applyFont="1" applyFill="1" applyBorder="1" applyProtection="1">
      <alignment vertical="center"/>
    </xf>
    <xf numFmtId="0" fontId="6" fillId="24" borderId="53" xfId="0" applyFont="1" applyFill="1" applyBorder="1" applyProtection="1">
      <alignment vertical="center"/>
    </xf>
    <xf numFmtId="0" fontId="6" fillId="24" borderId="54" xfId="0" applyFont="1" applyFill="1" applyBorder="1" applyProtection="1">
      <alignment vertical="center"/>
    </xf>
    <xf numFmtId="0" fontId="0" fillId="24" borderId="55" xfId="0" applyFill="1" applyBorder="1" applyProtection="1">
      <alignment vertical="center"/>
    </xf>
    <xf numFmtId="0" fontId="0" fillId="0" borderId="10" xfId="0" applyBorder="1" applyProtection="1">
      <alignment vertical="center"/>
      <protection locked="0"/>
    </xf>
    <xf numFmtId="0" fontId="6" fillId="24" borderId="90" xfId="45" applyFont="1" applyFill="1" applyBorder="1" applyAlignment="1" applyProtection="1">
      <alignment vertical="center"/>
    </xf>
    <xf numFmtId="0" fontId="1" fillId="26" borderId="23" xfId="0" applyFont="1" applyFill="1" applyBorder="1" applyAlignment="1">
      <alignment horizontal="center" vertical="center" wrapText="1"/>
    </xf>
    <xf numFmtId="0" fontId="6" fillId="24" borderId="0" xfId="0" applyFont="1" applyFill="1" applyBorder="1">
      <alignment vertical="center"/>
    </xf>
    <xf numFmtId="0" fontId="6" fillId="24" borderId="88" xfId="0" applyFont="1" applyFill="1" applyBorder="1">
      <alignment vertical="center"/>
    </xf>
    <xf numFmtId="0" fontId="6" fillId="24" borderId="20" xfId="0" applyFont="1" applyFill="1" applyBorder="1">
      <alignment vertical="center"/>
    </xf>
    <xf numFmtId="0" fontId="0" fillId="24" borderId="153" xfId="0" applyFill="1" applyBorder="1">
      <alignment vertical="center"/>
    </xf>
    <xf numFmtId="205" fontId="6" fillId="24" borderId="50" xfId="45" applyNumberFormat="1" applyFont="1" applyFill="1" applyBorder="1" applyAlignment="1" applyProtection="1">
      <alignment vertical="center" shrinkToFit="1"/>
      <protection hidden="1"/>
    </xf>
    <xf numFmtId="0" fontId="6" fillId="24" borderId="10" xfId="35" applyNumberFormat="1" applyFont="1" applyFill="1" applyBorder="1" applyAlignment="1" applyProtection="1">
      <alignment horizontal="right" vertical="center" shrinkToFit="1"/>
    </xf>
    <xf numFmtId="0" fontId="6" fillId="24" borderId="10" xfId="45" applyFont="1" applyFill="1" applyBorder="1" applyAlignment="1" applyProtection="1">
      <alignment vertical="center"/>
      <protection hidden="1"/>
    </xf>
    <xf numFmtId="204" fontId="6" fillId="24" borderId="10" xfId="45" applyNumberFormat="1" applyFont="1" applyFill="1" applyBorder="1" applyAlignment="1" applyProtection="1">
      <alignment vertical="center"/>
      <protection hidden="1"/>
    </xf>
    <xf numFmtId="0" fontId="6" fillId="24" borderId="153" xfId="0" applyFont="1" applyFill="1" applyBorder="1">
      <alignment vertical="center"/>
    </xf>
    <xf numFmtId="0" fontId="6" fillId="24" borderId="0" xfId="0" applyFont="1" applyFill="1" applyBorder="1" applyAlignment="1">
      <alignment vertical="center"/>
    </xf>
    <xf numFmtId="0" fontId="1" fillId="26" borderId="10" xfId="0" applyFont="1" applyFill="1" applyBorder="1" applyAlignment="1">
      <alignment horizontal="center" vertical="center" wrapText="1"/>
    </xf>
    <xf numFmtId="0" fontId="6" fillId="24" borderId="50" xfId="45" applyFont="1" applyFill="1" applyBorder="1" applyAlignment="1" applyProtection="1">
      <alignment vertical="center"/>
      <protection locked="0"/>
    </xf>
    <xf numFmtId="0" fontId="6" fillId="24" borderId="10" xfId="45" applyFont="1" applyFill="1" applyBorder="1" applyAlignment="1" applyProtection="1">
      <alignment vertical="center"/>
      <protection locked="0"/>
    </xf>
    <xf numFmtId="0" fontId="6" fillId="24" borderId="90" xfId="45" applyFont="1" applyFill="1" applyBorder="1" applyAlignment="1" applyProtection="1">
      <alignment horizontal="right" vertical="top"/>
    </xf>
    <xf numFmtId="0" fontId="6" fillId="24" borderId="10" xfId="45" applyFont="1" applyFill="1" applyBorder="1" applyAlignment="1" applyProtection="1">
      <alignment vertical="center"/>
    </xf>
    <xf numFmtId="0" fontId="6" fillId="24" borderId="90" xfId="0" applyFont="1" applyFill="1" applyBorder="1">
      <alignment vertical="center"/>
    </xf>
    <xf numFmtId="0" fontId="6" fillId="24" borderId="10" xfId="45" applyFont="1" applyFill="1" applyBorder="1" applyAlignment="1" applyProtection="1">
      <alignment horizontal="center" vertical="center"/>
      <protection hidden="1"/>
    </xf>
    <xf numFmtId="0" fontId="6" fillId="24" borderId="105" xfId="0" applyFont="1" applyFill="1" applyBorder="1">
      <alignment vertical="center"/>
    </xf>
    <xf numFmtId="0" fontId="6" fillId="24" borderId="156" xfId="0" applyFont="1" applyFill="1" applyBorder="1">
      <alignment vertical="center"/>
    </xf>
    <xf numFmtId="0" fontId="6" fillId="24" borderId="112" xfId="0" applyFont="1" applyFill="1" applyBorder="1">
      <alignment vertical="center"/>
    </xf>
    <xf numFmtId="0" fontId="6" fillId="24" borderId="24" xfId="0" applyFont="1" applyFill="1" applyBorder="1">
      <alignment vertical="center"/>
    </xf>
    <xf numFmtId="0" fontId="6" fillId="24" borderId="59" xfId="0" applyFont="1" applyFill="1" applyBorder="1">
      <alignment vertical="center"/>
    </xf>
    <xf numFmtId="0" fontId="6" fillId="24" borderId="60" xfId="0" applyFont="1" applyFill="1" applyBorder="1">
      <alignment vertical="center"/>
    </xf>
    <xf numFmtId="0" fontId="0" fillId="0" borderId="0" xfId="0" applyAlignment="1">
      <alignment horizontal="right" vertical="center"/>
    </xf>
    <xf numFmtId="0" fontId="27" fillId="0" borderId="59" xfId="0" applyFont="1" applyFill="1" applyBorder="1" applyAlignment="1" applyProtection="1">
      <alignment horizontal="center" vertical="center"/>
    </xf>
    <xf numFmtId="0" fontId="32" fillId="42" borderId="59" xfId="0" applyFont="1" applyFill="1" applyBorder="1" applyAlignment="1" applyProtection="1">
      <alignment horizontal="left" vertical="center"/>
    </xf>
    <xf numFmtId="0" fontId="0" fillId="0" borderId="59" xfId="0" applyBorder="1" applyProtection="1">
      <alignment vertical="center"/>
    </xf>
    <xf numFmtId="0" fontId="32" fillId="42" borderId="0" xfId="0" applyFont="1" applyFill="1" applyBorder="1" applyAlignment="1" applyProtection="1">
      <alignment horizontal="left" vertical="center"/>
    </xf>
    <xf numFmtId="0" fontId="0" fillId="0" borderId="0" xfId="0" applyBorder="1" applyProtection="1">
      <alignment vertical="center"/>
    </xf>
    <xf numFmtId="0" fontId="82" fillId="42" borderId="0" xfId="0" applyFont="1" applyFill="1" applyAlignment="1" applyProtection="1">
      <alignment horizontal="left" vertical="center"/>
    </xf>
    <xf numFmtId="0" fontId="27" fillId="27" borderId="133" xfId="0" applyFont="1" applyFill="1" applyBorder="1" applyAlignment="1" applyProtection="1">
      <alignment horizontal="right" vertical="center"/>
    </xf>
    <xf numFmtId="0" fontId="26" fillId="42" borderId="0" xfId="0" applyFont="1" applyFill="1" applyAlignment="1" applyProtection="1">
      <alignment horizontal="left" vertical="center"/>
    </xf>
    <xf numFmtId="0" fontId="25" fillId="42" borderId="0" xfId="0" applyFont="1" applyFill="1" applyAlignment="1" applyProtection="1">
      <alignment horizontal="left" vertical="center"/>
    </xf>
    <xf numFmtId="0" fontId="41" fillId="0" borderId="0" xfId="0" applyFont="1" applyAlignment="1" applyProtection="1">
      <alignment horizontal="right" vertical="center"/>
    </xf>
    <xf numFmtId="38" fontId="6" fillId="27" borderId="133" xfId="35" applyFill="1" applyBorder="1" applyProtection="1">
      <alignment vertical="center"/>
      <protection locked="0"/>
    </xf>
    <xf numFmtId="0" fontId="27" fillId="0" borderId="0" xfId="0" applyFont="1" applyProtection="1">
      <alignment vertical="center"/>
    </xf>
    <xf numFmtId="0" fontId="41" fillId="42" borderId="0" xfId="0" applyFont="1" applyFill="1" applyAlignment="1" applyProtection="1">
      <alignment horizontal="left" vertical="center"/>
    </xf>
    <xf numFmtId="0" fontId="0" fillId="0" borderId="209" xfId="0" applyBorder="1" applyAlignment="1" applyProtection="1">
      <alignment horizontal="center" vertical="center"/>
    </xf>
    <xf numFmtId="0" fontId="28" fillId="0" borderId="210" xfId="0" applyFont="1" applyBorder="1" applyAlignment="1" applyProtection="1">
      <alignment horizontal="centerContinuous" vertical="center"/>
    </xf>
    <xf numFmtId="0" fontId="0" fillId="0" borderId="210" xfId="0" applyBorder="1" applyAlignment="1" applyProtection="1">
      <alignment horizontal="centerContinuous" vertical="center"/>
    </xf>
    <xf numFmtId="0" fontId="28" fillId="0" borderId="64" xfId="0" applyFont="1" applyBorder="1" applyAlignment="1" applyProtection="1">
      <alignment horizontal="center" vertical="center" shrinkToFit="1"/>
    </xf>
    <xf numFmtId="0" fontId="28" fillId="0" borderId="0" xfId="0" applyFont="1" applyProtection="1">
      <alignment vertical="center"/>
    </xf>
    <xf numFmtId="9" fontId="6" fillId="24" borderId="211" xfId="28" applyFill="1" applyBorder="1" applyProtection="1">
      <alignment vertical="center"/>
    </xf>
    <xf numFmtId="38" fontId="6" fillId="27" borderId="66" xfId="35" applyFont="1" applyFill="1" applyBorder="1" applyProtection="1">
      <alignment vertical="center"/>
      <protection locked="0"/>
    </xf>
    <xf numFmtId="0" fontId="0" fillId="27" borderId="67" xfId="0" applyFill="1" applyBorder="1" applyProtection="1">
      <alignment vertical="center"/>
      <protection locked="0"/>
    </xf>
    <xf numFmtId="9" fontId="6" fillId="24" borderId="212" xfId="28" applyFill="1" applyBorder="1" applyProtection="1">
      <alignment vertical="center"/>
    </xf>
    <xf numFmtId="38" fontId="6" fillId="27" borderId="68" xfId="35" applyFont="1" applyFill="1" applyBorder="1" applyProtection="1">
      <alignment vertical="center"/>
      <protection locked="0"/>
    </xf>
    <xf numFmtId="0" fontId="28" fillId="42" borderId="0" xfId="0" applyFont="1" applyFill="1" applyBorder="1" applyAlignment="1" applyProtection="1">
      <alignment horizontal="center" vertical="center"/>
    </xf>
    <xf numFmtId="0" fontId="0" fillId="27" borderId="197" xfId="0" applyFill="1" applyBorder="1" applyProtection="1">
      <alignment vertical="center"/>
      <protection locked="0"/>
    </xf>
    <xf numFmtId="9" fontId="6" fillId="24" borderId="214" xfId="28" applyFill="1" applyBorder="1" applyProtection="1">
      <alignment vertical="center"/>
    </xf>
    <xf numFmtId="38" fontId="6" fillId="27" borderId="198" xfId="35" applyFont="1" applyFill="1" applyBorder="1" applyProtection="1">
      <alignment vertical="center"/>
      <protection locked="0"/>
    </xf>
    <xf numFmtId="38" fontId="6" fillId="24" borderId="133" xfId="35" applyFill="1" applyBorder="1" applyProtection="1">
      <alignment vertical="center"/>
    </xf>
    <xf numFmtId="0" fontId="41" fillId="0" borderId="0" xfId="0" applyFont="1" applyProtection="1">
      <alignment vertical="center"/>
    </xf>
    <xf numFmtId="0" fontId="177" fillId="43" borderId="133"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32" fillId="0" borderId="0" xfId="0" applyFont="1" applyBorder="1" applyProtection="1">
      <alignment vertical="center"/>
    </xf>
    <xf numFmtId="0" fontId="25" fillId="0" borderId="0" xfId="0" applyFont="1" applyBorder="1" applyProtection="1">
      <alignment vertical="center"/>
    </xf>
    <xf numFmtId="0" fontId="41" fillId="0" borderId="0" xfId="0" applyFont="1" applyAlignment="1" applyProtection="1"/>
    <xf numFmtId="0" fontId="28" fillId="24" borderId="22" xfId="0" applyFont="1" applyFill="1" applyBorder="1" applyProtection="1">
      <alignment vertical="center"/>
    </xf>
    <xf numFmtId="0" fontId="28" fillId="26" borderId="22" xfId="0" applyFont="1" applyFill="1" applyBorder="1" applyProtection="1">
      <alignment vertical="center"/>
    </xf>
    <xf numFmtId="0" fontId="28" fillId="0" borderId="61" xfId="0" applyFont="1" applyBorder="1" applyProtection="1">
      <alignment vertical="center"/>
    </xf>
    <xf numFmtId="0" fontId="25" fillId="0" borderId="10" xfId="0" applyFont="1" applyFill="1" applyBorder="1" applyProtection="1">
      <alignment vertical="center"/>
    </xf>
    <xf numFmtId="0" fontId="28" fillId="24" borderId="53" xfId="0" applyFont="1" applyFill="1" applyBorder="1" applyProtection="1">
      <alignment vertical="center"/>
    </xf>
    <xf numFmtId="38" fontId="28" fillId="24" borderId="23" xfId="35" applyFont="1" applyFill="1" applyBorder="1" applyProtection="1">
      <alignment vertical="center"/>
    </xf>
    <xf numFmtId="0" fontId="28" fillId="0" borderId="50" xfId="0" applyFont="1" applyBorder="1" applyProtection="1">
      <alignment vertical="center"/>
    </xf>
    <xf numFmtId="38" fontId="28" fillId="0" borderId="10" xfId="35" applyFont="1" applyBorder="1" applyProtection="1">
      <alignment vertical="center"/>
    </xf>
    <xf numFmtId="0" fontId="28" fillId="24" borderId="20" xfId="0" applyFont="1" applyFill="1" applyBorder="1" applyProtection="1">
      <alignment vertical="center"/>
    </xf>
    <xf numFmtId="38" fontId="28" fillId="24" borderId="61" xfId="35" applyFont="1" applyFill="1" applyBorder="1" applyProtection="1">
      <alignment vertical="center"/>
    </xf>
    <xf numFmtId="0" fontId="28" fillId="26" borderId="50" xfId="0" applyFont="1" applyFill="1" applyBorder="1" applyProtection="1">
      <alignment vertical="center"/>
    </xf>
    <xf numFmtId="0" fontId="28" fillId="24" borderId="24" xfId="0" applyFont="1" applyFill="1" applyBorder="1" applyProtection="1">
      <alignment vertical="center"/>
    </xf>
    <xf numFmtId="38" fontId="28" fillId="24" borderId="22" xfId="35" applyFont="1" applyFill="1" applyBorder="1" applyProtection="1">
      <alignment vertical="center"/>
    </xf>
    <xf numFmtId="0" fontId="28" fillId="24" borderId="50" xfId="0" applyFont="1" applyFill="1" applyBorder="1" applyProtection="1">
      <alignment vertical="center"/>
    </xf>
    <xf numFmtId="38" fontId="28" fillId="24" borderId="10" xfId="35" applyFont="1" applyFill="1" applyBorder="1" applyProtection="1">
      <alignment vertical="center"/>
    </xf>
    <xf numFmtId="0" fontId="28" fillId="0" borderId="50" xfId="0" applyFont="1" applyFill="1" applyBorder="1" applyProtection="1">
      <alignment vertical="center"/>
    </xf>
    <xf numFmtId="0" fontId="28" fillId="24" borderId="10" xfId="0" applyFont="1" applyFill="1" applyBorder="1" applyProtection="1">
      <alignment vertical="center"/>
    </xf>
    <xf numFmtId="0" fontId="28" fillId="0" borderId="10" xfId="0" applyFont="1" applyBorder="1" applyProtection="1">
      <alignment vertical="center"/>
    </xf>
    <xf numFmtId="0" fontId="28" fillId="0" borderId="22" xfId="0" applyFont="1" applyBorder="1" applyProtection="1">
      <alignment vertical="center"/>
    </xf>
    <xf numFmtId="38" fontId="25" fillId="24" borderId="10" xfId="35" applyFont="1" applyFill="1" applyBorder="1" applyProtection="1">
      <alignment vertical="center"/>
    </xf>
    <xf numFmtId="0" fontId="25" fillId="0" borderId="10" xfId="0" applyFont="1" applyBorder="1" applyProtection="1">
      <alignment vertical="center"/>
    </xf>
    <xf numFmtId="176" fontId="28" fillId="0" borderId="10" xfId="0" applyNumberFormat="1" applyFont="1" applyBorder="1" applyProtection="1">
      <alignment vertical="center"/>
    </xf>
    <xf numFmtId="203" fontId="64" fillId="0" borderId="0" xfId="0" applyNumberFormat="1" applyFont="1" applyFill="1" applyBorder="1" applyAlignment="1" applyProtection="1">
      <alignment horizontal="left" vertical="center"/>
    </xf>
    <xf numFmtId="38" fontId="27" fillId="24" borderId="10" xfId="35" applyFont="1" applyFill="1" applyBorder="1" applyProtection="1">
      <alignment vertical="center"/>
    </xf>
    <xf numFmtId="0" fontId="25" fillId="0" borderId="0" xfId="0"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32" fillId="24" borderId="133" xfId="0" applyNumberFormat="1" applyFont="1" applyFill="1" applyBorder="1" applyProtection="1">
      <alignment vertical="center"/>
    </xf>
    <xf numFmtId="0" fontId="28" fillId="0" borderId="0" xfId="0" applyFont="1" applyAlignment="1" applyProtection="1">
      <alignment horizontal="left" vertical="center"/>
    </xf>
    <xf numFmtId="0" fontId="25" fillId="42" borderId="0" xfId="0" applyFont="1" applyFill="1" applyAlignment="1" applyProtection="1">
      <alignment vertical="center"/>
    </xf>
    <xf numFmtId="0" fontId="28" fillId="0" borderId="10" xfId="0" applyNumberFormat="1" applyFont="1" applyFill="1" applyBorder="1" applyAlignment="1" applyProtection="1">
      <alignment vertical="center"/>
    </xf>
    <xf numFmtId="0" fontId="28" fillId="26" borderId="10" xfId="0" applyFont="1" applyFill="1" applyBorder="1" applyProtection="1">
      <alignment vertical="center"/>
    </xf>
    <xf numFmtId="38" fontId="55" fillId="0" borderId="10" xfId="35" applyFont="1" applyBorder="1" applyProtection="1">
      <alignment vertical="center"/>
    </xf>
    <xf numFmtId="0" fontId="27" fillId="24" borderId="0" xfId="0" applyFont="1" applyFill="1" applyBorder="1" applyAlignment="1" applyProtection="1">
      <alignment horizontal="right" vertical="center"/>
      <protection hidden="1"/>
    </xf>
    <xf numFmtId="0" fontId="0" fillId="0" borderId="0" xfId="0" applyBorder="1">
      <alignment vertical="center"/>
    </xf>
    <xf numFmtId="0" fontId="27" fillId="24" borderId="10" xfId="0" applyFont="1" applyFill="1" applyBorder="1" applyAlignment="1">
      <alignment horizontal="left" vertical="center" shrinkToFit="1"/>
    </xf>
    <xf numFmtId="9" fontId="0" fillId="0" borderId="0" xfId="0" applyNumberFormat="1">
      <alignment vertical="center"/>
    </xf>
    <xf numFmtId="38" fontId="6" fillId="0" borderId="0" xfId="35">
      <alignment vertical="center"/>
    </xf>
    <xf numFmtId="177" fontId="27" fillId="24" borderId="133" xfId="44" applyNumberFormat="1" applyFont="1" applyFill="1" applyBorder="1" applyAlignment="1" applyProtection="1">
      <alignment horizontal="right" vertical="center"/>
    </xf>
    <xf numFmtId="0" fontId="41" fillId="24" borderId="0" xfId="44" applyFont="1" applyFill="1" applyBorder="1" applyAlignment="1" applyProtection="1">
      <alignment horizontal="right" vertical="center"/>
    </xf>
    <xf numFmtId="198" fontId="27" fillId="0" borderId="0" xfId="44" applyNumberFormat="1" applyFont="1" applyBorder="1" applyAlignment="1"/>
    <xf numFmtId="176" fontId="41" fillId="24" borderId="133" xfId="0" applyNumberFormat="1" applyFont="1" applyFill="1" applyBorder="1" applyAlignment="1" applyProtection="1">
      <alignment vertical="center"/>
    </xf>
    <xf numFmtId="0" fontId="28" fillId="33" borderId="10" xfId="0" applyFont="1" applyFill="1" applyBorder="1" applyAlignment="1" applyProtection="1">
      <alignment vertical="center"/>
      <protection hidden="1"/>
    </xf>
    <xf numFmtId="0" fontId="0" fillId="33" borderId="0" xfId="0" applyFill="1" applyAlignment="1" applyProtection="1">
      <alignment vertical="center"/>
    </xf>
    <xf numFmtId="177" fontId="27" fillId="24" borderId="0" xfId="44" applyNumberFormat="1" applyFont="1" applyFill="1" applyBorder="1" applyAlignment="1" applyProtection="1">
      <alignment horizontal="right" vertical="center"/>
    </xf>
    <xf numFmtId="0" fontId="179" fillId="0" borderId="0" xfId="0" applyFont="1" applyFill="1" applyBorder="1" applyAlignment="1" applyProtection="1">
      <alignment horizontal="left" vertical="center"/>
      <protection hidden="1"/>
    </xf>
    <xf numFmtId="0" fontId="28" fillId="24" borderId="59" xfId="0" applyFont="1" applyFill="1" applyBorder="1" applyAlignment="1" applyProtection="1">
      <alignment horizontal="right"/>
      <protection hidden="1"/>
    </xf>
    <xf numFmtId="2" fontId="6" fillId="0" borderId="0" xfId="0" applyNumberFormat="1" applyFont="1" applyFill="1" applyBorder="1" applyAlignment="1" applyProtection="1">
      <alignment horizontal="left" shrinkToFit="1"/>
      <protection hidden="1"/>
    </xf>
    <xf numFmtId="1" fontId="77" fillId="0" borderId="0" xfId="0" applyNumberFormat="1" applyFont="1" applyFill="1" applyBorder="1" applyAlignment="1" applyProtection="1">
      <alignment horizontal="center"/>
      <protection hidden="1"/>
    </xf>
    <xf numFmtId="0" fontId="6" fillId="38" borderId="53" xfId="0" applyFont="1" applyFill="1" applyBorder="1" applyAlignment="1" applyProtection="1">
      <alignment horizontal="center" vertical="center"/>
      <protection hidden="1"/>
    </xf>
    <xf numFmtId="0" fontId="27" fillId="0" borderId="0" xfId="0" applyFont="1" applyFill="1" applyAlignment="1">
      <alignment horizontal="left"/>
    </xf>
    <xf numFmtId="0" fontId="27" fillId="0" borderId="0" xfId="0" applyFont="1" applyFill="1" applyAlignment="1">
      <alignment shrinkToFit="1"/>
    </xf>
    <xf numFmtId="186" fontId="27" fillId="0" borderId="0" xfId="35" applyNumberFormat="1" applyFont="1" applyFill="1" applyBorder="1" applyAlignment="1"/>
    <xf numFmtId="177" fontId="27" fillId="0" borderId="0" xfId="35" applyNumberFormat="1" applyFont="1" applyFill="1" applyBorder="1" applyAlignment="1"/>
    <xf numFmtId="49" fontId="27" fillId="0" borderId="0" xfId="35" applyNumberFormat="1" applyFont="1" applyFill="1" applyBorder="1" applyAlignment="1">
      <alignment horizontal="center"/>
    </xf>
    <xf numFmtId="2" fontId="27" fillId="0" borderId="0" xfId="0" applyNumberFormat="1" applyFont="1" applyFill="1" applyBorder="1" applyAlignment="1">
      <alignment horizontal="left" shrinkToFit="1"/>
    </xf>
    <xf numFmtId="2" fontId="27"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7" fontId="77" fillId="0" borderId="0" xfId="35" applyNumberFormat="1" applyFont="1" applyFill="1" applyBorder="1" applyAlignment="1" applyProtection="1">
      <protection hidden="1"/>
    </xf>
    <xf numFmtId="0" fontId="27" fillId="0" borderId="0" xfId="0" applyFont="1" applyFill="1" applyAlignment="1" applyProtection="1">
      <alignment shrinkToFit="1"/>
      <protection hidden="1"/>
    </xf>
    <xf numFmtId="0" fontId="83" fillId="0" borderId="0" xfId="0" applyNumberFormat="1" applyFont="1" applyFill="1" applyBorder="1" applyAlignment="1" applyProtection="1">
      <alignment horizontal="left" vertical="center"/>
      <protection hidden="1"/>
    </xf>
    <xf numFmtId="177" fontId="83" fillId="0" borderId="0" xfId="35" applyNumberFormat="1" applyFont="1" applyFill="1" applyBorder="1" applyAlignment="1" applyProtection="1">
      <protection hidden="1"/>
    </xf>
    <xf numFmtId="177" fontId="27" fillId="0" borderId="0" xfId="35" applyNumberFormat="1" applyFont="1" applyFill="1" applyBorder="1" applyAlignment="1" applyProtection="1">
      <protection hidden="1"/>
    </xf>
    <xf numFmtId="2" fontId="77" fillId="0" borderId="0" xfId="0" applyNumberFormat="1" applyFont="1" applyFill="1" applyBorder="1" applyAlignment="1" applyProtection="1">
      <alignment horizontal="left"/>
      <protection hidden="1"/>
    </xf>
    <xf numFmtId="49" fontId="77" fillId="0" borderId="0" xfId="0" applyNumberFormat="1" applyFont="1" applyFill="1" applyBorder="1" applyProtection="1">
      <alignment vertical="center"/>
      <protection hidden="1"/>
    </xf>
    <xf numFmtId="0" fontId="83" fillId="0" borderId="0" xfId="0" applyFont="1" applyAlignment="1">
      <alignment vertical="center" shrinkToFit="1"/>
    </xf>
    <xf numFmtId="2" fontId="83" fillId="0" borderId="0" xfId="0" applyNumberFormat="1" applyFont="1" applyFill="1" applyBorder="1" applyAlignment="1" applyProtection="1">
      <alignment horizontal="center"/>
      <protection hidden="1"/>
    </xf>
    <xf numFmtId="0" fontId="83" fillId="0" borderId="0" xfId="0" applyNumberFormat="1" applyFont="1">
      <alignment vertical="center"/>
    </xf>
    <xf numFmtId="0" fontId="83" fillId="0" borderId="0" xfId="0" applyFont="1" applyAlignment="1">
      <alignment horizontal="left" vertical="center" shrinkToFit="1"/>
    </xf>
    <xf numFmtId="0" fontId="77" fillId="0" borderId="0" xfId="0" applyNumberFormat="1" applyFont="1" applyFill="1" applyBorder="1" applyProtection="1">
      <alignment vertical="center"/>
      <protection hidden="1"/>
    </xf>
    <xf numFmtId="2" fontId="83" fillId="0" borderId="0" xfId="0" applyNumberFormat="1" applyFont="1" applyFill="1" applyBorder="1" applyAlignment="1" applyProtection="1">
      <alignment horizontal="left" shrinkToFit="1"/>
      <protection hidden="1"/>
    </xf>
    <xf numFmtId="0" fontId="6" fillId="38" borderId="55" xfId="0" applyFont="1" applyFill="1" applyBorder="1" applyAlignment="1" applyProtection="1">
      <alignment horizontal="center" vertical="center" shrinkToFit="1"/>
      <protection hidden="1"/>
    </xf>
    <xf numFmtId="0" fontId="6" fillId="38" borderId="52" xfId="0" applyFont="1" applyFill="1" applyBorder="1" applyAlignment="1" applyProtection="1">
      <alignment horizontal="centerContinuous" vertical="center"/>
      <protection hidden="1"/>
    </xf>
    <xf numFmtId="0" fontId="27" fillId="38" borderId="50" xfId="0" applyFont="1" applyFill="1" applyBorder="1" applyAlignment="1" applyProtection="1">
      <alignment horizontal="centerContinuous" vertical="center"/>
      <protection hidden="1"/>
    </xf>
    <xf numFmtId="0" fontId="27" fillId="38" borderId="52" xfId="0" applyFont="1" applyFill="1" applyBorder="1" applyAlignment="1" applyProtection="1">
      <alignment horizontal="centerContinuous" vertical="center"/>
      <protection hidden="1"/>
    </xf>
    <xf numFmtId="177" fontId="27" fillId="38" borderId="10" xfId="35" applyNumberFormat="1" applyFont="1" applyFill="1" applyBorder="1" applyAlignment="1" applyProtection="1">
      <alignment horizontal="centerContinuous" vertical="center"/>
      <protection hidden="1"/>
    </xf>
    <xf numFmtId="0" fontId="27" fillId="38" borderId="51" xfId="0" applyFont="1" applyFill="1" applyBorder="1" applyAlignment="1" applyProtection="1">
      <alignment horizontal="centerContinuous" vertical="center"/>
      <protection hidden="1"/>
    </xf>
    <xf numFmtId="0" fontId="6" fillId="38" borderId="10" xfId="0" applyFont="1" applyFill="1" applyBorder="1" applyAlignment="1" applyProtection="1">
      <alignment horizontal="center" vertical="center" shrinkToFit="1"/>
      <protection hidden="1"/>
    </xf>
    <xf numFmtId="2" fontId="27" fillId="38" borderId="10" xfId="0" applyNumberFormat="1" applyFont="1" applyFill="1" applyBorder="1" applyAlignment="1" applyProtection="1">
      <alignment horizontal="center"/>
      <protection hidden="1"/>
    </xf>
    <xf numFmtId="0" fontId="6" fillId="38" borderId="10"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left" vertical="center" shrinkToFit="1"/>
      <protection hidden="1"/>
    </xf>
    <xf numFmtId="0" fontId="6" fillId="38" borderId="24" xfId="0" applyFont="1" applyFill="1" applyBorder="1" applyAlignment="1" applyProtection="1">
      <alignment horizontal="center" vertical="center" shrinkToFit="1"/>
      <protection hidden="1"/>
    </xf>
    <xf numFmtId="0" fontId="6" fillId="38" borderId="60" xfId="0" applyFont="1" applyFill="1" applyBorder="1" applyAlignment="1" applyProtection="1">
      <alignment horizontal="center" vertical="center" shrinkToFit="1"/>
      <protection hidden="1"/>
    </xf>
    <xf numFmtId="177" fontId="27" fillId="38" borderId="10" xfId="35" applyNumberFormat="1" applyFont="1" applyFill="1" applyBorder="1" applyAlignment="1" applyProtection="1">
      <alignment horizontal="center" shrinkToFit="1"/>
      <protection hidden="1"/>
    </xf>
    <xf numFmtId="2" fontId="27" fillId="38" borderId="10" xfId="0" applyNumberFormat="1" applyFont="1" applyFill="1" applyBorder="1" applyAlignment="1" applyProtection="1">
      <alignment horizontal="center" vertical="top" shrinkToFit="1"/>
      <protection hidden="1"/>
    </xf>
    <xf numFmtId="2" fontId="27" fillId="38" borderId="50" xfId="0" applyNumberFormat="1" applyFont="1" applyFill="1" applyBorder="1" applyAlignment="1" applyProtection="1">
      <alignment horizontal="center" vertical="top" shrinkToFit="1"/>
      <protection hidden="1"/>
    </xf>
    <xf numFmtId="2" fontId="27" fillId="38" borderId="52" xfId="0" applyNumberFormat="1" applyFont="1" applyFill="1" applyBorder="1" applyAlignment="1" applyProtection="1">
      <alignment horizontal="center" vertical="top" shrinkToFit="1"/>
      <protection hidden="1"/>
    </xf>
    <xf numFmtId="0" fontId="6" fillId="38"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27" fillId="38" borderId="60" xfId="0" applyFont="1" applyFill="1" applyBorder="1" applyAlignment="1" applyProtection="1">
      <alignment horizontal="center" vertical="center" shrinkToFit="1"/>
      <protection hidden="1"/>
    </xf>
    <xf numFmtId="186" fontId="27" fillId="38" borderId="52" xfId="35" applyNumberFormat="1" applyFont="1" applyFill="1" applyBorder="1" applyAlignment="1" applyProtection="1">
      <protection hidden="1"/>
    </xf>
    <xf numFmtId="177" fontId="27" fillId="38" borderId="10" xfId="35" applyNumberFormat="1" applyFont="1" applyFill="1" applyBorder="1" applyAlignment="1" applyProtection="1">
      <alignment horizontal="center"/>
      <protection hidden="1"/>
    </xf>
    <xf numFmtId="40" fontId="27" fillId="38" borderId="10" xfId="35" applyNumberFormat="1" applyFont="1" applyFill="1" applyBorder="1" applyAlignment="1" applyProtection="1">
      <alignment horizontal="center" vertical="top"/>
      <protection hidden="1"/>
    </xf>
    <xf numFmtId="40" fontId="27" fillId="38" borderId="50" xfId="35" applyNumberFormat="1" applyFont="1" applyFill="1" applyBorder="1" applyAlignment="1" applyProtection="1">
      <alignment horizontal="center" vertical="top"/>
      <protection hidden="1"/>
    </xf>
    <xf numFmtId="0" fontId="32" fillId="38" borderId="10" xfId="0" applyFont="1" applyFill="1" applyBorder="1" applyAlignment="1" applyProtection="1">
      <alignment horizontal="center" vertical="center"/>
      <protection hidden="1"/>
    </xf>
    <xf numFmtId="0" fontId="70" fillId="38" borderId="60" xfId="0" applyFont="1" applyFill="1" applyBorder="1" applyAlignment="1" applyProtection="1">
      <alignment horizontal="left" vertical="center" shrinkToFit="1"/>
      <protection hidden="1"/>
    </xf>
    <xf numFmtId="186" fontId="41" fillId="38" borderId="52" xfId="35" applyNumberFormat="1" applyFont="1" applyFill="1" applyBorder="1" applyAlignment="1" applyProtection="1">
      <protection hidden="1"/>
    </xf>
    <xf numFmtId="177" fontId="41" fillId="38" borderId="10" xfId="35" applyNumberFormat="1" applyFont="1" applyFill="1" applyBorder="1" applyAlignment="1" applyProtection="1">
      <alignment horizontal="center"/>
      <protection hidden="1"/>
    </xf>
    <xf numFmtId="0" fontId="32" fillId="38" borderId="10" xfId="0" applyNumberFormat="1" applyFont="1" applyFill="1" applyBorder="1" applyAlignment="1" applyProtection="1">
      <alignment horizontal="center" vertical="center"/>
      <protection hidden="1"/>
    </xf>
    <xf numFmtId="0" fontId="32" fillId="38" borderId="10" xfId="0" applyFont="1" applyFill="1" applyBorder="1" applyAlignment="1" applyProtection="1">
      <alignment horizontal="left" vertical="center" shrinkToFit="1"/>
      <protection hidden="1"/>
    </xf>
    <xf numFmtId="40" fontId="41" fillId="38" borderId="10" xfId="35" applyNumberFormat="1" applyFont="1" applyFill="1" applyBorder="1" applyAlignment="1" applyProtection="1">
      <alignment horizontal="center" vertical="top"/>
      <protection hidden="1"/>
    </xf>
    <xf numFmtId="40" fontId="41" fillId="38" borderId="50" xfId="35" applyNumberFormat="1" applyFont="1" applyFill="1" applyBorder="1" applyAlignment="1" applyProtection="1">
      <alignment horizontal="center" vertical="top"/>
      <protection hidden="1"/>
    </xf>
    <xf numFmtId="2" fontId="41" fillId="38" borderId="52" xfId="0" applyNumberFormat="1" applyFont="1" applyFill="1" applyBorder="1" applyAlignment="1" applyProtection="1">
      <alignment horizontal="center" vertical="top"/>
      <protection hidden="1"/>
    </xf>
    <xf numFmtId="2" fontId="41" fillId="38" borderId="10" xfId="0" applyNumberFormat="1" applyFont="1" applyFill="1" applyBorder="1" applyAlignment="1" applyProtection="1">
      <alignment horizontal="center" vertical="top"/>
      <protection hidden="1"/>
    </xf>
    <xf numFmtId="0" fontId="41" fillId="26" borderId="10" xfId="0" applyNumberFormat="1" applyFont="1" applyFill="1" applyBorder="1" applyAlignment="1" applyProtection="1">
      <alignment vertical="center" shrinkToFit="1"/>
      <protection hidden="1"/>
    </xf>
    <xf numFmtId="186" fontId="41" fillId="26" borderId="10" xfId="35" applyNumberFormat="1" applyFont="1" applyFill="1" applyBorder="1" applyAlignment="1" applyProtection="1">
      <alignment horizontal="right"/>
      <protection hidden="1"/>
    </xf>
    <xf numFmtId="187" fontId="41" fillId="26" borderId="10" xfId="35" applyNumberFormat="1" applyFont="1" applyFill="1" applyBorder="1" applyAlignment="1" applyProtection="1">
      <protection hidden="1"/>
    </xf>
    <xf numFmtId="0" fontId="41" fillId="26" borderId="10" xfId="0" applyNumberFormat="1" applyFont="1" applyFill="1" applyBorder="1" applyAlignment="1" applyProtection="1">
      <alignment horizontal="left" vertical="center" shrinkToFit="1"/>
      <protection hidden="1"/>
    </xf>
    <xf numFmtId="49" fontId="41" fillId="26" borderId="10" xfId="0" applyNumberFormat="1" applyFont="1" applyFill="1" applyBorder="1" applyAlignment="1" applyProtection="1">
      <alignment horizontal="left" vertical="center"/>
      <protection hidden="1"/>
    </xf>
    <xf numFmtId="2" fontId="41" fillId="26" borderId="10" xfId="35" applyNumberFormat="1" applyFont="1" applyFill="1" applyBorder="1" applyAlignment="1" applyProtection="1">
      <alignment horizontal="center" vertical="center"/>
      <protection hidden="1"/>
    </xf>
    <xf numFmtId="2" fontId="41" fillId="26" borderId="52" xfId="35" applyNumberFormat="1" applyFont="1" applyFill="1" applyBorder="1" applyAlignment="1" applyProtection="1">
      <alignment horizontal="center" vertical="center"/>
      <protection hidden="1"/>
    </xf>
    <xf numFmtId="186" fontId="41" fillId="24" borderId="10" xfId="35" applyNumberFormat="1" applyFont="1" applyFill="1" applyBorder="1" applyAlignment="1" applyProtection="1">
      <alignment horizontal="right"/>
      <protection hidden="1"/>
    </xf>
    <xf numFmtId="2" fontId="41" fillId="24" borderId="52" xfId="35" applyNumberFormat="1" applyFont="1" applyFill="1" applyBorder="1" applyAlignment="1" applyProtection="1">
      <alignment horizontal="center"/>
      <protection hidden="1"/>
    </xf>
    <xf numFmtId="0" fontId="27" fillId="24" borderId="10" xfId="0" applyFont="1" applyFill="1" applyBorder="1" applyAlignment="1" applyProtection="1">
      <alignment horizontal="left" vertical="center" shrinkToFit="1"/>
      <protection hidden="1"/>
    </xf>
    <xf numFmtId="186" fontId="27" fillId="31" borderId="10" xfId="0" applyNumberFormat="1" applyFont="1" applyFill="1" applyBorder="1" applyProtection="1">
      <alignment vertical="center"/>
      <protection hidden="1"/>
    </xf>
    <xf numFmtId="187" fontId="27" fillId="31" borderId="10" xfId="35" applyNumberFormat="1" applyFont="1" applyFill="1" applyBorder="1" applyAlignment="1" applyProtection="1">
      <protection hidden="1"/>
    </xf>
    <xf numFmtId="0" fontId="27" fillId="31" borderId="10" xfId="0" applyNumberFormat="1" applyFont="1" applyFill="1" applyBorder="1" applyAlignment="1" applyProtection="1">
      <alignment horizontal="left" vertical="center"/>
      <protection hidden="1"/>
    </xf>
    <xf numFmtId="0" fontId="27" fillId="31" borderId="10" xfId="0" applyNumberFormat="1" applyFont="1" applyFill="1" applyBorder="1" applyAlignment="1" applyProtection="1">
      <alignment horizontal="left" vertical="center" shrinkToFit="1"/>
      <protection hidden="1"/>
    </xf>
    <xf numFmtId="49" fontId="27" fillId="31" borderId="10"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left" vertical="center" shrinkToFit="1"/>
      <protection hidden="1"/>
    </xf>
    <xf numFmtId="190" fontId="27" fillId="31" borderId="50" xfId="0" applyNumberFormat="1" applyFont="1" applyFill="1" applyBorder="1" applyAlignment="1" applyProtection="1">
      <alignment horizontal="center" vertical="center"/>
      <protection hidden="1"/>
    </xf>
    <xf numFmtId="2" fontId="27" fillId="31" borderId="10" xfId="35" applyNumberFormat="1" applyFont="1" applyFill="1" applyBorder="1" applyAlignment="1" applyProtection="1">
      <alignment horizontal="center" vertical="center"/>
      <protection hidden="1"/>
    </xf>
    <xf numFmtId="2" fontId="27" fillId="31" borderId="52" xfId="35" applyNumberFormat="1" applyFont="1" applyFill="1" applyBorder="1" applyAlignment="1" applyProtection="1">
      <alignment horizontal="center" vertical="center"/>
      <protection hidden="1"/>
    </xf>
    <xf numFmtId="177" fontId="27" fillId="31" borderId="10" xfId="35" applyNumberFormat="1" applyFont="1" applyFill="1" applyBorder="1" applyAlignment="1" applyProtection="1">
      <alignment horizontal="center" vertical="center"/>
      <protection hidden="1"/>
    </xf>
    <xf numFmtId="177" fontId="27" fillId="31" borderId="50" xfId="35" applyNumberFormat="1" applyFont="1" applyFill="1" applyBorder="1" applyAlignment="1" applyProtection="1">
      <alignment horizontal="center" vertical="center"/>
      <protection hidden="1"/>
    </xf>
    <xf numFmtId="177" fontId="27" fillId="31" borderId="52" xfId="35" applyNumberFormat="1" applyFont="1" applyFill="1" applyBorder="1" applyAlignment="1" applyProtection="1">
      <alignment horizontal="center" vertical="center"/>
      <protection hidden="1"/>
    </xf>
    <xf numFmtId="177" fontId="41" fillId="24" borderId="52" xfId="35" applyNumberFormat="1" applyFont="1" applyFill="1" applyBorder="1" applyAlignment="1" applyProtection="1">
      <alignment horizontal="center"/>
      <protection hidden="1"/>
    </xf>
    <xf numFmtId="177" fontId="67" fillId="31" borderId="10" xfId="35" applyNumberFormat="1" applyFont="1" applyFill="1" applyBorder="1" applyAlignment="1" applyProtection="1">
      <alignment horizontal="center" vertical="center"/>
      <protection hidden="1"/>
    </xf>
    <xf numFmtId="2" fontId="41" fillId="24" borderId="10" xfId="35" applyNumberFormat="1" applyFont="1" applyFill="1" applyBorder="1" applyAlignment="1" applyProtection="1">
      <alignment horizontal="center" vertical="center"/>
      <protection hidden="1"/>
    </xf>
    <xf numFmtId="2" fontId="41" fillId="24" borderId="52" xfId="35" applyNumberFormat="1" applyFont="1" applyFill="1" applyBorder="1" applyAlignment="1" applyProtection="1">
      <alignment horizontal="center" vertical="center"/>
      <protection hidden="1"/>
    </xf>
    <xf numFmtId="178" fontId="41" fillId="24" borderId="50" xfId="0" applyNumberFormat="1" applyFont="1" applyFill="1" applyBorder="1" applyAlignment="1" applyProtection="1">
      <alignment horizontal="center" vertical="center"/>
      <protection hidden="1"/>
    </xf>
    <xf numFmtId="0" fontId="6" fillId="45" borderId="0" xfId="0" applyFont="1" applyFill="1">
      <alignment vertical="center"/>
    </xf>
    <xf numFmtId="2" fontId="41" fillId="24" borderId="50" xfId="35" applyNumberFormat="1" applyFont="1" applyFill="1" applyBorder="1" applyAlignment="1" applyProtection="1">
      <alignment horizontal="center"/>
      <protection hidden="1"/>
    </xf>
    <xf numFmtId="0" fontId="27" fillId="31" borderId="54" xfId="0" applyNumberFormat="1" applyFont="1" applyFill="1" applyBorder="1" applyAlignment="1" applyProtection="1">
      <alignment horizontal="left" vertical="center"/>
      <protection hidden="1"/>
    </xf>
    <xf numFmtId="0" fontId="27" fillId="31" borderId="51" xfId="0" applyFont="1" applyFill="1" applyBorder="1" applyAlignment="1" applyProtection="1">
      <alignment vertical="center"/>
      <protection hidden="1"/>
    </xf>
    <xf numFmtId="2" fontId="27" fillId="24" borderId="10" xfId="0" applyNumberFormat="1" applyFont="1" applyFill="1" applyBorder="1" applyAlignment="1" applyProtection="1">
      <alignment horizontal="left" vertical="center" shrinkToFit="1"/>
      <protection hidden="1"/>
    </xf>
    <xf numFmtId="2" fontId="27" fillId="24" borderId="10" xfId="35" applyNumberFormat="1" applyFont="1" applyFill="1" applyBorder="1" applyAlignment="1" applyProtection="1">
      <alignment horizontal="center"/>
      <protection hidden="1"/>
    </xf>
    <xf numFmtId="2" fontId="27" fillId="24" borderId="52" xfId="35" applyNumberFormat="1" applyFont="1" applyFill="1" applyBorder="1" applyAlignment="1" applyProtection="1">
      <alignment horizontal="center"/>
      <protection hidden="1"/>
    </xf>
    <xf numFmtId="0" fontId="32" fillId="26" borderId="10" xfId="0" applyNumberFormat="1" applyFont="1" applyFill="1" applyBorder="1" applyAlignment="1" applyProtection="1">
      <alignment horizontal="center" vertical="center"/>
      <protection hidden="1"/>
    </xf>
    <xf numFmtId="0" fontId="32" fillId="38" borderId="10" xfId="0" applyNumberFormat="1" applyFont="1" applyFill="1" applyBorder="1" applyAlignment="1" applyProtection="1">
      <alignment horizontal="center" vertical="center" shrinkToFit="1"/>
      <protection hidden="1"/>
    </xf>
    <xf numFmtId="186" fontId="41" fillId="26" borderId="10" xfId="35" applyNumberFormat="1" applyFont="1" applyFill="1" applyBorder="1" applyAlignment="1" applyProtection="1">
      <alignment horizontal="right" vertical="center"/>
      <protection hidden="1"/>
    </xf>
    <xf numFmtId="0" fontId="27" fillId="24" borderId="10" xfId="0" quotePrefix="1" applyNumberFormat="1" applyFont="1" applyFill="1" applyBorder="1" applyAlignment="1" applyProtection="1">
      <alignment horizontal="left" vertical="center"/>
      <protection hidden="1"/>
    </xf>
    <xf numFmtId="49" fontId="27" fillId="24" borderId="10" xfId="0" quotePrefix="1" applyNumberFormat="1" applyFont="1" applyFill="1" applyBorder="1" applyAlignment="1" applyProtection="1">
      <alignment horizontal="left" vertical="center"/>
      <protection hidden="1"/>
    </xf>
    <xf numFmtId="49" fontId="41" fillId="26" borderId="10" xfId="0" applyNumberFormat="1" applyFont="1" applyFill="1" applyBorder="1" applyAlignment="1" applyProtection="1">
      <alignment vertical="center"/>
      <protection hidden="1"/>
    </xf>
    <xf numFmtId="2" fontId="41" fillId="26" borderId="50" xfId="35" applyNumberFormat="1" applyFont="1" applyFill="1" applyBorder="1" applyAlignment="1" applyProtection="1">
      <alignment horizontal="center" vertical="center"/>
      <protection hidden="1"/>
    </xf>
    <xf numFmtId="2" fontId="41" fillId="26" borderId="52" xfId="0" applyNumberFormat="1" applyFont="1" applyFill="1" applyBorder="1" applyAlignment="1" applyProtection="1">
      <alignment horizontal="center"/>
      <protection hidden="1"/>
    </xf>
    <xf numFmtId="2" fontId="41" fillId="26" borderId="10" xfId="0" applyNumberFormat="1" applyFont="1" applyFill="1" applyBorder="1" applyAlignment="1" applyProtection="1">
      <alignment horizontal="center"/>
      <protection hidden="1"/>
    </xf>
    <xf numFmtId="2" fontId="41" fillId="24" borderId="52" xfId="0" applyNumberFormat="1" applyFont="1" applyFill="1" applyBorder="1" applyAlignment="1" applyProtection="1">
      <alignment horizontal="center"/>
      <protection hidden="1"/>
    </xf>
    <xf numFmtId="2" fontId="41" fillId="24" borderId="10" xfId="0" applyNumberFormat="1" applyFont="1" applyFill="1" applyBorder="1" applyAlignment="1" applyProtection="1">
      <alignment horizontal="center"/>
      <protection hidden="1"/>
    </xf>
    <xf numFmtId="206" fontId="41" fillId="24" borderId="52" xfId="0" applyNumberFormat="1" applyFont="1" applyFill="1" applyBorder="1" applyAlignment="1" applyProtection="1">
      <alignment horizontal="center"/>
      <protection hidden="1"/>
    </xf>
    <xf numFmtId="49" fontId="41" fillId="24" borderId="10" xfId="0" applyNumberFormat="1" applyFont="1" applyFill="1" applyBorder="1" applyAlignment="1" applyProtection="1">
      <alignment vertical="center"/>
      <protection hidden="1"/>
    </xf>
    <xf numFmtId="49" fontId="27" fillId="24" borderId="10" xfId="0" applyNumberFormat="1" applyFont="1" applyFill="1" applyBorder="1" applyAlignment="1" applyProtection="1">
      <alignment vertical="center"/>
      <protection hidden="1"/>
    </xf>
    <xf numFmtId="0" fontId="76" fillId="0" borderId="215" xfId="0" applyFont="1" applyFill="1" applyBorder="1" applyProtection="1">
      <alignment vertical="center"/>
      <protection hidden="1"/>
    </xf>
    <xf numFmtId="190" fontId="67" fillId="31" borderId="50" xfId="0" applyNumberFormat="1" applyFont="1" applyFill="1" applyBorder="1" applyAlignment="1" applyProtection="1">
      <alignment horizontal="center" vertical="center"/>
      <protection hidden="1"/>
    </xf>
    <xf numFmtId="0" fontId="75" fillId="0" borderId="90" xfId="0" applyFont="1" applyFill="1" applyBorder="1" applyAlignment="1">
      <alignment vertical="center"/>
    </xf>
    <xf numFmtId="0" fontId="75" fillId="0" borderId="90" xfId="0" applyFont="1" applyFill="1" applyBorder="1" applyAlignment="1" applyProtection="1">
      <alignment vertical="center"/>
      <protection hidden="1"/>
    </xf>
    <xf numFmtId="0" fontId="100" fillId="0" borderId="90" xfId="0" applyFont="1" applyFill="1" applyBorder="1" applyAlignment="1">
      <alignment vertical="center"/>
    </xf>
    <xf numFmtId="0" fontId="28" fillId="24" borderId="54"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center" vertical="center"/>
      <protection hidden="1"/>
    </xf>
    <xf numFmtId="182" fontId="47" fillId="0" borderId="105" xfId="0" applyNumberFormat="1" applyFont="1" applyFill="1" applyBorder="1" applyAlignment="1" applyProtection="1">
      <alignment horizontal="center" vertical="center"/>
      <protection hidden="1"/>
    </xf>
    <xf numFmtId="182" fontId="47" fillId="0" borderId="112" xfId="0" applyNumberFormat="1" applyFont="1" applyFill="1" applyBorder="1" applyAlignment="1" applyProtection="1">
      <alignment horizontal="center" vertical="center"/>
      <protection hidden="1"/>
    </xf>
    <xf numFmtId="182" fontId="47" fillId="34" borderId="111" xfId="0" applyNumberFormat="1" applyFont="1" applyFill="1" applyBorder="1" applyAlignment="1" applyProtection="1">
      <alignment horizontal="center" vertical="center"/>
      <protection hidden="1"/>
    </xf>
    <xf numFmtId="182" fontId="47" fillId="34" borderId="115" xfId="0" applyNumberFormat="1" applyFont="1" applyFill="1" applyBorder="1" applyAlignment="1" applyProtection="1">
      <alignment horizontal="center" vertical="center"/>
      <protection hidden="1"/>
    </xf>
    <xf numFmtId="182" fontId="35" fillId="24" borderId="216" xfId="0" applyNumberFormat="1" applyFont="1" applyFill="1" applyBorder="1" applyAlignment="1" applyProtection="1">
      <alignment horizontal="center" vertical="center"/>
      <protection hidden="1"/>
    </xf>
    <xf numFmtId="0" fontId="27" fillId="45" borderId="0" xfId="0" applyFont="1" applyFill="1">
      <alignment vertical="center"/>
    </xf>
    <xf numFmtId="0" fontId="6" fillId="24" borderId="0" xfId="0" applyFont="1" applyFill="1" applyBorder="1" applyAlignment="1" applyProtection="1">
      <alignment vertical="center"/>
      <protection hidden="1"/>
    </xf>
    <xf numFmtId="0" fontId="27" fillId="24" borderId="153" xfId="0" applyFont="1" applyFill="1" applyBorder="1" applyAlignment="1" applyProtection="1">
      <alignment vertical="center"/>
      <protection hidden="1"/>
    </xf>
    <xf numFmtId="0" fontId="27" fillId="24" borderId="11" xfId="0" applyFont="1" applyFill="1" applyBorder="1" applyAlignment="1" applyProtection="1">
      <alignment vertical="center"/>
      <protection hidden="1"/>
    </xf>
    <xf numFmtId="178" fontId="28" fillId="24" borderId="18" xfId="0" applyNumberFormat="1" applyFont="1" applyFill="1" applyBorder="1" applyAlignment="1" applyProtection="1">
      <alignment horizontal="left" vertical="center"/>
    </xf>
    <xf numFmtId="0" fontId="28" fillId="24" borderId="0" xfId="0" applyFont="1" applyFill="1" applyBorder="1" applyAlignment="1" applyProtection="1">
      <alignment horizontal="right" vertical="center"/>
      <protection hidden="1"/>
    </xf>
    <xf numFmtId="0" fontId="27" fillId="24" borderId="17" xfId="0" applyFont="1" applyFill="1" applyBorder="1" applyAlignment="1" applyProtection="1">
      <alignment horizontal="right" vertical="center"/>
      <protection hidden="1"/>
    </xf>
    <xf numFmtId="0" fontId="27" fillId="24" borderId="0" xfId="0" applyFont="1" applyFill="1" applyBorder="1" applyAlignment="1" applyProtection="1">
      <alignment horizontal="center" vertical="center"/>
      <protection hidden="1"/>
    </xf>
    <xf numFmtId="0" fontId="40" fillId="25" borderId="0" xfId="0" applyFont="1" applyFill="1" applyBorder="1" applyAlignment="1" applyProtection="1">
      <alignment vertical="center"/>
      <protection hidden="1"/>
    </xf>
    <xf numFmtId="0" fontId="6" fillId="0" borderId="10" xfId="0" applyFont="1" applyFill="1" applyBorder="1" applyAlignment="1" applyProtection="1">
      <alignment horizontal="center" vertical="center"/>
      <protection locked="0"/>
    </xf>
    <xf numFmtId="0" fontId="27" fillId="0" borderId="0" xfId="44" applyFont="1" applyBorder="1" applyAlignment="1">
      <alignment horizontal="right"/>
    </xf>
    <xf numFmtId="198" fontId="27" fillId="0" borderId="50" xfId="44" applyNumberFormat="1" applyFont="1" applyBorder="1" applyAlignment="1"/>
    <xf numFmtId="0" fontId="28" fillId="0" borderId="20" xfId="44" applyFont="1" applyBorder="1" applyAlignment="1"/>
    <xf numFmtId="0" fontId="27" fillId="0" borderId="53" xfId="0" applyFont="1" applyBorder="1" applyAlignment="1">
      <alignment vertical="top"/>
    </xf>
    <xf numFmtId="0" fontId="27" fillId="0" borderId="54" xfId="0" applyFont="1" applyBorder="1" applyAlignment="1">
      <alignment vertical="top"/>
    </xf>
    <xf numFmtId="0" fontId="27" fillId="0" borderId="55" xfId="0" applyFont="1" applyBorder="1" applyAlignment="1">
      <alignment vertical="top"/>
    </xf>
    <xf numFmtId="0" fontId="27" fillId="0" borderId="50" xfId="0" applyFont="1" applyBorder="1" applyAlignment="1">
      <alignment vertical="top"/>
    </xf>
    <xf numFmtId="0" fontId="27" fillId="0" borderId="51" xfId="0" applyFont="1" applyBorder="1" applyAlignment="1">
      <alignment vertical="top" wrapText="1"/>
    </xf>
    <xf numFmtId="0" fontId="27" fillId="0" borderId="52" xfId="0" applyFont="1" applyBorder="1" applyAlignment="1">
      <alignment vertical="top" wrapText="1"/>
    </xf>
    <xf numFmtId="0" fontId="27" fillId="0" borderId="51" xfId="0" applyFont="1" applyBorder="1" applyAlignment="1">
      <alignment vertical="top"/>
    </xf>
    <xf numFmtId="0" fontId="27" fillId="0" borderId="52" xfId="0" applyFont="1" applyBorder="1">
      <alignment vertical="center"/>
    </xf>
    <xf numFmtId="0" fontId="27" fillId="0" borderId="23" xfId="0" applyFont="1" applyBorder="1">
      <alignment vertical="center"/>
    </xf>
    <xf numFmtId="0" fontId="27" fillId="0" borderId="20" xfId="0" applyFont="1" applyBorder="1" applyAlignment="1">
      <alignment vertical="top"/>
    </xf>
    <xf numFmtId="0" fontId="27" fillId="0" borderId="0" xfId="0" applyFont="1" applyBorder="1" applyAlignment="1">
      <alignment vertical="top"/>
    </xf>
    <xf numFmtId="0" fontId="27" fillId="0" borderId="153" xfId="0" applyFont="1" applyBorder="1" applyAlignment="1">
      <alignment vertical="top"/>
    </xf>
    <xf numFmtId="0" fontId="27" fillId="0" borderId="50" xfId="0" applyFont="1" applyBorder="1" applyAlignment="1">
      <alignment vertical="top" wrapText="1"/>
    </xf>
    <xf numFmtId="198" fontId="27" fillId="0" borderId="50" xfId="0" applyNumberFormat="1" applyFont="1" applyBorder="1" applyAlignment="1">
      <alignment vertical="top"/>
    </xf>
    <xf numFmtId="198" fontId="27" fillId="0" borderId="51" xfId="0" applyNumberFormat="1" applyFont="1" applyBorder="1" applyAlignment="1">
      <alignment vertical="top"/>
    </xf>
    <xf numFmtId="198" fontId="27" fillId="0" borderId="52" xfId="0" applyNumberFormat="1" applyFont="1" applyBorder="1">
      <alignment vertical="center"/>
    </xf>
    <xf numFmtId="0" fontId="27" fillId="0" borderId="61" xfId="0" applyFont="1" applyBorder="1">
      <alignment vertical="center"/>
    </xf>
    <xf numFmtId="0" fontId="27" fillId="0" borderId="24" xfId="0" applyFont="1" applyBorder="1" applyAlignment="1">
      <alignment vertical="top"/>
    </xf>
    <xf numFmtId="0" fontId="27" fillId="0" borderId="59" xfId="0" applyFont="1" applyBorder="1" applyAlignment="1">
      <alignment vertical="top"/>
    </xf>
    <xf numFmtId="0" fontId="27" fillId="0" borderId="60" xfId="0" applyFont="1" applyBorder="1" applyAlignment="1">
      <alignment vertical="top"/>
    </xf>
    <xf numFmtId="0" fontId="27" fillId="0" borderId="10" xfId="0" applyFont="1" applyBorder="1" applyAlignment="1">
      <alignment vertical="top"/>
    </xf>
    <xf numFmtId="0" fontId="27" fillId="0" borderId="10" xfId="0" applyFont="1" applyBorder="1" applyAlignment="1">
      <alignment vertical="top" wrapText="1"/>
    </xf>
    <xf numFmtId="0" fontId="27" fillId="0" borderId="10" xfId="0" applyFont="1" applyFill="1" applyBorder="1" applyAlignment="1">
      <alignment vertical="top"/>
    </xf>
    <xf numFmtId="0" fontId="27" fillId="0" borderId="22" xfId="0" applyFont="1" applyFill="1" applyBorder="1" applyAlignment="1">
      <alignment vertical="top"/>
    </xf>
    <xf numFmtId="0" fontId="27" fillId="0" borderId="23" xfId="0" applyFont="1" applyBorder="1" applyAlignment="1">
      <alignment vertical="top"/>
    </xf>
    <xf numFmtId="0" fontId="27" fillId="0" borderId="52" xfId="0" applyFont="1" applyBorder="1" applyAlignment="1">
      <alignment vertical="top"/>
    </xf>
    <xf numFmtId="38" fontId="27" fillId="0" borderId="10" xfId="35" applyFont="1" applyBorder="1" applyAlignment="1">
      <alignment vertical="top"/>
    </xf>
    <xf numFmtId="9" fontId="27" fillId="0" borderId="10" xfId="0" applyNumberFormat="1" applyFont="1" applyBorder="1" applyAlignment="1">
      <alignment vertical="top"/>
    </xf>
    <xf numFmtId="0" fontId="27" fillId="0" borderId="10" xfId="0" applyFont="1" applyBorder="1" applyAlignment="1">
      <alignment horizontal="center"/>
    </xf>
    <xf numFmtId="198" fontId="27" fillId="0" borderId="10" xfId="0" applyNumberFormat="1" applyFont="1" applyBorder="1">
      <alignment vertical="center"/>
    </xf>
    <xf numFmtId="0" fontId="27" fillId="0" borderId="22" xfId="0" applyFont="1" applyBorder="1" applyAlignment="1">
      <alignment vertical="top"/>
    </xf>
    <xf numFmtId="0" fontId="27" fillId="0" borderId="61" xfId="0" applyFont="1" applyBorder="1" applyAlignment="1">
      <alignment vertical="top"/>
    </xf>
    <xf numFmtId="0" fontId="27" fillId="0" borderId="24" xfId="0" applyFont="1" applyFill="1" applyBorder="1" applyAlignment="1">
      <alignment vertical="top"/>
    </xf>
    <xf numFmtId="0" fontId="27" fillId="0" borderId="60" xfId="0" applyFont="1" applyFill="1" applyBorder="1" applyAlignment="1">
      <alignment vertical="top"/>
    </xf>
    <xf numFmtId="38" fontId="27" fillId="0" borderId="10" xfId="35" applyFont="1" applyBorder="1" applyAlignment="1">
      <alignment horizontal="center"/>
    </xf>
    <xf numFmtId="0" fontId="27" fillId="0" borderId="22" xfId="0" applyFont="1" applyBorder="1">
      <alignment vertical="center"/>
    </xf>
    <xf numFmtId="0" fontId="27" fillId="0" borderId="50" xfId="0" applyFont="1" applyFill="1" applyBorder="1" applyAlignment="1">
      <alignment vertical="top"/>
    </xf>
    <xf numFmtId="0" fontId="27" fillId="0" borderId="52" xfId="0" applyFont="1" applyFill="1" applyBorder="1" applyAlignment="1">
      <alignment vertical="top"/>
    </xf>
    <xf numFmtId="0" fontId="27" fillId="0" borderId="50" xfId="0" applyFont="1" applyBorder="1">
      <alignment vertical="center"/>
    </xf>
    <xf numFmtId="0" fontId="27" fillId="0" borderId="51" xfId="0" applyFont="1" applyFill="1" applyBorder="1" applyAlignment="1">
      <alignment vertical="top"/>
    </xf>
    <xf numFmtId="0" fontId="27" fillId="0" borderId="0" xfId="0" applyFont="1" applyFill="1" applyBorder="1" applyAlignment="1">
      <alignment vertical="top"/>
    </xf>
    <xf numFmtId="0" fontId="27" fillId="0" borderId="51" xfId="0" applyFont="1" applyBorder="1">
      <alignment vertical="center"/>
    </xf>
    <xf numFmtId="0" fontId="27" fillId="0" borderId="51" xfId="0" applyFont="1" applyBorder="1" applyAlignment="1">
      <alignment horizontal="center" vertical="center"/>
    </xf>
    <xf numFmtId="0" fontId="0" fillId="47" borderId="59" xfId="0" quotePrefix="1" applyFill="1" applyBorder="1">
      <alignment vertical="center"/>
    </xf>
    <xf numFmtId="0" fontId="0" fillId="47" borderId="0" xfId="0" applyFill="1">
      <alignment vertical="center"/>
    </xf>
    <xf numFmtId="0" fontId="27" fillId="47" borderId="10" xfId="0" applyFont="1" applyFill="1" applyBorder="1">
      <alignment vertical="center"/>
    </xf>
    <xf numFmtId="38" fontId="27" fillId="0" borderId="10" xfId="35" applyFont="1" applyBorder="1">
      <alignment vertical="center"/>
    </xf>
    <xf numFmtId="207" fontId="27" fillId="47" borderId="10" xfId="0" applyNumberFormat="1" applyFont="1" applyFill="1" applyBorder="1">
      <alignment vertical="center"/>
    </xf>
    <xf numFmtId="207" fontId="27" fillId="47" borderId="10" xfId="35" applyNumberFormat="1" applyFont="1" applyFill="1" applyBorder="1">
      <alignment vertical="center"/>
    </xf>
    <xf numFmtId="0" fontId="27" fillId="0" borderId="53" xfId="0" applyFont="1" applyBorder="1">
      <alignment vertical="center"/>
    </xf>
    <xf numFmtId="0" fontId="27" fillId="0" borderId="20" xfId="0" applyFont="1" applyBorder="1">
      <alignment vertical="center"/>
    </xf>
    <xf numFmtId="0" fontId="27" fillId="0" borderId="24" xfId="0" applyFont="1" applyBorder="1">
      <alignment vertical="center"/>
    </xf>
    <xf numFmtId="0" fontId="27" fillId="0" borderId="55" xfId="0" applyFont="1" applyBorder="1">
      <alignment vertical="center"/>
    </xf>
    <xf numFmtId="0" fontId="27" fillId="0" borderId="153" xfId="0" applyFont="1" applyBorder="1">
      <alignment vertical="center"/>
    </xf>
    <xf numFmtId="38" fontId="27" fillId="0" borderId="0" xfId="0" applyNumberFormat="1" applyFont="1">
      <alignment vertical="center"/>
    </xf>
    <xf numFmtId="0" fontId="27" fillId="47" borderId="0" xfId="0" applyFont="1" applyFill="1">
      <alignment vertical="center"/>
    </xf>
    <xf numFmtId="38" fontId="27" fillId="47" borderId="10" xfId="35" applyFont="1" applyFill="1" applyBorder="1">
      <alignment vertical="center"/>
    </xf>
    <xf numFmtId="0" fontId="1" fillId="24" borderId="10" xfId="0" applyFont="1" applyFill="1" applyBorder="1" applyAlignment="1">
      <alignment horizontal="center" vertical="center" wrapText="1"/>
    </xf>
    <xf numFmtId="0" fontId="6" fillId="24" borderId="0" xfId="45" applyFont="1" applyFill="1" applyBorder="1" applyAlignment="1" applyProtection="1">
      <alignment vertical="center"/>
      <protection locked="0"/>
    </xf>
    <xf numFmtId="0" fontId="0" fillId="0" borderId="23" xfId="0" applyBorder="1" applyAlignment="1">
      <alignment vertical="top"/>
    </xf>
    <xf numFmtId="0" fontId="0" fillId="0" borderId="50" xfId="0" applyBorder="1" applyAlignment="1">
      <alignment vertical="top"/>
    </xf>
    <xf numFmtId="178" fontId="0" fillId="0" borderId="10" xfId="0" applyNumberFormat="1" applyBorder="1" applyAlignment="1">
      <alignment vertical="top"/>
    </xf>
    <xf numFmtId="0" fontId="0" fillId="0" borderId="22" xfId="0" applyBorder="1" applyAlignment="1">
      <alignment vertical="top"/>
    </xf>
    <xf numFmtId="0" fontId="0" fillId="0" borderId="61" xfId="0" applyBorder="1" applyAlignment="1">
      <alignment vertical="top"/>
    </xf>
    <xf numFmtId="0" fontId="0" fillId="0" borderId="51" xfId="0" applyBorder="1" applyAlignment="1">
      <alignment vertical="top"/>
    </xf>
    <xf numFmtId="0" fontId="0" fillId="0" borderId="53" xfId="0" applyBorder="1" applyAlignment="1">
      <alignment vertical="top"/>
    </xf>
    <xf numFmtId="0" fontId="0" fillId="0" borderId="20" xfId="0" applyBorder="1" applyAlignment="1">
      <alignment vertical="top"/>
    </xf>
    <xf numFmtId="0" fontId="0" fillId="0" borderId="59" xfId="0" applyBorder="1" applyAlignment="1">
      <alignment vertical="top"/>
    </xf>
    <xf numFmtId="0" fontId="0" fillId="0" borderId="61" xfId="0" applyBorder="1">
      <alignment vertical="center"/>
    </xf>
    <xf numFmtId="0" fontId="0" fillId="0" borderId="24" xfId="0" applyFill="1" applyBorder="1" applyAlignment="1">
      <alignment vertical="top"/>
    </xf>
    <xf numFmtId="0" fontId="0" fillId="0" borderId="22" xfId="0" applyBorder="1">
      <alignment vertical="center"/>
    </xf>
    <xf numFmtId="0" fontId="0" fillId="0" borderId="50" xfId="0" applyFill="1" applyBorder="1" applyAlignment="1">
      <alignment vertical="top"/>
    </xf>
    <xf numFmtId="177" fontId="27" fillId="24" borderId="10" xfId="0" applyNumberFormat="1" applyFont="1" applyFill="1" applyBorder="1" applyProtection="1">
      <alignment vertical="center"/>
      <protection hidden="1"/>
    </xf>
    <xf numFmtId="0" fontId="6" fillId="24" borderId="82" xfId="0" applyFont="1" applyFill="1" applyBorder="1" applyAlignment="1" applyProtection="1"/>
    <xf numFmtId="0" fontId="70" fillId="24" borderId="79" xfId="0" applyFont="1" applyFill="1" applyBorder="1" applyAlignment="1" applyProtection="1"/>
    <xf numFmtId="0" fontId="27" fillId="24" borderId="79" xfId="0" applyFont="1" applyFill="1" applyBorder="1" applyProtection="1">
      <alignment vertical="center"/>
    </xf>
    <xf numFmtId="0" fontId="0" fillId="24" borderId="79" xfId="0" applyFill="1" applyBorder="1" applyProtection="1">
      <alignment vertical="center"/>
    </xf>
    <xf numFmtId="0" fontId="27" fillId="24" borderId="79" xfId="0" applyFont="1" applyFill="1" applyBorder="1" applyAlignment="1" applyProtection="1">
      <alignment horizontal="right" vertical="center"/>
    </xf>
    <xf numFmtId="0" fontId="27" fillId="24" borderId="79" xfId="0" applyFont="1" applyFill="1" applyBorder="1" applyAlignment="1" applyProtection="1">
      <alignment vertical="center"/>
    </xf>
    <xf numFmtId="0" fontId="6" fillId="24" borderId="79" xfId="0" applyFont="1" applyFill="1" applyBorder="1" applyAlignment="1" applyProtection="1">
      <alignment horizontal="right"/>
    </xf>
    <xf numFmtId="0" fontId="6" fillId="24" borderId="79" xfId="0" applyFont="1" applyFill="1" applyBorder="1" applyAlignment="1" applyProtection="1"/>
    <xf numFmtId="0" fontId="27" fillId="24" borderId="79" xfId="0" applyFont="1" applyFill="1" applyBorder="1" applyAlignment="1" applyProtection="1"/>
    <xf numFmtId="0" fontId="0" fillId="24" borderId="110" xfId="0" applyFill="1" applyBorder="1" applyProtection="1">
      <alignment vertical="center"/>
    </xf>
    <xf numFmtId="0" fontId="27" fillId="24" borderId="90" xfId="0" applyFont="1" applyFill="1" applyBorder="1" applyProtection="1">
      <alignment vertical="center"/>
    </xf>
    <xf numFmtId="0" fontId="27" fillId="24" borderId="0" xfId="0" applyFont="1" applyFill="1" applyBorder="1" applyProtection="1">
      <alignment vertical="center"/>
    </xf>
    <xf numFmtId="0" fontId="27" fillId="24" borderId="88" xfId="0" applyFont="1" applyFill="1" applyBorder="1" applyProtection="1">
      <alignment vertical="center"/>
    </xf>
    <xf numFmtId="0" fontId="0" fillId="0" borderId="0" xfId="0" quotePrefix="1">
      <alignment vertical="center"/>
    </xf>
    <xf numFmtId="0" fontId="41" fillId="24" borderId="0" xfId="0" applyFont="1" applyFill="1" applyBorder="1" applyProtection="1">
      <alignment vertical="center"/>
    </xf>
    <xf numFmtId="0" fontId="41" fillId="24" borderId="0" xfId="44" quotePrefix="1" applyFont="1" applyFill="1" applyBorder="1" applyAlignment="1" applyProtection="1">
      <alignment vertical="center"/>
    </xf>
    <xf numFmtId="0" fontId="41" fillId="24" borderId="0" xfId="0" applyFont="1" applyFill="1" applyBorder="1" applyAlignment="1" applyProtection="1">
      <alignment horizontal="center" vertical="center"/>
    </xf>
    <xf numFmtId="186" fontId="27" fillId="43" borderId="133" xfId="0" applyNumberFormat="1" applyFont="1" applyFill="1" applyBorder="1" applyProtection="1">
      <alignment vertical="center"/>
      <protection locked="0"/>
    </xf>
    <xf numFmtId="0" fontId="27" fillId="24" borderId="0" xfId="0" applyFont="1" applyFill="1" applyBorder="1" applyAlignment="1" applyProtection="1">
      <alignment horizontal="right" vertical="center"/>
    </xf>
    <xf numFmtId="38" fontId="27" fillId="27" borderId="133" xfId="35" applyFont="1" applyFill="1" applyBorder="1" applyAlignment="1" applyProtection="1">
      <alignment horizontal="center" vertical="center"/>
      <protection locked="0"/>
    </xf>
    <xf numFmtId="0" fontId="27" fillId="24" borderId="10" xfId="0" applyFont="1" applyFill="1" applyBorder="1" applyProtection="1">
      <alignment vertical="center"/>
    </xf>
    <xf numFmtId="192" fontId="27" fillId="24" borderId="10" xfId="0" applyNumberFormat="1" applyFont="1" applyFill="1" applyBorder="1" applyAlignment="1" applyProtection="1">
      <alignment horizontal="center" vertical="center"/>
    </xf>
    <xf numFmtId="177" fontId="27" fillId="24" borderId="0" xfId="0" applyNumberFormat="1" applyFont="1" applyFill="1" applyBorder="1" applyProtection="1">
      <alignment vertical="center"/>
    </xf>
    <xf numFmtId="193" fontId="27" fillId="24" borderId="0" xfId="0" applyNumberFormat="1" applyFont="1" applyFill="1" applyBorder="1" applyAlignment="1" applyProtection="1">
      <alignment horizontal="center" vertical="center"/>
    </xf>
    <xf numFmtId="193" fontId="27" fillId="24" borderId="133" xfId="0" applyNumberFormat="1" applyFont="1" applyFill="1" applyBorder="1" applyAlignment="1" applyProtection="1">
      <alignment horizontal="center" vertical="center"/>
    </xf>
    <xf numFmtId="177" fontId="27" fillId="24" borderId="10" xfId="0" applyNumberFormat="1" applyFont="1" applyFill="1" applyBorder="1" applyProtection="1">
      <alignment vertical="center"/>
    </xf>
    <xf numFmtId="208" fontId="27" fillId="24" borderId="133" xfId="0" applyNumberFormat="1" applyFont="1" applyFill="1" applyBorder="1" applyAlignment="1" applyProtection="1">
      <alignment horizontal="center" vertical="center"/>
    </xf>
    <xf numFmtId="0" fontId="27" fillId="48" borderId="0" xfId="0" applyFont="1" applyFill="1" applyBorder="1" applyProtection="1">
      <alignment vertical="center"/>
    </xf>
    <xf numFmtId="186" fontId="0" fillId="0" borderId="0" xfId="0" applyNumberFormat="1">
      <alignment vertical="center"/>
    </xf>
    <xf numFmtId="0" fontId="0" fillId="0" borderId="23" xfId="0" applyBorder="1">
      <alignment vertical="center"/>
    </xf>
    <xf numFmtId="0" fontId="27" fillId="24" borderId="88" xfId="0" applyFont="1" applyFill="1" applyBorder="1" applyAlignment="1" applyProtection="1">
      <alignment horizontal="right" vertical="center"/>
    </xf>
    <xf numFmtId="0" fontId="41" fillId="24" borderId="0" xfId="0" applyFont="1" applyFill="1" applyBorder="1" applyAlignment="1" applyProtection="1">
      <alignment horizontal="right" vertical="center"/>
    </xf>
    <xf numFmtId="177" fontId="27" fillId="24" borderId="52" xfId="0" applyNumberFormat="1" applyFont="1" applyFill="1" applyBorder="1" applyProtection="1">
      <alignment vertical="center"/>
    </xf>
    <xf numFmtId="209" fontId="0" fillId="0" borderId="0" xfId="0" applyNumberFormat="1">
      <alignment vertical="center"/>
    </xf>
    <xf numFmtId="0" fontId="41" fillId="48" borderId="0" xfId="0" applyFont="1" applyFill="1" applyBorder="1" applyProtection="1">
      <alignment vertical="center"/>
    </xf>
    <xf numFmtId="177" fontId="41" fillId="24" borderId="10" xfId="0" applyNumberFormat="1" applyFont="1" applyFill="1" applyBorder="1" applyProtection="1">
      <alignment vertical="center"/>
    </xf>
    <xf numFmtId="210" fontId="27" fillId="27" borderId="133" xfId="35" applyNumberFormat="1" applyFont="1" applyFill="1" applyBorder="1" applyAlignment="1" applyProtection="1">
      <alignment horizontal="center" vertical="center"/>
      <protection locked="0"/>
    </xf>
    <xf numFmtId="38" fontId="27" fillId="27" borderId="116" xfId="35" applyFont="1" applyFill="1" applyBorder="1" applyAlignment="1" applyProtection="1">
      <alignment horizontal="right" vertical="center"/>
      <protection locked="0"/>
    </xf>
    <xf numFmtId="0" fontId="27" fillId="24" borderId="115" xfId="0" applyFont="1" applyFill="1" applyBorder="1" applyProtection="1">
      <alignment vertical="center"/>
    </xf>
    <xf numFmtId="38" fontId="27" fillId="27" borderId="84" xfId="35" applyFont="1" applyFill="1" applyBorder="1" applyAlignment="1" applyProtection="1">
      <alignment horizontal="right" vertical="center"/>
      <protection locked="0"/>
    </xf>
    <xf numFmtId="38" fontId="27" fillId="27" borderId="118" xfId="35" applyFont="1" applyFill="1" applyBorder="1" applyAlignment="1" applyProtection="1">
      <alignment horizontal="right" vertical="center"/>
      <protection locked="0"/>
    </xf>
    <xf numFmtId="38" fontId="27" fillId="27" borderId="145" xfId="35" applyFont="1" applyFill="1" applyBorder="1" applyAlignment="1" applyProtection="1">
      <alignment horizontal="right" vertical="center"/>
      <protection locked="0"/>
    </xf>
    <xf numFmtId="0" fontId="41" fillId="24" borderId="0" xfId="0" applyFont="1" applyFill="1" applyBorder="1" applyAlignment="1" applyProtection="1">
      <alignment vertical="center"/>
    </xf>
    <xf numFmtId="177" fontId="27" fillId="24" borderId="22" xfId="0" applyNumberFormat="1" applyFont="1" applyFill="1" applyBorder="1" applyProtection="1">
      <alignment vertical="center"/>
    </xf>
    <xf numFmtId="0" fontId="41" fillId="24" borderId="0" xfId="0" applyFont="1" applyFill="1" applyBorder="1" applyAlignment="1" applyProtection="1">
      <alignment horizontal="left" vertical="center"/>
    </xf>
    <xf numFmtId="185" fontId="27" fillId="27" borderId="116" xfId="35" applyNumberFormat="1" applyFont="1" applyFill="1" applyBorder="1" applyAlignment="1" applyProtection="1">
      <alignment horizontal="right" vertical="center"/>
      <protection locked="0"/>
    </xf>
    <xf numFmtId="38" fontId="27" fillId="24" borderId="50" xfId="35" applyFont="1" applyFill="1" applyBorder="1" applyProtection="1">
      <alignment vertical="center"/>
    </xf>
    <xf numFmtId="38" fontId="27" fillId="24" borderId="133" xfId="35" applyFont="1" applyFill="1" applyBorder="1" applyProtection="1">
      <alignment vertical="center"/>
    </xf>
    <xf numFmtId="185" fontId="27" fillId="27" borderId="118" xfId="35" applyNumberFormat="1" applyFont="1" applyFill="1" applyBorder="1" applyAlignment="1" applyProtection="1">
      <alignment horizontal="right" vertical="center"/>
      <protection locked="0"/>
    </xf>
    <xf numFmtId="185" fontId="27" fillId="27" borderId="145" xfId="35" applyNumberFormat="1" applyFont="1" applyFill="1" applyBorder="1" applyAlignment="1" applyProtection="1">
      <alignment horizontal="right" vertical="center"/>
      <protection locked="0"/>
    </xf>
    <xf numFmtId="185" fontId="27" fillId="24" borderId="0" xfId="0" applyNumberFormat="1" applyFont="1" applyFill="1" applyBorder="1" applyProtection="1">
      <alignment vertical="center"/>
    </xf>
    <xf numFmtId="0" fontId="27" fillId="24" borderId="105" xfId="0" applyFont="1" applyFill="1" applyBorder="1" applyProtection="1">
      <alignment vertical="center"/>
    </xf>
    <xf numFmtId="0" fontId="27" fillId="24" borderId="156" xfId="0" applyFont="1" applyFill="1" applyBorder="1" applyProtection="1">
      <alignment vertical="center"/>
    </xf>
    <xf numFmtId="0" fontId="41" fillId="24" borderId="156" xfId="0" applyFont="1" applyFill="1" applyBorder="1" applyProtection="1">
      <alignment vertical="center"/>
    </xf>
    <xf numFmtId="0" fontId="27" fillId="24" borderId="112" xfId="0" applyFont="1" applyFill="1" applyBorder="1" applyProtection="1">
      <alignment vertical="center"/>
    </xf>
    <xf numFmtId="0" fontId="27" fillId="24" borderId="75" xfId="0" applyFont="1" applyFill="1" applyBorder="1" applyProtection="1">
      <alignment vertical="center"/>
    </xf>
    <xf numFmtId="0" fontId="41" fillId="24" borderId="81" xfId="44" applyFont="1" applyFill="1" applyBorder="1" applyAlignment="1" applyProtection="1">
      <alignment vertical="center"/>
    </xf>
    <xf numFmtId="0" fontId="27" fillId="24" borderId="81" xfId="0" applyFont="1" applyFill="1" applyBorder="1" applyProtection="1">
      <alignment vertical="center"/>
    </xf>
    <xf numFmtId="0" fontId="27" fillId="24" borderId="81" xfId="44" applyFont="1" applyFill="1" applyBorder="1" applyAlignment="1" applyProtection="1">
      <alignment horizontal="right"/>
    </xf>
    <xf numFmtId="0" fontId="27" fillId="24" borderId="81" xfId="44" applyFont="1" applyFill="1" applyBorder="1" applyAlignment="1" applyProtection="1"/>
    <xf numFmtId="0" fontId="27" fillId="24" borderId="110" xfId="44" applyFont="1" applyFill="1" applyBorder="1" applyAlignment="1" applyProtection="1">
      <alignment horizontal="right"/>
    </xf>
    <xf numFmtId="0" fontId="27" fillId="24" borderId="90" xfId="44" applyFont="1" applyFill="1" applyBorder="1" applyAlignment="1" applyProtection="1">
      <alignment vertical="center"/>
    </xf>
    <xf numFmtId="0" fontId="27" fillId="24" borderId="88" xfId="44" applyFont="1" applyFill="1" applyBorder="1" applyAlignment="1" applyProtection="1">
      <alignment horizontal="left"/>
    </xf>
    <xf numFmtId="0" fontId="27" fillId="24" borderId="0" xfId="44" applyFont="1" applyFill="1" applyBorder="1" applyAlignment="1" applyProtection="1"/>
    <xf numFmtId="177" fontId="27" fillId="24" borderId="10" xfId="28" applyNumberFormat="1" applyFont="1" applyFill="1" applyBorder="1" applyProtection="1">
      <alignment vertical="center"/>
    </xf>
    <xf numFmtId="40" fontId="27" fillId="24" borderId="10" xfId="0" applyNumberFormat="1" applyFont="1" applyFill="1" applyBorder="1" applyProtection="1">
      <alignment vertical="center"/>
    </xf>
    <xf numFmtId="177" fontId="27" fillId="24" borderId="0" xfId="0" applyNumberFormat="1" applyFont="1" applyFill="1" applyBorder="1" applyAlignment="1" applyProtection="1">
      <alignment horizontal="left" vertical="center"/>
    </xf>
    <xf numFmtId="196" fontId="27" fillId="24" borderId="10" xfId="35" applyNumberFormat="1" applyFont="1" applyFill="1" applyBorder="1" applyAlignment="1" applyProtection="1"/>
    <xf numFmtId="40" fontId="27" fillId="24" borderId="10" xfId="35" applyNumberFormat="1" applyFont="1" applyFill="1" applyBorder="1" applyAlignment="1" applyProtection="1">
      <alignment horizontal="right" vertical="center"/>
    </xf>
    <xf numFmtId="40" fontId="27" fillId="24" borderId="68" xfId="35" applyNumberFormat="1" applyFont="1" applyFill="1" applyBorder="1" applyAlignment="1" applyProtection="1">
      <alignment horizontal="right" vertical="center"/>
    </xf>
    <xf numFmtId="0" fontId="0" fillId="45" borderId="0" xfId="0" applyFill="1">
      <alignment vertical="center"/>
    </xf>
    <xf numFmtId="0" fontId="27" fillId="24" borderId="23" xfId="0" applyFont="1" applyFill="1" applyBorder="1" applyAlignment="1">
      <alignment vertical="top"/>
    </xf>
    <xf numFmtId="0" fontId="27" fillId="24" borderId="50" xfId="0" applyFont="1" applyFill="1" applyBorder="1" applyAlignment="1">
      <alignment vertical="top"/>
    </xf>
    <xf numFmtId="0" fontId="27" fillId="24" borderId="52" xfId="0" applyFont="1" applyFill="1" applyBorder="1" applyAlignment="1">
      <alignment vertical="top"/>
    </xf>
    <xf numFmtId="212" fontId="27" fillId="24" borderId="10" xfId="0" applyNumberFormat="1" applyFont="1" applyFill="1" applyBorder="1">
      <alignment vertical="center"/>
    </xf>
    <xf numFmtId="0" fontId="27" fillId="24" borderId="22" xfId="0" applyFont="1" applyFill="1" applyBorder="1" applyAlignment="1">
      <alignment vertical="top"/>
    </xf>
    <xf numFmtId="0" fontId="27" fillId="24" borderId="61" xfId="0" applyFont="1" applyFill="1" applyBorder="1" applyAlignment="1">
      <alignment vertical="top"/>
    </xf>
    <xf numFmtId="0" fontId="27" fillId="24" borderId="53" xfId="0" applyFont="1" applyFill="1" applyBorder="1" applyAlignment="1">
      <alignment vertical="top"/>
    </xf>
    <xf numFmtId="0" fontId="27" fillId="24" borderId="10" xfId="0" applyFont="1" applyFill="1" applyBorder="1" applyAlignment="1">
      <alignment vertical="top"/>
    </xf>
    <xf numFmtId="0" fontId="27" fillId="24" borderId="24" xfId="0" applyFont="1" applyFill="1" applyBorder="1" applyAlignment="1">
      <alignment vertical="top"/>
    </xf>
    <xf numFmtId="0" fontId="27" fillId="24" borderId="51" xfId="0" applyFont="1" applyFill="1" applyBorder="1" applyAlignment="1">
      <alignment vertical="top"/>
    </xf>
    <xf numFmtId="0" fontId="27" fillId="24" borderId="55" xfId="0" applyFont="1" applyFill="1" applyBorder="1" applyAlignment="1">
      <alignment vertical="top"/>
    </xf>
    <xf numFmtId="0" fontId="27" fillId="24" borderId="0" xfId="0" applyFont="1" applyFill="1" applyBorder="1" applyAlignment="1">
      <alignment vertical="top"/>
    </xf>
    <xf numFmtId="38" fontId="27" fillId="24" borderId="0" xfId="35" applyFont="1" applyFill="1" applyBorder="1">
      <alignment vertical="center"/>
    </xf>
    <xf numFmtId="212" fontId="27" fillId="24" borderId="133" xfId="0" applyNumberFormat="1" applyFont="1" applyFill="1" applyBorder="1">
      <alignment vertical="center"/>
    </xf>
    <xf numFmtId="38" fontId="0" fillId="0" borderId="0" xfId="35" applyFont="1">
      <alignment vertical="center"/>
    </xf>
    <xf numFmtId="0" fontId="0" fillId="47" borderId="10" xfId="0" applyFill="1" applyBorder="1">
      <alignment vertical="center"/>
    </xf>
    <xf numFmtId="185" fontId="41" fillId="24" borderId="133" xfId="35" applyNumberFormat="1" applyFont="1" applyFill="1" applyBorder="1" applyAlignment="1" applyProtection="1">
      <alignment horizontal="center" vertical="center"/>
    </xf>
    <xf numFmtId="40" fontId="27" fillId="24" borderId="90" xfId="0" applyNumberFormat="1" applyFont="1" applyFill="1" applyBorder="1" applyProtection="1">
      <alignment vertical="center"/>
    </xf>
    <xf numFmtId="40" fontId="27" fillId="24" borderId="0" xfId="0" applyNumberFormat="1" applyFont="1" applyFill="1" applyBorder="1" applyProtection="1">
      <alignment vertical="center"/>
    </xf>
    <xf numFmtId="177" fontId="27" fillId="24" borderId="88" xfId="0" applyNumberFormat="1" applyFont="1" applyFill="1" applyBorder="1" applyAlignment="1" applyProtection="1">
      <alignment horizontal="right" vertical="center"/>
    </xf>
    <xf numFmtId="38" fontId="27" fillId="24" borderId="10" xfId="0" applyNumberFormat="1" applyFont="1" applyFill="1" applyBorder="1" applyProtection="1">
      <alignment vertical="center"/>
    </xf>
    <xf numFmtId="176" fontId="40" fillId="24" borderId="10" xfId="44" applyNumberFormat="1" applyFont="1" applyFill="1" applyBorder="1" applyAlignment="1" applyProtection="1">
      <alignment vertical="center"/>
    </xf>
    <xf numFmtId="176" fontId="27" fillId="24" borderId="10" xfId="44" applyNumberFormat="1" applyFont="1" applyFill="1" applyBorder="1" applyAlignment="1" applyProtection="1">
      <alignment horizontal="center" vertical="center"/>
    </xf>
    <xf numFmtId="176" fontId="27" fillId="24" borderId="10" xfId="28" applyNumberFormat="1" applyFont="1" applyFill="1" applyBorder="1" applyAlignment="1" applyProtection="1">
      <alignment horizontal="center" vertical="center"/>
    </xf>
    <xf numFmtId="0" fontId="40" fillId="24" borderId="0" xfId="44" applyFont="1" applyFill="1" applyBorder="1" applyAlignment="1" applyProtection="1">
      <alignment horizontal="left" vertical="center"/>
    </xf>
    <xf numFmtId="198" fontId="27" fillId="24" borderId="0" xfId="0" applyNumberFormat="1" applyFont="1" applyFill="1" applyBorder="1" applyProtection="1">
      <alignment vertical="center"/>
    </xf>
    <xf numFmtId="38" fontId="27" fillId="24" borderId="0" xfId="0" applyNumberFormat="1" applyFont="1" applyFill="1" applyBorder="1" applyProtection="1">
      <alignment vertical="center"/>
    </xf>
    <xf numFmtId="177" fontId="40" fillId="24" borderId="10" xfId="44" applyNumberFormat="1" applyFont="1" applyFill="1" applyBorder="1" applyAlignment="1" applyProtection="1">
      <alignment vertical="center"/>
    </xf>
    <xf numFmtId="186" fontId="40" fillId="24" borderId="10" xfId="44" applyNumberFormat="1" applyFont="1" applyFill="1" applyBorder="1" applyAlignment="1" applyProtection="1">
      <alignment vertical="center"/>
    </xf>
    <xf numFmtId="186" fontId="27" fillId="24" borderId="10" xfId="28" applyNumberFormat="1" applyFont="1" applyFill="1" applyBorder="1" applyAlignment="1" applyProtection="1">
      <alignment horizontal="center" vertical="center"/>
    </xf>
    <xf numFmtId="0" fontId="180" fillId="24" borderId="0" xfId="0" applyFont="1" applyFill="1" applyBorder="1" applyProtection="1">
      <alignment vertical="center"/>
    </xf>
    <xf numFmtId="0" fontId="27" fillId="24" borderId="0" xfId="44" applyFont="1" applyFill="1" applyBorder="1" applyAlignment="1" applyProtection="1">
      <alignment horizontal="right"/>
    </xf>
    <xf numFmtId="40" fontId="27" fillId="24" borderId="0" xfId="35" applyNumberFormat="1" applyFont="1" applyFill="1" applyBorder="1" applyAlignment="1" applyProtection="1">
      <alignment horizontal="right" vertical="center"/>
    </xf>
    <xf numFmtId="40" fontId="27" fillId="24" borderId="88" xfId="35" applyNumberFormat="1" applyFont="1" applyFill="1" applyBorder="1" applyAlignment="1" applyProtection="1">
      <alignment horizontal="right" vertical="center"/>
    </xf>
    <xf numFmtId="0" fontId="28" fillId="0" borderId="0" xfId="0" applyFont="1" applyFill="1" applyBorder="1" applyAlignment="1" applyProtection="1">
      <alignment horizontal="left" vertical="center"/>
    </xf>
    <xf numFmtId="183" fontId="28" fillId="0" borderId="0" xfId="0" applyNumberFormat="1" applyFont="1" applyFill="1" applyBorder="1" applyProtection="1">
      <alignment vertical="center"/>
    </xf>
    <xf numFmtId="0" fontId="41" fillId="24" borderId="88" xfId="44" applyFont="1" applyFill="1" applyBorder="1" applyAlignment="1" applyProtection="1">
      <alignment horizontal="center" vertical="center"/>
    </xf>
    <xf numFmtId="0" fontId="28" fillId="24" borderId="0" xfId="44" applyFont="1" applyFill="1" applyBorder="1" applyAlignment="1" applyProtection="1">
      <alignment horizontal="right" vertical="center"/>
    </xf>
    <xf numFmtId="177" fontId="27" fillId="24" borderId="10" xfId="44" applyNumberFormat="1" applyFont="1" applyFill="1" applyBorder="1" applyAlignment="1" applyProtection="1">
      <alignment vertical="center"/>
    </xf>
    <xf numFmtId="177" fontId="27" fillId="24" borderId="50" xfId="44" applyNumberFormat="1" applyFont="1" applyFill="1" applyBorder="1" applyAlignment="1" applyProtection="1">
      <alignment vertical="center"/>
    </xf>
    <xf numFmtId="177" fontId="27" fillId="24" borderId="10" xfId="28" applyNumberFormat="1" applyFont="1" applyFill="1" applyBorder="1" applyAlignment="1" applyProtection="1">
      <alignment horizontal="center" vertical="center"/>
    </xf>
    <xf numFmtId="177" fontId="27" fillId="24" borderId="68" xfId="44" applyNumberFormat="1" applyFont="1" applyFill="1" applyBorder="1" applyAlignment="1" applyProtection="1">
      <alignment vertical="center"/>
    </xf>
    <xf numFmtId="0" fontId="28" fillId="24" borderId="0" xfId="44" applyFont="1" applyFill="1" applyBorder="1" applyAlignment="1" applyProtection="1">
      <alignment horizontal="left" vertical="center"/>
    </xf>
    <xf numFmtId="177" fontId="27" fillId="24" borderId="0" xfId="44" applyNumberFormat="1" applyFont="1" applyFill="1" applyBorder="1" applyAlignment="1" applyProtection="1">
      <alignment vertical="center"/>
    </xf>
    <xf numFmtId="176" fontId="27" fillId="24" borderId="0" xfId="44" applyNumberFormat="1" applyFont="1" applyFill="1" applyBorder="1" applyAlignment="1" applyProtection="1">
      <alignment horizontal="center" vertical="center"/>
    </xf>
    <xf numFmtId="177" fontId="27" fillId="24" borderId="0" xfId="28" applyNumberFormat="1" applyFont="1" applyFill="1" applyBorder="1" applyAlignment="1" applyProtection="1">
      <alignment horizontal="center" vertical="center"/>
    </xf>
    <xf numFmtId="177" fontId="27" fillId="24" borderId="88" xfId="44" applyNumberFormat="1" applyFont="1" applyFill="1" applyBorder="1" applyAlignment="1" applyProtection="1">
      <alignment vertical="center"/>
    </xf>
    <xf numFmtId="0" fontId="27" fillId="24" borderId="10" xfId="44" applyFont="1" applyFill="1" applyBorder="1" applyAlignment="1" applyProtection="1">
      <alignment vertical="center"/>
    </xf>
    <xf numFmtId="0" fontId="27" fillId="24" borderId="0" xfId="44" applyFont="1" applyFill="1" applyBorder="1" applyAlignment="1" applyProtection="1">
      <alignment horizontal="center" vertical="center"/>
    </xf>
    <xf numFmtId="179" fontId="27" fillId="24" borderId="0" xfId="44" applyNumberFormat="1" applyFont="1" applyFill="1" applyBorder="1" applyAlignment="1" applyProtection="1">
      <alignment horizontal="center" vertical="center"/>
    </xf>
    <xf numFmtId="0" fontId="27" fillId="24" borderId="88" xfId="44" applyFont="1" applyFill="1" applyBorder="1" applyAlignment="1" applyProtection="1">
      <alignment vertical="center"/>
    </xf>
    <xf numFmtId="0" fontId="41" fillId="24" borderId="90" xfId="0" applyFont="1" applyFill="1" applyBorder="1" applyProtection="1">
      <alignment vertical="center"/>
    </xf>
    <xf numFmtId="9" fontId="27" fillId="24" borderId="10" xfId="0" applyNumberFormat="1" applyFont="1" applyFill="1" applyBorder="1" applyProtection="1">
      <alignment vertical="center"/>
    </xf>
    <xf numFmtId="9" fontId="27" fillId="24" borderId="10" xfId="28" applyFont="1" applyFill="1" applyBorder="1" applyProtection="1">
      <alignment vertical="center"/>
    </xf>
    <xf numFmtId="178" fontId="27" fillId="24" borderId="133" xfId="44" applyNumberFormat="1" applyFont="1" applyFill="1" applyBorder="1" applyAlignment="1" applyProtection="1">
      <alignment horizontal="right" vertical="center"/>
    </xf>
    <xf numFmtId="178" fontId="27" fillId="24" borderId="0" xfId="44" applyNumberFormat="1" applyFont="1" applyFill="1" applyBorder="1" applyAlignment="1" applyProtection="1">
      <alignment horizontal="right" vertical="center"/>
    </xf>
    <xf numFmtId="178" fontId="27" fillId="24" borderId="88" xfId="44" applyNumberFormat="1" applyFont="1" applyFill="1" applyBorder="1" applyAlignment="1" applyProtection="1">
      <alignment horizontal="right" vertical="center"/>
    </xf>
    <xf numFmtId="176" fontId="27" fillId="24" borderId="52" xfId="44" applyNumberFormat="1" applyFont="1" applyFill="1" applyBorder="1" applyAlignment="1" applyProtection="1">
      <alignment horizontal="center" vertical="center"/>
    </xf>
    <xf numFmtId="195" fontId="27" fillId="24" borderId="10" xfId="0" applyNumberFormat="1" applyFont="1" applyFill="1" applyBorder="1" applyProtection="1">
      <alignment vertical="center"/>
    </xf>
    <xf numFmtId="0" fontId="27" fillId="24" borderId="68" xfId="0" applyFont="1" applyFill="1" applyBorder="1" applyProtection="1">
      <alignment vertical="center"/>
    </xf>
    <xf numFmtId="0" fontId="27" fillId="24" borderId="133" xfId="0" applyFont="1" applyFill="1" applyBorder="1" applyAlignment="1" applyProtection="1">
      <alignment horizontal="left" vertical="center"/>
    </xf>
    <xf numFmtId="0" fontId="27" fillId="24" borderId="88" xfId="0" applyFont="1" applyFill="1" applyBorder="1" applyAlignment="1" applyProtection="1">
      <alignment horizontal="left" vertical="center"/>
    </xf>
    <xf numFmtId="0" fontId="27" fillId="24" borderId="90" xfId="44" applyFont="1" applyFill="1" applyBorder="1" applyAlignment="1" applyProtection="1"/>
    <xf numFmtId="0" fontId="27" fillId="24" borderId="0" xfId="44" applyFont="1" applyFill="1" applyBorder="1" applyAlignment="1" applyProtection="1">
      <alignment horizontal="left"/>
    </xf>
    <xf numFmtId="38" fontId="27" fillId="24" borderId="10" xfId="35" applyFont="1" applyFill="1" applyBorder="1" applyAlignment="1" applyProtection="1"/>
    <xf numFmtId="0" fontId="27" fillId="24" borderId="50" xfId="0" applyFont="1" applyFill="1" applyBorder="1" applyProtection="1">
      <alignment vertical="center"/>
    </xf>
    <xf numFmtId="38" fontId="27" fillId="24" borderId="0" xfId="35" applyFont="1" applyFill="1" applyBorder="1" applyAlignment="1" applyProtection="1"/>
    <xf numFmtId="38" fontId="27" fillId="24" borderId="88" xfId="35" applyFont="1" applyFill="1" applyBorder="1" applyAlignment="1" applyProtection="1"/>
    <xf numFmtId="0" fontId="27" fillId="24" borderId="68" xfId="44" applyFont="1" applyFill="1" applyBorder="1" applyAlignment="1" applyProtection="1"/>
    <xf numFmtId="38" fontId="27" fillId="24" borderId="116" xfId="35" applyFont="1" applyFill="1" applyBorder="1" applyAlignment="1" applyProtection="1"/>
    <xf numFmtId="38" fontId="27" fillId="24" borderId="50" xfId="35" applyFont="1" applyFill="1" applyBorder="1" applyAlignment="1" applyProtection="1"/>
    <xf numFmtId="38" fontId="27" fillId="24" borderId="118" xfId="35" applyFont="1" applyFill="1" applyBorder="1" applyAlignment="1" applyProtection="1"/>
    <xf numFmtId="38" fontId="27" fillId="24" borderId="145" xfId="35" applyFont="1" applyFill="1" applyBorder="1" applyAlignment="1" applyProtection="1"/>
    <xf numFmtId="0" fontId="27" fillId="24" borderId="0" xfId="0" applyFont="1" applyFill="1" applyBorder="1" applyAlignment="1" applyProtection="1">
      <alignment horizontal="right"/>
    </xf>
    <xf numFmtId="38" fontId="27" fillId="24" borderId="10" xfId="35" applyFont="1" applyFill="1" applyBorder="1" applyAlignment="1" applyProtection="1">
      <alignment vertical="center"/>
    </xf>
    <xf numFmtId="177" fontId="27" fillId="24" borderId="10" xfId="44" applyNumberFormat="1" applyFont="1" applyFill="1" applyBorder="1" applyAlignment="1" applyProtection="1">
      <alignment horizontal="right" vertical="center"/>
    </xf>
    <xf numFmtId="40" fontId="27" fillId="24" borderId="68" xfId="35" applyNumberFormat="1" applyFont="1" applyFill="1" applyBorder="1" applyAlignment="1" applyProtection="1">
      <alignment vertical="center"/>
    </xf>
    <xf numFmtId="0" fontId="28" fillId="24" borderId="0" xfId="0" applyFont="1" applyFill="1" applyBorder="1" applyAlignment="1" applyProtection="1">
      <alignment horizontal="center" vertical="center"/>
    </xf>
    <xf numFmtId="179" fontId="27" fillId="24" borderId="0" xfId="44" applyNumberFormat="1" applyFont="1" applyFill="1" applyBorder="1" applyAlignment="1" applyProtection="1">
      <alignment horizontal="left" vertical="center"/>
    </xf>
    <xf numFmtId="178" fontId="6" fillId="24" borderId="136" xfId="44" applyNumberFormat="1" applyFont="1" applyFill="1" applyBorder="1" applyAlignment="1" applyProtection="1">
      <alignment horizontal="right" vertical="center"/>
    </xf>
    <xf numFmtId="209" fontId="41" fillId="24" borderId="10" xfId="35" applyNumberFormat="1" applyFont="1" applyFill="1" applyBorder="1" applyAlignment="1" applyProtection="1">
      <alignment horizontal="center" vertical="center"/>
      <protection hidden="1"/>
    </xf>
    <xf numFmtId="190" fontId="27" fillId="49" borderId="10" xfId="35" applyNumberFormat="1" applyFont="1" applyFill="1" applyBorder="1" applyAlignment="1" applyProtection="1">
      <alignment horizontal="center" vertical="center"/>
      <protection hidden="1"/>
    </xf>
    <xf numFmtId="2" fontId="27" fillId="49" borderId="10" xfId="35" applyNumberFormat="1" applyFont="1" applyFill="1" applyBorder="1" applyAlignment="1" applyProtection="1">
      <alignment horizontal="center" vertical="center"/>
      <protection hidden="1"/>
    </xf>
    <xf numFmtId="2" fontId="27" fillId="44" borderId="10" xfId="35" applyNumberFormat="1" applyFont="1" applyFill="1" applyBorder="1" applyAlignment="1" applyProtection="1">
      <alignment horizontal="center" vertical="center"/>
      <protection hidden="1"/>
    </xf>
    <xf numFmtId="2" fontId="27" fillId="33" borderId="10" xfId="35" applyNumberFormat="1" applyFont="1" applyFill="1" applyBorder="1" applyAlignment="1" applyProtection="1">
      <alignment horizontal="center" vertical="center"/>
      <protection hidden="1"/>
    </xf>
    <xf numFmtId="2" fontId="27" fillId="32" borderId="10" xfId="35" applyNumberFormat="1" applyFont="1" applyFill="1" applyBorder="1" applyAlignment="1" applyProtection="1">
      <alignment horizontal="center" vertical="center"/>
      <protection hidden="1"/>
    </xf>
    <xf numFmtId="49" fontId="41" fillId="24" borderId="10" xfId="0" quotePrefix="1" applyNumberFormat="1" applyFont="1" applyFill="1" applyBorder="1" applyAlignment="1" applyProtection="1">
      <alignment horizontal="left" vertical="center"/>
      <protection hidden="1"/>
    </xf>
    <xf numFmtId="0" fontId="27" fillId="0" borderId="194" xfId="0" applyFont="1" applyBorder="1" applyAlignment="1">
      <alignment vertical="top"/>
    </xf>
    <xf numFmtId="0" fontId="27" fillId="0" borderId="163" xfId="0" applyFont="1" applyBorder="1" applyAlignment="1">
      <alignment vertical="top"/>
    </xf>
    <xf numFmtId="0" fontId="27" fillId="0" borderId="78" xfId="0" applyFont="1" applyBorder="1" applyAlignment="1">
      <alignment vertical="top"/>
    </xf>
    <xf numFmtId="9" fontId="27" fillId="27" borderId="197" xfId="28" applyFont="1" applyFill="1" applyBorder="1" applyAlignment="1" applyProtection="1">
      <alignment vertical="center"/>
      <protection locked="0"/>
    </xf>
    <xf numFmtId="9" fontId="27" fillId="50" borderId="121" xfId="28" applyFont="1" applyFill="1" applyBorder="1" applyAlignment="1" applyProtection="1">
      <alignment vertical="center"/>
      <protection locked="0"/>
    </xf>
    <xf numFmtId="9" fontId="27" fillId="27" borderId="198" xfId="28" applyFont="1" applyFill="1" applyBorder="1" applyAlignment="1" applyProtection="1">
      <alignment vertical="center"/>
      <protection locked="0"/>
    </xf>
    <xf numFmtId="0" fontId="0" fillId="51" borderId="65" xfId="0" applyFill="1" applyBorder="1" applyProtection="1">
      <alignment vertical="center"/>
    </xf>
    <xf numFmtId="38" fontId="30" fillId="51" borderId="24" xfId="35" applyFont="1" applyFill="1" applyBorder="1" applyAlignment="1" applyProtection="1">
      <alignment horizontal="right" vertical="center"/>
    </xf>
    <xf numFmtId="38" fontId="30" fillId="24" borderId="10" xfId="35" applyFont="1" applyFill="1" applyBorder="1" applyAlignment="1" applyProtection="1">
      <alignment horizontal="right" vertical="center"/>
    </xf>
    <xf numFmtId="0" fontId="28" fillId="42" borderId="0" xfId="0" applyFont="1" applyFill="1" applyAlignment="1" applyProtection="1">
      <alignment horizontal="left" vertical="center"/>
    </xf>
    <xf numFmtId="38" fontId="30" fillId="27" borderId="50" xfId="35" applyFont="1" applyFill="1" applyBorder="1" applyAlignment="1" applyProtection="1">
      <alignment horizontal="right" vertical="center"/>
      <protection locked="0"/>
    </xf>
    <xf numFmtId="0" fontId="0" fillId="27" borderId="228" xfId="0" applyFill="1" applyBorder="1" applyProtection="1">
      <alignment vertical="center"/>
      <protection locked="0"/>
    </xf>
    <xf numFmtId="38" fontId="30" fillId="27" borderId="53" xfId="35" applyFont="1" applyFill="1" applyBorder="1" applyAlignment="1" applyProtection="1">
      <alignment horizontal="right" vertical="center"/>
      <protection locked="0"/>
    </xf>
    <xf numFmtId="38" fontId="6" fillId="27" borderId="136" xfId="35" applyFont="1" applyFill="1" applyBorder="1" applyProtection="1">
      <alignment vertical="center"/>
      <protection locked="0"/>
    </xf>
    <xf numFmtId="38" fontId="82" fillId="27" borderId="213" xfId="35" applyFont="1" applyFill="1" applyBorder="1" applyAlignment="1" applyProtection="1">
      <alignment horizontal="left" vertical="center"/>
      <protection locked="0"/>
    </xf>
    <xf numFmtId="181" fontId="75" fillId="43" borderId="116" xfId="0" applyNumberFormat="1" applyFont="1" applyFill="1" applyBorder="1" applyProtection="1">
      <alignment vertical="center"/>
      <protection locked="0"/>
    </xf>
    <xf numFmtId="181" fontId="75" fillId="43" borderId="118" xfId="0" applyNumberFormat="1" applyFont="1" applyFill="1" applyBorder="1" applyProtection="1">
      <alignment vertical="center"/>
      <protection locked="0"/>
    </xf>
    <xf numFmtId="181" fontId="75" fillId="43" borderId="145" xfId="0" applyNumberFormat="1" applyFont="1" applyFill="1" applyBorder="1" applyProtection="1">
      <alignment vertical="center"/>
      <protection locked="0"/>
    </xf>
    <xf numFmtId="176" fontId="40" fillId="24" borderId="23" xfId="44" applyNumberFormat="1" applyFont="1" applyFill="1" applyBorder="1" applyAlignment="1" applyProtection="1">
      <alignment vertical="center"/>
    </xf>
    <xf numFmtId="38" fontId="27" fillId="27" borderId="133" xfId="35" applyFont="1" applyFill="1" applyBorder="1" applyAlignment="1" applyProtection="1">
      <alignment horizontal="right" vertical="center"/>
      <protection locked="0"/>
    </xf>
    <xf numFmtId="9" fontId="32" fillId="24" borderId="0" xfId="28" applyFont="1" applyFill="1" applyBorder="1" applyAlignment="1" applyProtection="1">
      <alignment vertical="center"/>
      <protection hidden="1"/>
    </xf>
    <xf numFmtId="0" fontId="0" fillId="24" borderId="24" xfId="44" applyFont="1" applyFill="1" applyBorder="1" applyAlignment="1" applyProtection="1">
      <alignment horizontal="left" vertical="center"/>
    </xf>
    <xf numFmtId="0" fontId="27" fillId="24" borderId="59" xfId="44" applyFont="1" applyFill="1" applyBorder="1" applyAlignment="1" applyProtection="1">
      <alignment vertical="center"/>
    </xf>
    <xf numFmtId="0" fontId="6" fillId="24" borderId="60" xfId="44" applyFont="1" applyFill="1" applyBorder="1" applyAlignment="1" applyProtection="1">
      <alignment vertical="center"/>
    </xf>
    <xf numFmtId="0" fontId="2" fillId="30" borderId="85" xfId="44" applyFont="1" applyFill="1" applyBorder="1" applyAlignment="1" applyProtection="1">
      <alignment vertical="center"/>
    </xf>
    <xf numFmtId="0" fontId="27" fillId="24" borderId="61" xfId="0" applyFont="1" applyFill="1" applyBorder="1" applyAlignment="1">
      <alignment horizontal="center" vertical="center" wrapText="1"/>
    </xf>
    <xf numFmtId="9" fontId="27" fillId="24" borderId="146" xfId="0" applyNumberFormat="1" applyFont="1" applyFill="1" applyBorder="1" applyAlignment="1" applyProtection="1">
      <alignment horizontal="center" vertical="center" wrapText="1"/>
    </xf>
    <xf numFmtId="41" fontId="27" fillId="24" borderId="10" xfId="0" applyNumberFormat="1" applyFont="1" applyFill="1" applyBorder="1" applyAlignment="1">
      <alignment vertical="center"/>
    </xf>
    <xf numFmtId="0" fontId="0" fillId="0" borderId="50" xfId="0" applyBorder="1">
      <alignment vertical="center"/>
    </xf>
    <xf numFmtId="0" fontId="0" fillId="0" borderId="52" xfId="0" applyBorder="1">
      <alignment vertical="center"/>
    </xf>
    <xf numFmtId="178" fontId="27" fillId="24" borderId="147" xfId="0" quotePrefix="1" applyNumberFormat="1" applyFont="1" applyFill="1" applyBorder="1" applyAlignment="1">
      <alignment horizontal="center" vertical="center"/>
    </xf>
    <xf numFmtId="178" fontId="27" fillId="24" borderId="200" xfId="0" applyNumberFormat="1" applyFont="1" applyFill="1" applyBorder="1" applyAlignment="1">
      <alignment horizontal="center" vertical="center"/>
    </xf>
    <xf numFmtId="178" fontId="27" fillId="24" borderId="147" xfId="0" applyNumberFormat="1" applyFont="1" applyFill="1" applyBorder="1" applyAlignment="1">
      <alignment horizontal="center" vertical="center"/>
    </xf>
    <xf numFmtId="182" fontId="25" fillId="29" borderId="133" xfId="0"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xf>
    <xf numFmtId="0" fontId="0" fillId="0" borderId="10" xfId="0" applyBorder="1" applyProtection="1">
      <alignment vertical="center"/>
    </xf>
    <xf numFmtId="2" fontId="27" fillId="24" borderId="10" xfId="44" applyNumberFormat="1" applyFont="1" applyFill="1" applyBorder="1" applyAlignment="1" applyProtection="1">
      <alignment vertical="center"/>
    </xf>
    <xf numFmtId="0" fontId="65" fillId="24" borderId="20" xfId="29" applyNumberFormat="1" applyFont="1" applyFill="1" applyBorder="1" applyAlignment="1" applyProtection="1">
      <alignment horizontal="center" vertical="center"/>
      <protection hidden="1"/>
    </xf>
    <xf numFmtId="0" fontId="181" fillId="24" borderId="20" xfId="29" applyFont="1" applyFill="1" applyBorder="1" applyAlignment="1" applyProtection="1">
      <alignment horizontal="center" vertical="center"/>
      <protection hidden="1"/>
    </xf>
    <xf numFmtId="0" fontId="74" fillId="24" borderId="65" xfId="0" applyNumberFormat="1" applyFont="1" applyFill="1" applyBorder="1" applyAlignment="1" applyProtection="1">
      <alignment horizontal="center" vertical="center"/>
      <protection hidden="1"/>
    </xf>
    <xf numFmtId="0" fontId="181" fillId="24" borderId="24" xfId="29" applyFont="1" applyFill="1" applyBorder="1" applyAlignment="1" applyProtection="1">
      <alignment horizontal="center" vertical="center"/>
      <protection hidden="1"/>
    </xf>
    <xf numFmtId="0" fontId="65" fillId="24" borderId="24" xfId="29" applyNumberFormat="1" applyFont="1" applyFill="1" applyBorder="1" applyAlignment="1" applyProtection="1">
      <alignment horizontal="center" vertical="center"/>
      <protection hidden="1"/>
    </xf>
    <xf numFmtId="0" fontId="65" fillId="24" borderId="20" xfId="29" applyFont="1" applyFill="1" applyBorder="1" applyAlignment="1" applyProtection="1">
      <alignment horizontal="center" vertical="center"/>
      <protection hidden="1"/>
    </xf>
    <xf numFmtId="0" fontId="65" fillId="24" borderId="24" xfId="29" applyFont="1" applyFill="1" applyBorder="1" applyAlignment="1" applyProtection="1">
      <alignment horizontal="center" vertical="center"/>
      <protection hidden="1"/>
    </xf>
    <xf numFmtId="0" fontId="27" fillId="31" borderId="59" xfId="0" applyFont="1" applyFill="1" applyBorder="1" applyAlignment="1" applyProtection="1">
      <alignment vertical="center"/>
      <protection hidden="1"/>
    </xf>
    <xf numFmtId="0" fontId="27" fillId="31" borderId="50" xfId="0" applyFont="1" applyFill="1" applyBorder="1" applyAlignment="1" applyProtection="1">
      <alignment vertical="center"/>
      <protection hidden="1"/>
    </xf>
    <xf numFmtId="0" fontId="182" fillId="24" borderId="50" xfId="0" applyFont="1" applyFill="1" applyBorder="1" applyProtection="1">
      <alignment vertical="center"/>
      <protection hidden="1"/>
    </xf>
    <xf numFmtId="0" fontId="172" fillId="31" borderId="51" xfId="0" applyNumberFormat="1" applyFont="1" applyFill="1" applyBorder="1" applyAlignment="1" applyProtection="1">
      <alignment horizontal="left" vertical="center"/>
      <protection hidden="1"/>
    </xf>
    <xf numFmtId="0" fontId="65" fillId="24" borderId="20" xfId="29" quotePrefix="1" applyNumberFormat="1" applyFont="1" applyFill="1" applyBorder="1" applyAlignment="1" applyProtection="1">
      <alignment horizontal="center" vertical="center"/>
      <protection hidden="1"/>
    </xf>
    <xf numFmtId="0" fontId="65" fillId="24" borderId="24" xfId="29" quotePrefix="1" applyNumberFormat="1" applyFont="1" applyFill="1" applyBorder="1" applyAlignment="1" applyProtection="1">
      <alignment horizontal="center" vertical="center"/>
      <protection hidden="1"/>
    </xf>
    <xf numFmtId="0" fontId="28" fillId="24" borderId="22" xfId="0" applyFont="1" applyFill="1" applyBorder="1" applyAlignment="1" applyProtection="1">
      <alignment horizontal="center" vertical="center"/>
    </xf>
    <xf numFmtId="0" fontId="28" fillId="24" borderId="108" xfId="0" applyFont="1" applyFill="1" applyBorder="1" applyAlignment="1" applyProtection="1">
      <alignment horizontal="center" vertical="center"/>
    </xf>
    <xf numFmtId="0" fontId="27" fillId="50" borderId="200" xfId="0" applyFont="1" applyFill="1" applyBorder="1" applyAlignment="1" applyProtection="1">
      <alignment vertical="center" wrapText="1"/>
      <protection locked="0"/>
    </xf>
    <xf numFmtId="0" fontId="27" fillId="50" borderId="56" xfId="0" applyFont="1" applyFill="1" applyBorder="1" applyAlignment="1" applyProtection="1">
      <alignment vertical="center" wrapText="1"/>
      <protection locked="0"/>
    </xf>
    <xf numFmtId="0" fontId="27" fillId="50" borderId="150" xfId="0" applyFont="1" applyFill="1" applyBorder="1" applyAlignment="1" applyProtection="1">
      <alignment vertical="center" wrapText="1"/>
      <protection locked="0"/>
    </xf>
    <xf numFmtId="0" fontId="27" fillId="50" borderId="155" xfId="0" applyFont="1" applyFill="1" applyBorder="1" applyAlignment="1" applyProtection="1">
      <alignment horizontal="center" vertical="center" wrapText="1"/>
      <protection locked="0"/>
    </xf>
    <xf numFmtId="0" fontId="0" fillId="40" borderId="0" xfId="0" applyFill="1">
      <alignment vertical="center"/>
    </xf>
    <xf numFmtId="0" fontId="32" fillId="0" borderId="0" xfId="0" applyFont="1">
      <alignment vertical="center"/>
    </xf>
    <xf numFmtId="182" fontId="89" fillId="26" borderId="158" xfId="0" applyNumberFormat="1" applyFont="1" applyFill="1" applyBorder="1" applyAlignment="1" applyProtection="1">
      <alignment horizontal="center" vertical="center"/>
      <protection hidden="1"/>
    </xf>
    <xf numFmtId="179" fontId="37" fillId="26" borderId="229" xfId="0" applyNumberFormat="1" applyFont="1" applyFill="1" applyBorder="1" applyAlignment="1" applyProtection="1">
      <alignment horizontal="left"/>
      <protection hidden="1"/>
    </xf>
    <xf numFmtId="182" fontId="89" fillId="26" borderId="230" xfId="0" applyNumberFormat="1" applyFont="1" applyFill="1" applyBorder="1" applyAlignment="1" applyProtection="1">
      <alignment horizontal="center" vertical="center"/>
      <protection hidden="1"/>
    </xf>
    <xf numFmtId="191" fontId="90" fillId="24" borderId="71" xfId="0" applyNumberFormat="1" applyFont="1" applyFill="1" applyBorder="1" applyAlignment="1" applyProtection="1">
      <alignment horizontal="center" vertical="center"/>
      <protection hidden="1"/>
    </xf>
    <xf numFmtId="0" fontId="0" fillId="24" borderId="50" xfId="0" applyFont="1" applyFill="1" applyBorder="1" applyAlignment="1" applyProtection="1">
      <alignment horizontal="right" vertical="center"/>
      <protection hidden="1"/>
    </xf>
    <xf numFmtId="179" fontId="28" fillId="0" borderId="54" xfId="0" applyNumberFormat="1" applyFont="1" applyFill="1" applyBorder="1" applyAlignment="1" applyProtection="1">
      <alignment vertical="top" wrapText="1"/>
      <protection locked="0"/>
    </xf>
    <xf numFmtId="179" fontId="28" fillId="0" borderId="114" xfId="0" applyNumberFormat="1" applyFont="1" applyFill="1" applyBorder="1" applyAlignment="1" applyProtection="1">
      <alignment vertical="top" wrapText="1"/>
      <protection locked="0"/>
    </xf>
    <xf numFmtId="179" fontId="28" fillId="0" borderId="90" xfId="0" applyNumberFormat="1" applyFont="1" applyFill="1" applyBorder="1" applyAlignment="1" applyProtection="1">
      <alignment vertical="top" wrapText="1"/>
      <protection locked="0"/>
    </xf>
    <xf numFmtId="179" fontId="28" fillId="0" borderId="0" xfId="0" applyNumberFormat="1" applyFont="1" applyFill="1" applyBorder="1" applyAlignment="1" applyProtection="1">
      <alignment vertical="top" wrapText="1"/>
      <protection locked="0"/>
    </xf>
    <xf numFmtId="179" fontId="28" fillId="0" borderId="88" xfId="0" applyNumberFormat="1" applyFont="1" applyFill="1" applyBorder="1" applyAlignment="1" applyProtection="1">
      <alignment vertical="top" wrapText="1"/>
      <protection locked="0"/>
    </xf>
    <xf numFmtId="179" fontId="28" fillId="0" borderId="104" xfId="0" applyNumberFormat="1" applyFont="1" applyFill="1" applyBorder="1" applyAlignment="1" applyProtection="1">
      <alignment vertical="top"/>
      <protection locked="0"/>
    </xf>
    <xf numFmtId="191" fontId="90" fillId="24" borderId="54" xfId="0" applyNumberFormat="1" applyFont="1" applyFill="1" applyBorder="1" applyAlignment="1" applyProtection="1">
      <alignment horizontal="center" vertical="center"/>
      <protection hidden="1"/>
    </xf>
    <xf numFmtId="182" fontId="35" fillId="24" borderId="176" xfId="0" applyNumberFormat="1" applyFont="1" applyFill="1" applyBorder="1" applyAlignment="1" applyProtection="1">
      <alignment horizontal="center" vertical="center"/>
      <protection hidden="1"/>
    </xf>
    <xf numFmtId="182" fontId="35" fillId="24" borderId="231" xfId="0" applyNumberFormat="1" applyFont="1" applyFill="1" applyBorder="1" applyAlignment="1" applyProtection="1">
      <alignment horizontal="center" vertical="center"/>
      <protection hidden="1"/>
    </xf>
    <xf numFmtId="182" fontId="35" fillId="24" borderId="232" xfId="0" applyNumberFormat="1" applyFont="1" applyFill="1" applyBorder="1" applyAlignment="1" applyProtection="1">
      <alignment horizontal="center" vertical="center"/>
      <protection hidden="1"/>
    </xf>
    <xf numFmtId="182" fontId="28" fillId="24" borderId="83" xfId="0" applyNumberFormat="1" applyFont="1" applyFill="1" applyBorder="1" applyAlignment="1" applyProtection="1">
      <alignment horizontal="center" vertical="center"/>
    </xf>
    <xf numFmtId="182" fontId="28" fillId="0" borderId="73" xfId="0" applyNumberFormat="1" applyFont="1" applyFill="1" applyBorder="1" applyAlignment="1" applyProtection="1">
      <alignment horizontal="center" vertical="center"/>
      <protection locked="0" hidden="1"/>
    </xf>
    <xf numFmtId="40" fontId="27" fillId="0" borderId="10" xfId="35" applyNumberFormat="1" applyFont="1" applyFill="1" applyBorder="1" applyAlignment="1" applyProtection="1">
      <alignment horizontal="right" vertical="center"/>
      <protection locked="0"/>
    </xf>
    <xf numFmtId="40" fontId="6" fillId="0" borderId="10" xfId="35" applyNumberFormat="1" applyFont="1" applyFill="1" applyBorder="1" applyAlignment="1" applyProtection="1">
      <alignment horizontal="right" vertical="center"/>
      <protection locked="0"/>
    </xf>
    <xf numFmtId="182" fontId="47" fillId="24" borderId="171" xfId="0" applyNumberFormat="1" applyFont="1" applyFill="1" applyBorder="1" applyAlignment="1" applyProtection="1">
      <alignment horizontal="center" vertical="center"/>
      <protection hidden="1"/>
    </xf>
    <xf numFmtId="182" fontId="35" fillId="24" borderId="233" xfId="0" applyNumberFormat="1" applyFont="1" applyFill="1" applyBorder="1" applyAlignment="1" applyProtection="1">
      <alignment horizontal="center" vertical="center"/>
      <protection hidden="1"/>
    </xf>
    <xf numFmtId="191" fontId="90" fillId="24" borderId="132"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centerContinuous" vertical="center"/>
      <protection hidden="1"/>
    </xf>
    <xf numFmtId="186" fontId="67" fillId="38" borderId="10" xfId="35" applyNumberFormat="1" applyFont="1" applyFill="1" applyBorder="1" applyAlignment="1" applyProtection="1">
      <protection hidden="1"/>
    </xf>
    <xf numFmtId="186" fontId="29" fillId="38" borderId="10" xfId="35" applyNumberFormat="1" applyFont="1" applyFill="1" applyBorder="1" applyAlignment="1" applyProtection="1">
      <protection hidden="1"/>
    </xf>
    <xf numFmtId="0" fontId="27" fillId="38" borderId="22" xfId="0" applyFont="1" applyFill="1" applyBorder="1" applyAlignment="1" applyProtection="1">
      <alignment vertical="center"/>
      <protection hidden="1"/>
    </xf>
    <xf numFmtId="0" fontId="60" fillId="38" borderId="22" xfId="0" applyFont="1" applyFill="1" applyBorder="1" applyAlignment="1" applyProtection="1">
      <alignment vertical="center"/>
      <protection hidden="1"/>
    </xf>
    <xf numFmtId="41" fontId="27" fillId="27" borderId="56" xfId="0" applyNumberFormat="1" applyFont="1" applyFill="1" applyBorder="1" applyAlignment="1" applyProtection="1">
      <alignment vertical="center" wrapText="1"/>
      <protection locked="0"/>
    </xf>
    <xf numFmtId="41" fontId="0" fillId="0" borderId="0" xfId="0" applyNumberFormat="1">
      <alignment vertical="center"/>
    </xf>
    <xf numFmtId="186" fontId="41" fillId="24" borderId="10" xfId="0" applyNumberFormat="1" applyFont="1" applyFill="1" applyBorder="1" applyProtection="1">
      <alignment vertical="center"/>
      <protection hidden="1"/>
    </xf>
    <xf numFmtId="186" fontId="155" fillId="24" borderId="10" xfId="0" applyNumberFormat="1" applyFont="1" applyFill="1" applyBorder="1" applyProtection="1">
      <alignment vertical="center"/>
      <protection hidden="1"/>
    </xf>
    <xf numFmtId="213" fontId="0" fillId="0" borderId="10" xfId="0" applyNumberFormat="1" applyBorder="1">
      <alignment vertical="center"/>
    </xf>
    <xf numFmtId="0" fontId="183" fillId="0" borderId="0" xfId="0" applyFont="1" applyProtection="1">
      <alignment vertical="center"/>
    </xf>
    <xf numFmtId="0" fontId="183" fillId="42" borderId="0" xfId="0" applyFont="1" applyFill="1" applyAlignment="1" applyProtection="1">
      <alignment horizontal="left" vertical="center"/>
    </xf>
    <xf numFmtId="0" fontId="184" fillId="0" borderId="0" xfId="0" applyFont="1" applyProtection="1">
      <alignment vertical="center"/>
    </xf>
    <xf numFmtId="0" fontId="185" fillId="24" borderId="0" xfId="0" applyFont="1" applyFill="1" applyBorder="1" applyAlignment="1" applyProtection="1">
      <alignment horizontal="left" vertical="center"/>
      <protection hidden="1"/>
    </xf>
    <xf numFmtId="179" fontId="28" fillId="24" borderId="145" xfId="0" applyNumberFormat="1" applyFont="1" applyFill="1" applyBorder="1" applyAlignment="1" applyProtection="1">
      <alignment horizontal="center" vertical="center"/>
    </xf>
    <xf numFmtId="179" fontId="37" fillId="30" borderId="168" xfId="0" applyNumberFormat="1" applyFont="1" applyFill="1" applyBorder="1" applyAlignment="1" applyProtection="1">
      <alignment horizontal="left"/>
    </xf>
    <xf numFmtId="179" fontId="37" fillId="30" borderId="235" xfId="0" applyNumberFormat="1" applyFont="1" applyFill="1" applyBorder="1" applyAlignment="1" applyProtection="1">
      <alignment horizontal="left"/>
      <protection hidden="1"/>
    </xf>
    <xf numFmtId="179" fontId="37" fillId="30" borderId="124" xfId="0" applyNumberFormat="1" applyFont="1" applyFill="1" applyBorder="1" applyAlignment="1" applyProtection="1">
      <alignment horizontal="left" vertical="center"/>
      <protection hidden="1"/>
    </xf>
    <xf numFmtId="179" fontId="37" fillId="30" borderId="168" xfId="0" applyNumberFormat="1" applyFont="1" applyFill="1" applyBorder="1" applyAlignment="1" applyProtection="1">
      <alignment horizontal="left"/>
      <protection hidden="1"/>
    </xf>
    <xf numFmtId="179" fontId="37" fillId="0" borderId="81" xfId="0" applyNumberFormat="1" applyFont="1" applyFill="1" applyBorder="1" applyAlignment="1" applyProtection="1">
      <alignment horizontal="left"/>
    </xf>
    <xf numFmtId="182" fontId="47" fillId="31" borderId="90" xfId="0" applyNumberFormat="1" applyFont="1" applyFill="1" applyBorder="1" applyAlignment="1" applyProtection="1">
      <alignment horizontal="center" vertical="center"/>
      <protection hidden="1"/>
    </xf>
    <xf numFmtId="182" fontId="35" fillId="31" borderId="115" xfId="0" applyNumberFormat="1" applyFont="1" applyFill="1" applyBorder="1" applyAlignment="1" applyProtection="1">
      <alignment horizontal="center" vertical="center"/>
      <protection hidden="1"/>
    </xf>
    <xf numFmtId="182" fontId="35" fillId="31" borderId="236" xfId="0" applyNumberFormat="1" applyFont="1" applyFill="1" applyBorder="1" applyAlignment="1" applyProtection="1">
      <alignment horizontal="center" vertical="center"/>
      <protection hidden="1"/>
    </xf>
    <xf numFmtId="179" fontId="37" fillId="26" borderId="235" xfId="0" applyNumberFormat="1" applyFont="1" applyFill="1" applyBorder="1" applyAlignment="1" applyProtection="1">
      <alignment horizontal="left"/>
      <protection hidden="1"/>
    </xf>
    <xf numFmtId="182" fontId="47" fillId="0" borderId="156" xfId="0" applyNumberFormat="1" applyFont="1" applyFill="1" applyBorder="1" applyAlignment="1" applyProtection="1">
      <alignment horizontal="center" vertical="center"/>
      <protection locked="0" hidden="1"/>
    </xf>
    <xf numFmtId="182" fontId="47" fillId="0" borderId="81" xfId="0" applyNumberFormat="1" applyFont="1" applyFill="1" applyBorder="1" applyAlignment="1" applyProtection="1">
      <alignment horizontal="center" vertical="center"/>
      <protection locked="0" hidden="1"/>
    </xf>
    <xf numFmtId="182" fontId="47" fillId="24" borderId="105" xfId="0" applyNumberFormat="1" applyFont="1" applyFill="1" applyBorder="1" applyAlignment="1" applyProtection="1">
      <alignment horizontal="center" vertical="center"/>
      <protection hidden="1"/>
    </xf>
    <xf numFmtId="179" fontId="28" fillId="24" borderId="51" xfId="0" applyNumberFormat="1" applyFont="1" applyFill="1" applyBorder="1" applyAlignment="1" applyProtection="1">
      <alignment horizontal="center" vertical="center"/>
    </xf>
    <xf numFmtId="182" fontId="47" fillId="0" borderId="75" xfId="0" applyNumberFormat="1" applyFont="1" applyFill="1" applyBorder="1" applyAlignment="1" applyProtection="1">
      <alignment horizontal="center" vertical="center"/>
      <protection locked="0" hidden="1"/>
    </xf>
    <xf numFmtId="179" fontId="28" fillId="24" borderId="86" xfId="0" applyNumberFormat="1" applyFont="1" applyFill="1" applyBorder="1" applyAlignment="1" applyProtection="1">
      <alignment horizontal="center" vertical="center"/>
    </xf>
    <xf numFmtId="182" fontId="47" fillId="0" borderId="109" xfId="0" applyNumberFormat="1" applyFont="1" applyFill="1" applyBorder="1" applyAlignment="1" applyProtection="1">
      <alignment horizontal="center" vertical="center"/>
      <protection locked="0" hidden="1"/>
    </xf>
    <xf numFmtId="182" fontId="47" fillId="0" borderId="105" xfId="0" applyNumberFormat="1" applyFont="1" applyFill="1" applyBorder="1" applyAlignment="1" applyProtection="1">
      <alignment horizontal="center" vertical="center"/>
      <protection locked="0" hidden="1"/>
    </xf>
    <xf numFmtId="182" fontId="47" fillId="0" borderId="111" xfId="0" applyNumberFormat="1" applyFont="1" applyFill="1" applyBorder="1" applyAlignment="1" applyProtection="1">
      <alignment horizontal="center" vertical="center"/>
      <protection locked="0" hidden="1"/>
    </xf>
    <xf numFmtId="182" fontId="35" fillId="24" borderId="113"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protection locked="0" hidden="1"/>
    </xf>
    <xf numFmtId="182" fontId="47" fillId="0" borderId="115" xfId="0" applyNumberFormat="1" applyFont="1" applyFill="1" applyBorder="1" applyAlignment="1" applyProtection="1">
      <alignment horizontal="center" vertical="center"/>
      <protection locked="0" hidden="1"/>
    </xf>
    <xf numFmtId="182" fontId="47" fillId="0" borderId="88" xfId="0" applyNumberFormat="1" applyFont="1" applyFill="1" applyBorder="1" applyAlignment="1" applyProtection="1">
      <alignment horizontal="center" vertical="center"/>
      <protection locked="0" hidden="1"/>
    </xf>
    <xf numFmtId="182" fontId="35" fillId="0" borderId="111" xfId="0" applyNumberFormat="1" applyFont="1" applyFill="1" applyBorder="1" applyAlignment="1" applyProtection="1">
      <alignment horizontal="center" vertical="center"/>
      <protection locked="0" hidden="1"/>
    </xf>
    <xf numFmtId="179" fontId="37" fillId="26" borderId="12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protection hidden="1"/>
    </xf>
    <xf numFmtId="179" fontId="37" fillId="26" borderId="126" xfId="0" applyNumberFormat="1" applyFont="1" applyFill="1" applyBorder="1" applyAlignment="1" applyProtection="1">
      <alignment horizontal="left"/>
      <protection hidden="1"/>
    </xf>
    <xf numFmtId="179" fontId="37" fillId="26" borderId="128" xfId="0" applyNumberFormat="1" applyFont="1" applyFill="1" applyBorder="1" applyAlignment="1" applyProtection="1">
      <alignment horizontal="left"/>
      <protection hidden="1"/>
    </xf>
    <xf numFmtId="182" fontId="35" fillId="24" borderId="91" xfId="0" applyNumberFormat="1" applyFont="1" applyFill="1" applyBorder="1" applyAlignment="1" applyProtection="1">
      <alignment horizontal="center" vertical="center"/>
      <protection hidden="1"/>
    </xf>
    <xf numFmtId="179" fontId="28" fillId="24" borderId="104" xfId="0" applyNumberFormat="1" applyFont="1" applyFill="1" applyBorder="1" applyAlignment="1" applyProtection="1">
      <alignment horizontal="center" vertical="center"/>
    </xf>
    <xf numFmtId="179" fontId="37" fillId="26" borderId="13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xf>
    <xf numFmtId="182" fontId="35" fillId="0" borderId="109" xfId="0" applyNumberFormat="1" applyFont="1" applyFill="1" applyBorder="1" applyAlignment="1" applyProtection="1">
      <alignment horizontal="center" vertical="center"/>
      <protection locked="0" hidden="1"/>
    </xf>
    <xf numFmtId="182" fontId="47" fillId="0" borderId="133" xfId="0" applyNumberFormat="1" applyFont="1" applyFill="1" applyBorder="1" applyAlignment="1" applyProtection="1">
      <alignment horizontal="center" vertical="center"/>
      <protection locked="0" hidden="1"/>
    </xf>
    <xf numFmtId="179" fontId="28" fillId="24" borderId="59" xfId="0" applyNumberFormat="1" applyFont="1" applyFill="1" applyBorder="1" applyAlignment="1" applyProtection="1">
      <alignment horizontal="center" vertical="center"/>
    </xf>
    <xf numFmtId="182" fontId="35" fillId="24" borderId="143" xfId="0" applyNumberFormat="1" applyFont="1" applyFill="1" applyBorder="1" applyAlignment="1" applyProtection="1">
      <alignment horizontal="center" vertical="center"/>
      <protection hidden="1"/>
    </xf>
    <xf numFmtId="0" fontId="28" fillId="24" borderId="83" xfId="0" applyFont="1" applyFill="1" applyBorder="1" applyAlignment="1" applyProtection="1">
      <alignment horizontal="center" vertical="center"/>
    </xf>
    <xf numFmtId="182" fontId="47" fillId="24" borderId="84" xfId="0" applyNumberFormat="1" applyFont="1" applyFill="1" applyBorder="1" applyAlignment="1" applyProtection="1">
      <alignment horizontal="center" vertical="center"/>
      <protection hidden="1"/>
    </xf>
    <xf numFmtId="182" fontId="47" fillId="0" borderId="109" xfId="0" applyNumberFormat="1" applyFont="1" applyFill="1" applyBorder="1" applyAlignment="1" applyProtection="1">
      <alignment horizontal="center" vertical="center"/>
      <protection hidden="1"/>
    </xf>
    <xf numFmtId="179" fontId="37" fillId="30" borderId="125" xfId="0" applyNumberFormat="1" applyFont="1" applyFill="1" applyBorder="1" applyAlignment="1" applyProtection="1">
      <alignment horizontal="left"/>
      <protection hidden="1"/>
    </xf>
    <xf numFmtId="179" fontId="37" fillId="30" borderId="174" xfId="0" applyNumberFormat="1" applyFont="1" applyFill="1" applyBorder="1" applyAlignment="1" applyProtection="1">
      <alignment horizontal="left"/>
      <protection hidden="1"/>
    </xf>
    <xf numFmtId="182" fontId="35" fillId="24" borderId="216" xfId="0" applyNumberFormat="1" applyFont="1" applyFill="1" applyBorder="1" applyAlignment="1" applyProtection="1">
      <alignment horizontal="center" vertical="center"/>
      <protection hidden="1"/>
    </xf>
    <xf numFmtId="2" fontId="27" fillId="51" borderId="10" xfId="35" applyNumberFormat="1" applyFont="1" applyFill="1" applyBorder="1" applyAlignment="1" applyProtection="1">
      <alignment horizontal="center"/>
      <protection hidden="1"/>
    </xf>
    <xf numFmtId="2" fontId="27" fillId="51" borderId="10" xfId="35" applyNumberFormat="1" applyFont="1" applyFill="1" applyBorder="1" applyAlignment="1" applyProtection="1">
      <alignment horizontal="center" vertical="center"/>
      <protection hidden="1"/>
    </xf>
    <xf numFmtId="190" fontId="27" fillId="51" borderId="10" xfId="35" applyNumberFormat="1" applyFont="1" applyFill="1" applyBorder="1" applyAlignment="1" applyProtection="1">
      <alignment horizontal="center" vertical="center"/>
      <protection hidden="1"/>
    </xf>
    <xf numFmtId="2" fontId="27" fillId="51" borderId="52" xfId="35" applyNumberFormat="1" applyFont="1" applyFill="1" applyBorder="1" applyAlignment="1" applyProtection="1">
      <alignment horizontal="center" vertical="center"/>
      <protection hidden="1"/>
    </xf>
    <xf numFmtId="2" fontId="27" fillId="51" borderId="50" xfId="35" applyNumberFormat="1" applyFont="1" applyFill="1" applyBorder="1" applyAlignment="1" applyProtection="1">
      <alignment horizontal="center" vertical="center"/>
      <protection hidden="1"/>
    </xf>
    <xf numFmtId="190" fontId="41" fillId="51" borderId="10" xfId="35" applyNumberFormat="1" applyFont="1" applyFill="1" applyBorder="1" applyAlignment="1" applyProtection="1">
      <alignment horizontal="center"/>
      <protection hidden="1"/>
    </xf>
    <xf numFmtId="2" fontId="41" fillId="51" borderId="10" xfId="35" applyNumberFormat="1" applyFont="1" applyFill="1" applyBorder="1" applyAlignment="1" applyProtection="1">
      <alignment horizontal="center"/>
      <protection hidden="1"/>
    </xf>
    <xf numFmtId="190" fontId="27" fillId="51" borderId="50" xfId="0" applyNumberFormat="1" applyFont="1" applyFill="1" applyBorder="1" applyAlignment="1" applyProtection="1">
      <alignment horizontal="center" vertical="center"/>
      <protection hidden="1"/>
    </xf>
    <xf numFmtId="190" fontId="27" fillId="52" borderId="10" xfId="35" applyNumberFormat="1" applyFont="1" applyFill="1" applyBorder="1" applyAlignment="1" applyProtection="1">
      <alignment horizontal="center" vertical="center"/>
      <protection hidden="1"/>
    </xf>
    <xf numFmtId="190" fontId="27" fillId="52" borderId="50" xfId="0" applyNumberFormat="1" applyFont="1" applyFill="1" applyBorder="1" applyAlignment="1" applyProtection="1">
      <alignment horizontal="center" vertical="center"/>
      <protection hidden="1"/>
    </xf>
    <xf numFmtId="177" fontId="67" fillId="51" borderId="10" xfId="35" applyNumberFormat="1" applyFont="1" applyFill="1" applyBorder="1" applyAlignment="1" applyProtection="1">
      <alignment horizontal="center" vertical="center"/>
      <protection hidden="1"/>
    </xf>
    <xf numFmtId="177" fontId="27" fillId="0" borderId="10" xfId="44" applyNumberFormat="1" applyFont="1" applyFill="1" applyBorder="1" applyAlignment="1">
      <alignment horizontal="center" vertical="top"/>
    </xf>
    <xf numFmtId="0" fontId="0" fillId="0" borderId="0" xfId="0" applyAlignment="1">
      <alignment vertical="center" wrapText="1"/>
    </xf>
    <xf numFmtId="0" fontId="23" fillId="35" borderId="237" xfId="0" applyFont="1" applyFill="1" applyBorder="1" applyAlignment="1" applyProtection="1">
      <alignment vertical="center"/>
      <protection hidden="1"/>
    </xf>
    <xf numFmtId="0" fontId="2" fillId="35" borderId="238" xfId="0" applyFont="1" applyFill="1" applyBorder="1" applyAlignment="1" applyProtection="1">
      <alignment vertical="center"/>
      <protection hidden="1"/>
    </xf>
    <xf numFmtId="0" fontId="2" fillId="35" borderId="239" xfId="0" applyFont="1" applyFill="1" applyBorder="1" applyAlignment="1" applyProtection="1">
      <alignment vertical="center"/>
      <protection hidden="1"/>
    </xf>
    <xf numFmtId="0" fontId="186" fillId="35" borderId="240" xfId="0" applyFont="1" applyFill="1" applyBorder="1" applyAlignment="1" applyProtection="1">
      <alignment vertical="center"/>
      <protection hidden="1"/>
    </xf>
    <xf numFmtId="0" fontId="2" fillId="35" borderId="241" xfId="0" applyFont="1" applyFill="1" applyBorder="1" applyAlignment="1" applyProtection="1">
      <alignment vertical="center"/>
      <protection hidden="1"/>
    </xf>
    <xf numFmtId="0" fontId="2" fillId="35" borderId="242" xfId="0" applyFont="1" applyFill="1" applyBorder="1" applyAlignment="1" applyProtection="1">
      <alignment vertical="center"/>
      <protection hidden="1"/>
    </xf>
    <xf numFmtId="0" fontId="2" fillId="35" borderId="243" xfId="0" applyFont="1" applyFill="1" applyBorder="1" applyAlignment="1" applyProtection="1">
      <alignment vertical="center"/>
      <protection hidden="1"/>
    </xf>
    <xf numFmtId="0" fontId="2" fillId="35" borderId="244" xfId="0" applyFont="1" applyFill="1" applyBorder="1" applyAlignment="1" applyProtection="1">
      <alignment vertical="center"/>
      <protection hidden="1"/>
    </xf>
    <xf numFmtId="0" fontId="0" fillId="0" borderId="90" xfId="0" applyFont="1" applyFill="1" applyBorder="1" applyProtection="1">
      <alignment vertical="center"/>
      <protection hidden="1"/>
    </xf>
    <xf numFmtId="0" fontId="0" fillId="0" borderId="0" xfId="0" applyFont="1" applyFill="1" applyBorder="1" applyProtection="1">
      <alignment vertical="center"/>
      <protection hidden="1"/>
    </xf>
    <xf numFmtId="0" fontId="0" fillId="0" borderId="88" xfId="0" applyFont="1" applyFill="1" applyBorder="1" applyProtection="1">
      <alignment vertical="center"/>
      <protection hidden="1"/>
    </xf>
    <xf numFmtId="176" fontId="187" fillId="0" borderId="0" xfId="0" applyNumberFormat="1" applyFont="1" applyFill="1" applyBorder="1" applyAlignment="1" applyProtection="1">
      <alignment horizontal="center" vertical="center"/>
      <protection hidden="1"/>
    </xf>
    <xf numFmtId="0" fontId="75" fillId="0" borderId="90" xfId="0" applyFont="1" applyFill="1" applyBorder="1" applyProtection="1">
      <alignment vertical="center"/>
      <protection hidden="1"/>
    </xf>
    <xf numFmtId="0" fontId="0" fillId="0" borderId="105" xfId="0" applyFont="1" applyFill="1" applyBorder="1" applyProtection="1">
      <alignment vertical="center"/>
      <protection hidden="1"/>
    </xf>
    <xf numFmtId="0" fontId="0" fillId="0" borderId="156" xfId="0" applyFont="1" applyFill="1" applyBorder="1" applyProtection="1">
      <alignment vertical="center"/>
      <protection hidden="1"/>
    </xf>
    <xf numFmtId="0" fontId="0" fillId="0" borderId="112" xfId="0" applyFont="1" applyFill="1" applyBorder="1" applyProtection="1">
      <alignment vertical="center"/>
      <protection hidden="1"/>
    </xf>
    <xf numFmtId="185" fontId="83" fillId="0" borderId="0" xfId="0" applyNumberFormat="1" applyFont="1" applyFill="1" applyBorder="1" applyAlignment="1" applyProtection="1">
      <alignment vertical="center"/>
      <protection hidden="1"/>
    </xf>
    <xf numFmtId="0" fontId="0" fillId="0" borderId="81" xfId="0" applyFont="1" applyFill="1" applyBorder="1" applyProtection="1">
      <alignment vertical="center"/>
      <protection hidden="1"/>
    </xf>
    <xf numFmtId="0" fontId="120" fillId="38" borderId="114" xfId="0" applyFont="1" applyFill="1" applyBorder="1" applyAlignment="1" applyProtection="1">
      <alignment vertical="center"/>
      <protection hidden="1"/>
    </xf>
    <xf numFmtId="0" fontId="6" fillId="0" borderId="0" xfId="0" applyFont="1" applyAlignment="1">
      <alignment vertical="center"/>
    </xf>
    <xf numFmtId="3" fontId="86" fillId="54" borderId="73" xfId="0" applyNumberFormat="1" applyFont="1" applyFill="1" applyBorder="1" applyAlignment="1" applyProtection="1">
      <alignment vertical="center"/>
      <protection hidden="1"/>
    </xf>
    <xf numFmtId="3" fontId="86" fillId="54" borderId="74" xfId="0" applyNumberFormat="1" applyFont="1" applyFill="1" applyBorder="1" applyAlignment="1" applyProtection="1">
      <alignment vertical="center"/>
      <protection hidden="1"/>
    </xf>
    <xf numFmtId="3" fontId="86" fillId="54" borderId="135" xfId="0" applyNumberFormat="1" applyFont="1" applyFill="1" applyBorder="1" applyAlignment="1" applyProtection="1">
      <alignment vertical="center"/>
      <protection hidden="1"/>
    </xf>
    <xf numFmtId="3" fontId="86" fillId="0" borderId="0" xfId="0" applyNumberFormat="1" applyFont="1" applyFill="1" applyBorder="1" applyAlignment="1" applyProtection="1">
      <alignment vertical="center"/>
      <protection hidden="1"/>
    </xf>
    <xf numFmtId="0" fontId="6" fillId="0" borderId="0" xfId="0" applyFont="1" applyFill="1" applyAlignment="1">
      <alignment vertical="center"/>
    </xf>
    <xf numFmtId="3" fontId="32" fillId="0" borderId="0" xfId="0" applyNumberFormat="1" applyFont="1" applyFill="1" applyBorder="1" applyAlignment="1" applyProtection="1">
      <alignment horizontal="center" vertical="center"/>
      <protection hidden="1"/>
    </xf>
    <xf numFmtId="3" fontId="25" fillId="0" borderId="0" xfId="0" applyNumberFormat="1" applyFont="1" applyFill="1" applyBorder="1" applyAlignment="1" applyProtection="1">
      <alignment vertical="center"/>
      <protection hidden="1"/>
    </xf>
    <xf numFmtId="0" fontId="15" fillId="29" borderId="73" xfId="0" applyFont="1" applyFill="1" applyBorder="1" applyAlignment="1">
      <alignment vertical="center"/>
    </xf>
    <xf numFmtId="0" fontId="15" fillId="29" borderId="74" xfId="0" applyFont="1" applyFill="1" applyBorder="1" applyAlignment="1">
      <alignment vertical="center"/>
    </xf>
    <xf numFmtId="0" fontId="6" fillId="29" borderId="74" xfId="0" applyFont="1" applyFill="1" applyBorder="1" applyAlignment="1">
      <alignment vertical="center"/>
    </xf>
    <xf numFmtId="213" fontId="6" fillId="29" borderId="74" xfId="35" applyNumberFormat="1" applyFont="1" applyFill="1" applyBorder="1" applyAlignment="1">
      <alignment vertical="center"/>
    </xf>
    <xf numFmtId="213" fontId="6" fillId="29" borderId="162" xfId="35" applyNumberFormat="1" applyFont="1" applyFill="1" applyBorder="1" applyAlignment="1">
      <alignment horizontal="right" vertical="center" indent="1"/>
    </xf>
    <xf numFmtId="0" fontId="28" fillId="0" borderId="10" xfId="0" applyFont="1" applyBorder="1" applyAlignment="1">
      <alignment vertical="center"/>
    </xf>
    <xf numFmtId="0" fontId="28" fillId="0" borderId="10" xfId="0" applyFont="1" applyBorder="1" applyAlignment="1">
      <alignment vertical="center" wrapText="1"/>
    </xf>
    <xf numFmtId="0" fontId="28" fillId="0" borderId="50" xfId="0" applyFont="1" applyBorder="1" applyAlignment="1">
      <alignment vertical="center"/>
    </xf>
    <xf numFmtId="0" fontId="28" fillId="0" borderId="52" xfId="0" applyFont="1" applyBorder="1" applyAlignment="1">
      <alignment vertical="center" wrapText="1"/>
    </xf>
    <xf numFmtId="0" fontId="32" fillId="0" borderId="0" xfId="0" applyFont="1" applyFill="1" applyBorder="1" applyProtection="1">
      <alignment vertical="center"/>
      <protection hidden="1"/>
    </xf>
    <xf numFmtId="0" fontId="11" fillId="0" borderId="0" xfId="0" applyNumberFormat="1" applyFont="1" applyFill="1" applyBorder="1" applyProtection="1">
      <alignment vertical="center"/>
      <protection hidden="1"/>
    </xf>
    <xf numFmtId="0" fontId="4" fillId="35" borderId="75" xfId="0" applyFont="1" applyFill="1" applyBorder="1" applyAlignment="1">
      <alignment vertical="center"/>
    </xf>
    <xf numFmtId="0" fontId="4" fillId="35" borderId="245" xfId="0" applyFont="1" applyFill="1" applyBorder="1" applyAlignment="1">
      <alignment vertical="center"/>
    </xf>
    <xf numFmtId="0" fontId="4" fillId="35" borderId="246" xfId="0" applyFont="1" applyFill="1" applyBorder="1" applyAlignment="1">
      <alignment vertical="center"/>
    </xf>
    <xf numFmtId="0" fontId="4" fillId="35" borderId="247" xfId="0" applyFont="1" applyFill="1" applyBorder="1" applyAlignment="1">
      <alignment vertical="center"/>
    </xf>
    <xf numFmtId="0" fontId="4" fillId="35" borderId="247" xfId="0" applyFont="1" applyFill="1" applyBorder="1" applyAlignment="1">
      <alignment horizontal="center" vertical="center"/>
    </xf>
    <xf numFmtId="0" fontId="4" fillId="35" borderId="248" xfId="0" applyFont="1" applyFill="1" applyBorder="1" applyAlignment="1">
      <alignment horizontal="center" vertical="center" wrapText="1"/>
    </xf>
    <xf numFmtId="0" fontId="4" fillId="35" borderId="73" xfId="0" applyFont="1" applyFill="1" applyBorder="1" applyAlignment="1">
      <alignment vertical="center"/>
    </xf>
    <xf numFmtId="0" fontId="4" fillId="35" borderId="251" xfId="0" applyFont="1" applyFill="1" applyBorder="1" applyAlignment="1">
      <alignment vertical="center"/>
    </xf>
    <xf numFmtId="0" fontId="4" fillId="35" borderId="252" xfId="0" applyFont="1" applyFill="1" applyBorder="1" applyAlignment="1">
      <alignment vertical="center"/>
    </xf>
    <xf numFmtId="0" fontId="4" fillId="35" borderId="253" xfId="0" applyFont="1" applyFill="1" applyBorder="1" applyAlignment="1">
      <alignment vertical="center"/>
    </xf>
    <xf numFmtId="0" fontId="4" fillId="35" borderId="254" xfId="0" applyFont="1" applyFill="1" applyBorder="1" applyAlignment="1">
      <alignment horizontal="center" vertical="center"/>
    </xf>
    <xf numFmtId="0" fontId="4" fillId="35" borderId="251" xfId="0" applyFont="1" applyFill="1" applyBorder="1" applyAlignment="1">
      <alignment horizontal="center" vertical="center" wrapText="1"/>
    </xf>
    <xf numFmtId="0" fontId="15" fillId="41" borderId="75" xfId="0" applyFont="1" applyFill="1" applyBorder="1" applyAlignment="1">
      <alignment horizontal="right" vertical="center"/>
    </xf>
    <xf numFmtId="0" fontId="15" fillId="41" borderId="79" xfId="0" applyFont="1" applyFill="1" applyBorder="1" applyAlignment="1">
      <alignment vertical="center"/>
    </xf>
    <xf numFmtId="0" fontId="6" fillId="41" borderId="79" xfId="0" applyFont="1" applyFill="1" applyBorder="1" applyAlignment="1">
      <alignment vertical="center"/>
    </xf>
    <xf numFmtId="214" fontId="37" fillId="41" borderId="257" xfId="0" applyNumberFormat="1" applyFont="1" applyFill="1" applyBorder="1" applyAlignment="1">
      <alignment horizontal="left" vertical="center" wrapText="1" indent="1"/>
    </xf>
    <xf numFmtId="213" fontId="77" fillId="41" borderId="258" xfId="35" applyNumberFormat="1" applyFont="1" applyFill="1" applyBorder="1" applyAlignment="1">
      <alignment vertical="center"/>
    </xf>
    <xf numFmtId="0" fontId="28" fillId="0" borderId="261" xfId="0" applyFont="1" applyBorder="1" applyAlignment="1">
      <alignment vertical="center"/>
    </xf>
    <xf numFmtId="0" fontId="28" fillId="27" borderId="10" xfId="0" applyNumberFormat="1" applyFont="1" applyFill="1" applyBorder="1" applyAlignment="1" applyProtection="1">
      <alignment vertical="center" wrapText="1"/>
      <protection hidden="1"/>
    </xf>
    <xf numFmtId="0" fontId="28" fillId="27" borderId="10" xfId="0" applyNumberFormat="1" applyFont="1" applyFill="1" applyBorder="1" applyAlignment="1" applyProtection="1">
      <alignment horizontal="left" vertical="center" wrapText="1"/>
      <protection hidden="1"/>
    </xf>
    <xf numFmtId="0" fontId="28" fillId="0" borderId="10" xfId="0" applyNumberFormat="1" applyFont="1" applyFill="1" applyBorder="1" applyAlignment="1" applyProtection="1">
      <alignment vertical="center"/>
      <protection hidden="1"/>
    </xf>
    <xf numFmtId="0" fontId="28" fillId="27" borderId="10" xfId="0" applyNumberFormat="1" applyFont="1" applyFill="1" applyBorder="1" applyAlignment="1" applyProtection="1">
      <alignment horizontal="center" vertical="center"/>
      <protection hidden="1"/>
    </xf>
    <xf numFmtId="0" fontId="28" fillId="27" borderId="10" xfId="0" applyFont="1" applyFill="1" applyBorder="1" applyAlignment="1" applyProtection="1">
      <alignment horizontal="center" vertical="center"/>
      <protection hidden="1"/>
    </xf>
    <xf numFmtId="0" fontId="55" fillId="27" borderId="10" xfId="0" applyNumberFormat="1" applyFont="1" applyFill="1" applyBorder="1" applyAlignment="1" applyProtection="1">
      <alignment horizontal="center" vertical="center"/>
      <protection hidden="1"/>
    </xf>
    <xf numFmtId="0" fontId="6" fillId="0" borderId="60" xfId="0" applyFont="1" applyFill="1" applyBorder="1" applyAlignment="1">
      <alignment horizontal="left" vertical="center" indent="1"/>
    </xf>
    <xf numFmtId="0" fontId="6" fillId="0" borderId="24" xfId="0" applyFont="1" applyFill="1" applyBorder="1" applyAlignment="1">
      <alignment horizontal="left" vertical="center" indent="1"/>
    </xf>
    <xf numFmtId="0" fontId="6" fillId="0" borderId="59" xfId="0" applyFont="1" applyFill="1" applyBorder="1" applyAlignment="1">
      <alignment horizontal="left" vertical="center" indent="1"/>
    </xf>
    <xf numFmtId="199" fontId="191" fillId="54" borderId="22" xfId="0" applyNumberFormat="1" applyFont="1" applyFill="1" applyBorder="1" applyAlignment="1">
      <alignment vertical="center"/>
    </xf>
    <xf numFmtId="213" fontId="6" fillId="0" borderId="66" xfId="35" applyNumberFormat="1" applyFont="1" applyFill="1" applyBorder="1" applyAlignment="1">
      <alignment vertical="center"/>
    </xf>
    <xf numFmtId="214" fontId="28" fillId="0" borderId="10" xfId="0" applyNumberFormat="1" applyFont="1" applyFill="1" applyBorder="1" applyProtection="1">
      <alignment vertical="center"/>
      <protection hidden="1"/>
    </xf>
    <xf numFmtId="214" fontId="28" fillId="0" borderId="10" xfId="0" applyNumberFormat="1" applyFont="1" applyBorder="1" applyAlignment="1">
      <alignment vertical="center"/>
    </xf>
    <xf numFmtId="0" fontId="28" fillId="0" borderId="10" xfId="0" applyFont="1" applyFill="1" applyBorder="1" applyAlignment="1" applyProtection="1">
      <alignment horizontal="center" vertical="center"/>
      <protection hidden="1"/>
    </xf>
    <xf numFmtId="0" fontId="28" fillId="0" borderId="10" xfId="0" applyNumberFormat="1" applyFont="1" applyFill="1" applyBorder="1" applyAlignment="1" applyProtection="1">
      <alignment vertical="center" wrapText="1"/>
      <protection hidden="1"/>
    </xf>
    <xf numFmtId="0" fontId="28" fillId="0" borderId="10" xfId="0" applyFont="1" applyFill="1" applyBorder="1" applyAlignment="1" applyProtection="1">
      <alignment vertical="center"/>
      <protection hidden="1"/>
    </xf>
    <xf numFmtId="214" fontId="55" fillId="0" borderId="10" xfId="35" applyNumberFormat="1" applyFont="1" applyFill="1" applyBorder="1" applyAlignment="1" applyProtection="1">
      <alignment vertical="center"/>
      <protection hidden="1"/>
    </xf>
    <xf numFmtId="0" fontId="28" fillId="0" borderId="10" xfId="0" applyNumberFormat="1" applyFont="1" applyFill="1" applyBorder="1" applyAlignment="1" applyProtection="1">
      <alignment horizontal="left" vertical="center" wrapText="1"/>
      <protection hidden="1"/>
    </xf>
    <xf numFmtId="0" fontId="6" fillId="0" borderId="52" xfId="0" applyFont="1" applyFill="1" applyBorder="1" applyAlignment="1">
      <alignment horizontal="left" vertical="center" indent="1"/>
    </xf>
    <xf numFmtId="0" fontId="6" fillId="0" borderId="50" xfId="0" applyFont="1" applyFill="1" applyBorder="1" applyAlignment="1">
      <alignment horizontal="left" vertical="center" indent="1"/>
    </xf>
    <xf numFmtId="0" fontId="6" fillId="0" borderId="51" xfId="0" applyFont="1" applyFill="1" applyBorder="1" applyAlignment="1">
      <alignment horizontal="left" vertical="center" indent="1"/>
    </xf>
    <xf numFmtId="213" fontId="6" fillId="0" borderId="68" xfId="35" applyNumberFormat="1" applyFont="1" applyFill="1" applyBorder="1" applyAlignment="1">
      <alignment vertical="center"/>
    </xf>
    <xf numFmtId="0" fontId="28" fillId="0" borderId="0" xfId="0" applyFont="1" applyAlignment="1">
      <alignment horizontal="center" vertical="center"/>
    </xf>
    <xf numFmtId="0" fontId="28" fillId="0" borderId="10" xfId="0" applyFont="1" applyBorder="1" applyAlignment="1">
      <alignment horizontal="center" vertical="center"/>
    </xf>
    <xf numFmtId="0" fontId="6" fillId="0" borderId="177" xfId="0" applyFont="1" applyFill="1" applyBorder="1" applyAlignment="1">
      <alignment horizontal="left" vertical="center" indent="1"/>
    </xf>
    <xf numFmtId="0" fontId="6" fillId="0" borderId="120" xfId="0" applyFont="1" applyFill="1" applyBorder="1" applyAlignment="1">
      <alignment horizontal="left" vertical="center" indent="1"/>
    </xf>
    <xf numFmtId="0" fontId="6" fillId="0" borderId="156" xfId="0" applyFont="1" applyFill="1" applyBorder="1" applyAlignment="1">
      <alignment horizontal="left" vertical="center" indent="1"/>
    </xf>
    <xf numFmtId="199" fontId="191" fillId="54" borderId="171" xfId="0" applyNumberFormat="1" applyFont="1" applyFill="1" applyBorder="1" applyAlignment="1">
      <alignment vertical="center"/>
    </xf>
    <xf numFmtId="213" fontId="6" fillId="0" borderId="204" xfId="35" applyNumberFormat="1" applyFont="1" applyFill="1" applyBorder="1" applyAlignment="1">
      <alignment vertical="center"/>
    </xf>
    <xf numFmtId="213" fontId="28" fillId="0" borderId="10" xfId="0" applyNumberFormat="1" applyFont="1" applyBorder="1" applyAlignment="1">
      <alignment horizontal="center" vertical="center"/>
    </xf>
    <xf numFmtId="0" fontId="6" fillId="41" borderId="79" xfId="0" applyFont="1" applyFill="1" applyBorder="1" applyAlignment="1">
      <alignment horizontal="left" vertical="center" indent="1"/>
    </xf>
    <xf numFmtId="176" fontId="191" fillId="54" borderId="22" xfId="0" applyNumberFormat="1" applyFont="1" applyFill="1" applyBorder="1" applyAlignment="1">
      <alignment vertical="center"/>
    </xf>
    <xf numFmtId="199" fontId="191" fillId="54" borderId="10" xfId="0" applyNumberFormat="1" applyFont="1" applyFill="1" applyBorder="1" applyAlignment="1">
      <alignment vertical="center"/>
    </xf>
    <xf numFmtId="176" fontId="191" fillId="54" borderId="10" xfId="0" applyNumberFormat="1" applyFont="1" applyFill="1" applyBorder="1" applyAlignment="1">
      <alignment vertical="center"/>
    </xf>
    <xf numFmtId="0" fontId="6" fillId="0" borderId="54" xfId="0" applyFont="1" applyFill="1" applyBorder="1" applyAlignment="1">
      <alignment horizontal="left" vertical="center" indent="1"/>
    </xf>
    <xf numFmtId="176" fontId="191" fillId="54" borderId="23" xfId="0" applyNumberFormat="1" applyFont="1" applyFill="1" applyBorder="1" applyAlignment="1">
      <alignment vertical="center"/>
    </xf>
    <xf numFmtId="213" fontId="6" fillId="0" borderId="136" xfId="35" applyNumberFormat="1" applyFont="1" applyFill="1" applyBorder="1" applyAlignment="1">
      <alignment vertical="center"/>
    </xf>
    <xf numFmtId="0" fontId="6" fillId="0" borderId="122" xfId="0" applyFont="1" applyFill="1" applyBorder="1" applyAlignment="1">
      <alignment horizontal="left" vertical="center" indent="1"/>
    </xf>
    <xf numFmtId="0" fontId="6" fillId="0" borderId="213" xfId="0" applyFont="1" applyFill="1" applyBorder="1" applyAlignment="1">
      <alignment horizontal="left" vertical="center" indent="1"/>
    </xf>
    <xf numFmtId="176" fontId="191" fillId="54" borderId="121" xfId="0" applyNumberFormat="1" applyFont="1" applyFill="1" applyBorder="1" applyAlignment="1">
      <alignment vertical="center"/>
    </xf>
    <xf numFmtId="213" fontId="6" fillId="0" borderId="198" xfId="35" applyNumberFormat="1" applyFont="1" applyFill="1" applyBorder="1" applyAlignment="1">
      <alignment vertical="center"/>
    </xf>
    <xf numFmtId="0" fontId="6" fillId="0" borderId="53" xfId="0" applyFont="1" applyFill="1" applyBorder="1" applyAlignment="1">
      <alignment horizontal="left" vertical="center" indent="1"/>
    </xf>
    <xf numFmtId="0" fontId="67" fillId="42" borderId="0" xfId="0" applyFont="1" applyFill="1" applyAlignment="1">
      <alignment horizontal="left"/>
    </xf>
    <xf numFmtId="0" fontId="27" fillId="42" borderId="0" xfId="0" applyFont="1" applyFill="1" applyAlignment="1"/>
    <xf numFmtId="186" fontId="67" fillId="42" borderId="0" xfId="35" applyNumberFormat="1" applyFont="1" applyFill="1" applyBorder="1" applyAlignment="1"/>
    <xf numFmtId="177" fontId="67" fillId="42" borderId="0" xfId="35" applyNumberFormat="1" applyFont="1" applyFill="1" applyBorder="1" applyAlignment="1"/>
    <xf numFmtId="0" fontId="67" fillId="42" borderId="0" xfId="0" applyFont="1" applyFill="1" applyBorder="1">
      <alignment vertical="center"/>
    </xf>
    <xf numFmtId="49" fontId="67" fillId="42" borderId="0" xfId="35" applyNumberFormat="1" applyFont="1" applyFill="1" applyBorder="1" applyAlignment="1">
      <alignment horizontal="center"/>
    </xf>
    <xf numFmtId="2" fontId="67" fillId="42" borderId="0" xfId="0" applyNumberFormat="1" applyFont="1" applyFill="1" applyBorder="1" applyAlignment="1">
      <alignment horizontal="left"/>
    </xf>
    <xf numFmtId="2" fontId="67" fillId="42" borderId="0" xfId="0" applyNumberFormat="1" applyFont="1" applyFill="1" applyBorder="1" applyAlignment="1">
      <alignment horizontal="center"/>
    </xf>
    <xf numFmtId="0" fontId="67" fillId="42" borderId="0" xfId="0" applyNumberFormat="1" applyFont="1" applyFill="1" applyBorder="1">
      <alignment vertical="center"/>
    </xf>
    <xf numFmtId="177" fontId="164" fillId="42" borderId="0" xfId="35" applyNumberFormat="1" applyFont="1" applyFill="1" applyBorder="1" applyAlignment="1" applyProtection="1">
      <alignment horizontal="left"/>
      <protection hidden="1"/>
    </xf>
    <xf numFmtId="0" fontId="27" fillId="42" borderId="0" xfId="0" applyFont="1" applyFill="1" applyAlignment="1" applyProtection="1">
      <protection hidden="1"/>
    </xf>
    <xf numFmtId="0" fontId="166" fillId="42" borderId="0" xfId="0" applyNumberFormat="1" applyFont="1" applyFill="1" applyBorder="1" applyAlignment="1" applyProtection="1">
      <alignment horizontal="left" vertical="center"/>
      <protection hidden="1"/>
    </xf>
    <xf numFmtId="177" fontId="165" fillId="42" borderId="0" xfId="35" applyNumberFormat="1" applyFont="1" applyFill="1" applyBorder="1" applyAlignment="1" applyProtection="1">
      <protection hidden="1"/>
    </xf>
    <xf numFmtId="0" fontId="165" fillId="42" borderId="0" xfId="0" applyFont="1" applyFill="1" applyBorder="1" applyProtection="1">
      <alignment vertical="center"/>
      <protection hidden="1"/>
    </xf>
    <xf numFmtId="177" fontId="67" fillId="42" borderId="0" xfId="35" applyNumberFormat="1" applyFont="1" applyFill="1" applyBorder="1" applyAlignment="1" applyProtection="1">
      <protection hidden="1"/>
    </xf>
    <xf numFmtId="2" fontId="164" fillId="42" borderId="0" xfId="0" applyNumberFormat="1" applyFont="1" applyFill="1" applyBorder="1" applyAlignment="1" applyProtection="1">
      <alignment horizontal="left"/>
      <protection hidden="1"/>
    </xf>
    <xf numFmtId="2" fontId="165" fillId="42" borderId="0" xfId="0" applyNumberFormat="1" applyFont="1" applyFill="1" applyBorder="1" applyAlignment="1" applyProtection="1">
      <alignment horizontal="center"/>
      <protection hidden="1"/>
    </xf>
    <xf numFmtId="0" fontId="165" fillId="42" borderId="0" xfId="0" applyNumberFormat="1" applyFont="1" applyFill="1" applyBorder="1">
      <alignment vertical="center"/>
    </xf>
    <xf numFmtId="49" fontId="164" fillId="42" borderId="0" xfId="0" applyNumberFormat="1" applyFont="1" applyFill="1" applyBorder="1" applyProtection="1">
      <alignment vertical="center"/>
      <protection hidden="1"/>
    </xf>
    <xf numFmtId="2" fontId="165" fillId="42" borderId="0" xfId="0" applyNumberFormat="1" applyFont="1" applyFill="1" applyBorder="1" applyAlignment="1" applyProtection="1">
      <alignment horizontal="left"/>
      <protection hidden="1"/>
    </xf>
    <xf numFmtId="0" fontId="67" fillId="42" borderId="0" xfId="0" applyFont="1" applyFill="1" applyBorder="1" applyProtection="1">
      <alignment vertical="center"/>
      <protection hidden="1"/>
    </xf>
    <xf numFmtId="0" fontId="155" fillId="42" borderId="0" xfId="0" applyNumberFormat="1" applyFont="1" applyFill="1" applyBorder="1" applyAlignment="1">
      <alignment horizontal="left" vertical="top"/>
    </xf>
    <xf numFmtId="0" fontId="67" fillId="42" borderId="0" xfId="0" applyFont="1" applyFill="1" applyBorder="1" applyAlignment="1" applyProtection="1">
      <alignment horizontal="center"/>
      <protection hidden="1"/>
    </xf>
    <xf numFmtId="0" fontId="67" fillId="42" borderId="0" xfId="0" applyNumberFormat="1" applyFont="1" applyFill="1" applyBorder="1" applyAlignment="1">
      <alignment horizontal="center" vertical="top"/>
    </xf>
    <xf numFmtId="177" fontId="67" fillId="38" borderId="10" xfId="35" applyNumberFormat="1" applyFont="1" applyFill="1" applyBorder="1" applyAlignment="1" applyProtection="1">
      <protection hidden="1"/>
    </xf>
    <xf numFmtId="0" fontId="29" fillId="42" borderId="0" xfId="0" applyFont="1" applyFill="1" applyBorder="1" applyProtection="1">
      <alignment vertical="center"/>
      <protection hidden="1"/>
    </xf>
    <xf numFmtId="0" fontId="29" fillId="42" borderId="0" xfId="0" applyFont="1" applyFill="1" applyBorder="1" applyAlignment="1" applyProtection="1">
      <alignment horizontal="center"/>
      <protection hidden="1"/>
    </xf>
    <xf numFmtId="0" fontId="29" fillId="42" borderId="0" xfId="0" applyNumberFormat="1" applyFont="1" applyFill="1" applyBorder="1" applyAlignment="1">
      <alignment horizontal="center" vertical="top"/>
    </xf>
    <xf numFmtId="0" fontId="155" fillId="42" borderId="0" xfId="0" applyFont="1" applyFill="1" applyBorder="1" applyProtection="1">
      <alignment vertical="center"/>
      <protection hidden="1"/>
    </xf>
    <xf numFmtId="2" fontId="155" fillId="26" borderId="10" xfId="35" applyNumberFormat="1" applyFont="1" applyFill="1" applyBorder="1" applyAlignment="1" applyProtection="1">
      <alignment horizontal="center" vertical="center"/>
      <protection hidden="1"/>
    </xf>
    <xf numFmtId="2" fontId="155" fillId="26" borderId="52" xfId="35" applyNumberFormat="1" applyFont="1" applyFill="1" applyBorder="1" applyAlignment="1" applyProtection="1">
      <alignment horizontal="center" vertical="center"/>
      <protection hidden="1"/>
    </xf>
    <xf numFmtId="0" fontId="155" fillId="42" borderId="0" xfId="35" applyNumberFormat="1" applyFont="1" applyFill="1" applyBorder="1" applyAlignment="1">
      <alignment horizontal="right" vertical="center"/>
    </xf>
    <xf numFmtId="0" fontId="67" fillId="42" borderId="0" xfId="35" applyNumberFormat="1" applyFont="1" applyFill="1" applyBorder="1" applyAlignment="1">
      <alignment horizontal="right" vertical="center"/>
    </xf>
    <xf numFmtId="0" fontId="67" fillId="42" borderId="0" xfId="35" applyNumberFormat="1" applyFont="1" applyFill="1" applyBorder="1" applyAlignment="1">
      <alignment vertical="center"/>
    </xf>
    <xf numFmtId="40" fontId="155" fillId="42" borderId="0" xfId="35" applyNumberFormat="1" applyFont="1" applyFill="1" applyBorder="1" applyAlignment="1" applyProtection="1">
      <protection hidden="1"/>
    </xf>
    <xf numFmtId="2" fontId="155" fillId="24" borderId="50" xfId="35" applyNumberFormat="1" applyFont="1" applyFill="1" applyBorder="1" applyAlignment="1" applyProtection="1">
      <alignment horizontal="center" vertical="center"/>
      <protection hidden="1"/>
    </xf>
    <xf numFmtId="2" fontId="155" fillId="24" borderId="52" xfId="35" applyNumberFormat="1" applyFont="1" applyFill="1" applyBorder="1" applyAlignment="1" applyProtection="1">
      <alignment horizontal="center"/>
      <protection hidden="1"/>
    </xf>
    <xf numFmtId="2" fontId="155" fillId="24" borderId="10" xfId="35" applyNumberFormat="1" applyFont="1" applyFill="1" applyBorder="1" applyAlignment="1" applyProtection="1">
      <alignment horizontal="center"/>
      <protection hidden="1"/>
    </xf>
    <xf numFmtId="0" fontId="155" fillId="42" borderId="0" xfId="35" applyNumberFormat="1" applyFont="1" applyFill="1" applyBorder="1" applyAlignment="1"/>
    <xf numFmtId="2" fontId="67" fillId="24" borderId="10" xfId="35" applyNumberFormat="1" applyFont="1" applyFill="1" applyBorder="1" applyAlignment="1" applyProtection="1">
      <alignment horizontal="center" vertical="center"/>
      <protection hidden="1"/>
    </xf>
    <xf numFmtId="2" fontId="67" fillId="24" borderId="50" xfId="35" applyNumberFormat="1" applyFont="1" applyFill="1" applyBorder="1" applyAlignment="1" applyProtection="1">
      <alignment horizontal="center" vertical="center"/>
      <protection hidden="1"/>
    </xf>
    <xf numFmtId="2" fontId="67" fillId="24" borderId="52" xfId="0"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center"/>
      <protection hidden="1"/>
    </xf>
    <xf numFmtId="177" fontId="67" fillId="42" borderId="0" xfId="0" applyNumberFormat="1" applyFont="1" applyFill="1" applyBorder="1" applyProtection="1">
      <alignment vertical="center"/>
      <protection hidden="1"/>
    </xf>
    <xf numFmtId="2" fontId="67" fillId="24" borderId="52" xfId="35" applyNumberFormat="1" applyFont="1" applyFill="1" applyBorder="1" applyAlignment="1" applyProtection="1">
      <alignment horizontal="center" vertical="center"/>
      <protection hidden="1"/>
    </xf>
    <xf numFmtId="40" fontId="67" fillId="42" borderId="0" xfId="35" applyNumberFormat="1" applyFont="1" applyFill="1" applyBorder="1" applyAlignment="1" applyProtection="1">
      <alignment horizontal="right" vertical="center"/>
      <protection hidden="1"/>
    </xf>
    <xf numFmtId="2" fontId="155" fillId="24" borderId="50" xfId="35" applyNumberFormat="1" applyFont="1" applyFill="1" applyBorder="1" applyAlignment="1" applyProtection="1">
      <alignment horizontal="center"/>
      <protection hidden="1"/>
    </xf>
    <xf numFmtId="2" fontId="67" fillId="24" borderId="10" xfId="35" applyNumberFormat="1" applyFont="1" applyFill="1" applyBorder="1" applyAlignment="1" applyProtection="1">
      <alignment horizontal="center"/>
      <protection hidden="1"/>
    </xf>
    <xf numFmtId="2" fontId="67" fillId="24" borderId="50" xfId="35" applyNumberFormat="1" applyFont="1" applyFill="1" applyBorder="1" applyAlignment="1" applyProtection="1">
      <alignment horizontal="center"/>
      <protection hidden="1"/>
    </xf>
    <xf numFmtId="2" fontId="67" fillId="24" borderId="52" xfId="35" applyNumberFormat="1" applyFont="1" applyFill="1" applyBorder="1" applyAlignment="1" applyProtection="1">
      <alignment horizontal="center"/>
      <protection hidden="1"/>
    </xf>
    <xf numFmtId="40" fontId="67" fillId="42" borderId="0" xfId="35" applyNumberFormat="1" applyFont="1" applyFill="1" applyBorder="1" applyAlignment="1" applyProtection="1">
      <alignment vertical="center"/>
      <protection hidden="1"/>
    </xf>
    <xf numFmtId="0" fontId="27" fillId="42" borderId="0" xfId="0" applyFont="1" applyFill="1" applyBorder="1" applyProtection="1">
      <alignment vertical="center"/>
      <protection hidden="1"/>
    </xf>
    <xf numFmtId="40" fontId="27" fillId="42" borderId="0" xfId="35" applyNumberFormat="1" applyFont="1" applyFill="1" applyBorder="1" applyAlignment="1" applyProtection="1">
      <alignment vertical="center"/>
      <protection hidden="1"/>
    </xf>
    <xf numFmtId="0" fontId="27" fillId="42" borderId="0" xfId="35" applyNumberFormat="1" applyFont="1" applyFill="1" applyBorder="1" applyAlignment="1">
      <alignment vertical="center"/>
    </xf>
    <xf numFmtId="2" fontId="192" fillId="24" borderId="10" xfId="35" applyNumberFormat="1" applyFont="1" applyFill="1" applyBorder="1" applyAlignment="1" applyProtection="1">
      <alignment horizontal="center" vertical="center"/>
      <protection hidden="1"/>
    </xf>
    <xf numFmtId="0" fontId="27" fillId="24" borderId="10" xfId="0" applyFont="1" applyFill="1" applyBorder="1" applyAlignment="1" applyProtection="1">
      <alignment vertical="center" shrinkToFit="1"/>
      <protection hidden="1"/>
    </xf>
    <xf numFmtId="0" fontId="0" fillId="0" borderId="0" xfId="0">
      <alignment vertical="center"/>
    </xf>
    <xf numFmtId="0" fontId="47" fillId="0" borderId="105"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6" fillId="0" borderId="0" xfId="0" applyFont="1" applyAlignment="1">
      <alignment vertical="center" wrapText="1"/>
    </xf>
    <xf numFmtId="0" fontId="28" fillId="24" borderId="0" xfId="0" applyFont="1" applyFill="1" applyBorder="1" applyAlignment="1">
      <alignment vertical="center"/>
    </xf>
    <xf numFmtId="0" fontId="47" fillId="0" borderId="0" xfId="0" applyFont="1" applyFill="1" applyBorder="1" applyAlignment="1" applyProtection="1">
      <protection hidden="1"/>
    </xf>
    <xf numFmtId="0" fontId="4" fillId="38" borderId="53" xfId="0" applyFont="1" applyFill="1" applyBorder="1" applyAlignment="1" applyProtection="1">
      <alignment vertical="center"/>
      <protection hidden="1"/>
    </xf>
    <xf numFmtId="0" fontId="47" fillId="0" borderId="83" xfId="0" applyFont="1" applyFill="1" applyBorder="1" applyAlignment="1">
      <alignment vertical="top" wrapText="1"/>
    </xf>
    <xf numFmtId="0" fontId="47" fillId="0" borderId="59" xfId="0" applyFont="1" applyFill="1" applyBorder="1" applyAlignment="1">
      <alignment vertical="top" wrapText="1"/>
    </xf>
    <xf numFmtId="216" fontId="76" fillId="0" borderId="60" xfId="0" applyNumberFormat="1" applyFont="1" applyFill="1" applyBorder="1" applyAlignment="1">
      <alignment horizontal="right" vertical="top" indent="1"/>
    </xf>
    <xf numFmtId="0" fontId="88" fillId="38" borderId="104" xfId="0" applyFont="1" applyFill="1" applyBorder="1" applyAlignment="1" applyProtection="1">
      <alignment vertical="center"/>
      <protection hidden="1"/>
    </xf>
    <xf numFmtId="0" fontId="88" fillId="38" borderId="53" xfId="0" applyFont="1" applyFill="1" applyBorder="1">
      <alignment vertical="center"/>
    </xf>
    <xf numFmtId="0" fontId="47" fillId="0" borderId="83" xfId="0" applyFont="1" applyFill="1" applyBorder="1" applyAlignment="1" applyProtection="1">
      <alignment vertical="top" wrapText="1"/>
      <protection hidden="1"/>
    </xf>
    <xf numFmtId="0" fontId="47" fillId="0" borderId="59" xfId="0" applyFont="1" applyFill="1" applyBorder="1" applyAlignment="1" applyProtection="1">
      <alignment vertical="top" wrapText="1"/>
      <protection hidden="1"/>
    </xf>
    <xf numFmtId="0" fontId="47" fillId="0" borderId="24" xfId="0" applyFont="1" applyFill="1" applyBorder="1" applyAlignment="1" applyProtection="1">
      <alignment vertical="top" wrapText="1"/>
      <protection hidden="1"/>
    </xf>
    <xf numFmtId="0" fontId="47" fillId="0" borderId="120" xfId="0" applyFont="1" applyFill="1" applyBorder="1" applyAlignment="1" applyProtection="1">
      <alignment vertical="top" wrapText="1"/>
      <protection hidden="1"/>
    </xf>
    <xf numFmtId="0" fontId="88" fillId="38" borderId="104" xfId="0" applyFont="1" applyFill="1" applyBorder="1">
      <alignment vertical="center"/>
    </xf>
    <xf numFmtId="0" fontId="0" fillId="0" borderId="60" xfId="0" applyFont="1" applyFill="1" applyBorder="1" applyAlignment="1">
      <alignment horizontal="left" vertical="center" indent="1"/>
    </xf>
    <xf numFmtId="0" fontId="0" fillId="0" borderId="24" xfId="0" applyFont="1" applyFill="1" applyBorder="1" applyAlignment="1">
      <alignment horizontal="left" vertical="center" indent="1"/>
    </xf>
    <xf numFmtId="0" fontId="0" fillId="0" borderId="213" xfId="0" applyFont="1" applyFill="1" applyBorder="1" applyAlignment="1">
      <alignment horizontal="left" vertical="center" indent="1"/>
    </xf>
    <xf numFmtId="185" fontId="26" fillId="0" borderId="60" xfId="35" applyNumberFormat="1" applyFont="1" applyFill="1" applyBorder="1" applyAlignment="1" applyProtection="1">
      <alignment horizontal="center" vertical="top"/>
      <protection hidden="1"/>
    </xf>
    <xf numFmtId="185" fontId="26" fillId="0" borderId="177" xfId="35" applyNumberFormat="1" applyFont="1" applyFill="1" applyBorder="1" applyAlignment="1" applyProtection="1">
      <alignment horizontal="center" vertical="top"/>
      <protection hidden="1"/>
    </xf>
    <xf numFmtId="185" fontId="26" fillId="0" borderId="60" xfId="35" applyNumberFormat="1" applyFont="1" applyFill="1" applyBorder="1" applyAlignment="1" applyProtection="1">
      <alignment horizontal="left" vertical="top" indent="3"/>
      <protection hidden="1"/>
    </xf>
    <xf numFmtId="185" fontId="26" fillId="0" borderId="177" xfId="35" applyNumberFormat="1" applyFont="1" applyFill="1" applyBorder="1" applyAlignment="1" applyProtection="1">
      <alignment horizontal="left" vertical="top" indent="3"/>
      <protection hidden="1"/>
    </xf>
    <xf numFmtId="207" fontId="77" fillId="29" borderId="135" xfId="0" applyNumberFormat="1" applyFont="1" applyFill="1" applyBorder="1" applyAlignment="1">
      <alignment vertical="center"/>
    </xf>
    <xf numFmtId="0" fontId="55" fillId="24" borderId="207" xfId="0" applyNumberFormat="1" applyFont="1" applyFill="1" applyBorder="1" applyAlignment="1" applyProtection="1">
      <alignment horizontal="left" vertical="top" wrapText="1"/>
    </xf>
    <xf numFmtId="0" fontId="27" fillId="0" borderId="50" xfId="0" applyFont="1" applyFill="1" applyBorder="1" applyAlignment="1" applyProtection="1">
      <alignment horizontal="left" vertical="center" shrinkToFit="1"/>
      <protection locked="0"/>
    </xf>
    <xf numFmtId="0" fontId="27" fillId="42" borderId="51" xfId="0" applyFont="1" applyFill="1" applyBorder="1" applyAlignment="1" applyProtection="1">
      <alignment horizontal="left" vertical="center" shrinkToFit="1"/>
      <protection locked="0"/>
    </xf>
    <xf numFmtId="0" fontId="27" fillId="42" borderId="52" xfId="0" applyFont="1" applyFill="1" applyBorder="1" applyAlignment="1" applyProtection="1">
      <alignment horizontal="left" vertical="center" shrinkToFit="1"/>
      <protection locked="0"/>
    </xf>
    <xf numFmtId="0" fontId="27" fillId="42" borderId="234" xfId="0" applyFont="1" applyFill="1" applyBorder="1" applyAlignment="1" applyProtection="1">
      <alignment horizontal="left" vertical="center" shrinkToFit="1"/>
      <protection locked="0"/>
    </xf>
    <xf numFmtId="0" fontId="27" fillId="0" borderId="10" xfId="0" applyFont="1" applyFill="1" applyBorder="1" applyAlignment="1" applyProtection="1">
      <alignment horizontal="left" vertical="center"/>
      <protection locked="0"/>
    </xf>
    <xf numFmtId="0" fontId="27" fillId="42" borderId="50" xfId="0" applyFont="1" applyFill="1" applyBorder="1" applyAlignment="1" applyProtection="1">
      <alignment horizontal="left" vertical="center"/>
      <protection locked="0"/>
    </xf>
    <xf numFmtId="0" fontId="27" fillId="42" borderId="36" xfId="0" applyFont="1" applyFill="1" applyBorder="1" applyAlignment="1" applyProtection="1">
      <alignment horizontal="left" vertical="center"/>
      <protection locked="0"/>
    </xf>
    <xf numFmtId="0" fontId="33" fillId="0" borderId="24" xfId="0" applyFont="1" applyFill="1" applyBorder="1" applyAlignment="1" applyProtection="1">
      <alignment horizontal="center" vertical="center"/>
      <protection locked="0" hidden="1"/>
    </xf>
    <xf numFmtId="0" fontId="33" fillId="0" borderId="59" xfId="0" applyFont="1" applyFill="1" applyBorder="1" applyAlignment="1" applyProtection="1">
      <alignment horizontal="center" vertical="center"/>
      <protection locked="0" hidden="1"/>
    </xf>
    <xf numFmtId="0" fontId="33" fillId="42" borderId="21" xfId="0" applyFont="1" applyFill="1" applyBorder="1" applyAlignment="1" applyProtection="1">
      <alignment horizontal="center" vertical="center"/>
      <protection locked="0" hidden="1"/>
    </xf>
    <xf numFmtId="0" fontId="39" fillId="24" borderId="218" xfId="0" applyFont="1" applyFill="1" applyBorder="1" applyAlignment="1" applyProtection="1">
      <alignment vertical="center" wrapText="1"/>
      <protection hidden="1"/>
    </xf>
    <xf numFmtId="0" fontId="39" fillId="24" borderId="207" xfId="0" applyFont="1" applyFill="1" applyBorder="1" applyAlignment="1" applyProtection="1">
      <alignment vertical="center" wrapText="1"/>
      <protection hidden="1"/>
    </xf>
    <xf numFmtId="0" fontId="39" fillId="24" borderId="208" xfId="0" applyFont="1" applyFill="1" applyBorder="1" applyAlignment="1" applyProtection="1">
      <alignment vertical="center" wrapText="1"/>
      <protection hidden="1"/>
    </xf>
    <xf numFmtId="0" fontId="27" fillId="0" borderId="53" xfId="0" applyFont="1" applyFill="1" applyBorder="1" applyAlignment="1" applyProtection="1">
      <alignment vertical="top" wrapText="1"/>
      <protection locked="0"/>
    </xf>
    <xf numFmtId="0" fontId="27" fillId="42" borderId="54" xfId="0" applyFont="1" applyFill="1" applyBorder="1" applyAlignment="1" applyProtection="1">
      <alignment vertical="top"/>
      <protection locked="0"/>
    </xf>
    <xf numFmtId="0" fontId="27" fillId="42" borderId="217" xfId="0" applyFont="1" applyFill="1" applyBorder="1" applyAlignment="1" applyProtection="1">
      <alignment vertical="top"/>
      <protection locked="0"/>
    </xf>
    <xf numFmtId="0" fontId="27" fillId="42" borderId="20" xfId="0" applyFont="1" applyFill="1" applyBorder="1" applyAlignment="1" applyProtection="1">
      <alignment vertical="top"/>
      <protection locked="0"/>
    </xf>
    <xf numFmtId="0" fontId="27" fillId="42" borderId="0" xfId="0" applyFont="1" applyFill="1" applyBorder="1" applyAlignment="1" applyProtection="1">
      <alignment vertical="top"/>
      <protection locked="0"/>
    </xf>
    <xf numFmtId="0" fontId="27" fillId="42" borderId="18" xfId="0" applyFont="1" applyFill="1" applyBorder="1" applyAlignment="1" applyProtection="1">
      <alignment vertical="top"/>
      <protection locked="0"/>
    </xf>
    <xf numFmtId="0" fontId="27" fillId="42" borderId="24" xfId="0" applyFont="1" applyFill="1" applyBorder="1" applyAlignment="1" applyProtection="1">
      <alignment vertical="top"/>
      <protection locked="0"/>
    </xf>
    <xf numFmtId="0" fontId="27" fillId="42" borderId="59" xfId="0" applyFont="1" applyFill="1" applyBorder="1" applyAlignment="1" applyProtection="1">
      <alignment vertical="top"/>
      <protection locked="0"/>
    </xf>
    <xf numFmtId="0" fontId="27" fillId="42" borderId="21" xfId="0" applyFont="1" applyFill="1" applyBorder="1" applyAlignment="1" applyProtection="1">
      <alignment vertical="top"/>
      <protection locked="0"/>
    </xf>
    <xf numFmtId="0" fontId="27" fillId="0" borderId="53" xfId="0" applyFont="1" applyFill="1" applyBorder="1" applyAlignment="1" applyProtection="1">
      <alignment horizontal="left" vertical="center"/>
      <protection locked="0"/>
    </xf>
    <xf numFmtId="0" fontId="27" fillId="42" borderId="54" xfId="0" applyFont="1" applyFill="1" applyBorder="1" applyAlignment="1" applyProtection="1">
      <alignment horizontal="left" vertical="center"/>
      <protection locked="0"/>
    </xf>
    <xf numFmtId="0" fontId="27" fillId="42" borderId="217" xfId="0" applyFont="1" applyFill="1" applyBorder="1" applyAlignment="1" applyProtection="1">
      <alignment horizontal="left" vertical="center"/>
      <protection locked="0"/>
    </xf>
    <xf numFmtId="0" fontId="27" fillId="24" borderId="10" xfId="0" applyFont="1" applyFill="1" applyBorder="1" applyAlignment="1" applyProtection="1">
      <alignment horizontal="left" vertical="center" shrinkToFit="1"/>
    </xf>
    <xf numFmtId="0" fontId="27" fillId="24" borderId="50" xfId="0" applyFont="1" applyFill="1" applyBorder="1" applyAlignment="1" applyProtection="1">
      <alignment horizontal="left" vertical="center" shrinkToFit="1"/>
    </xf>
    <xf numFmtId="0" fontId="27" fillId="24" borderId="36" xfId="0" applyFont="1" applyFill="1" applyBorder="1" applyAlignment="1" applyProtection="1">
      <alignment horizontal="left" vertical="center" shrinkToFit="1"/>
    </xf>
    <xf numFmtId="0" fontId="6" fillId="24" borderId="0" xfId="0" applyFont="1" applyFill="1" applyBorder="1" applyAlignment="1">
      <alignment horizontal="left" vertical="top" wrapText="1"/>
    </xf>
    <xf numFmtId="0" fontId="0" fillId="27" borderId="50" xfId="0" applyFill="1" applyBorder="1" applyAlignment="1" applyProtection="1">
      <alignment horizontal="left" vertical="top" wrapText="1"/>
      <protection locked="0"/>
    </xf>
    <xf numFmtId="0" fontId="0" fillId="27" borderId="52" xfId="0" applyFill="1" applyBorder="1" applyAlignment="1" applyProtection="1">
      <alignment horizontal="left" vertical="top" wrapText="1"/>
      <protection locked="0"/>
    </xf>
    <xf numFmtId="0" fontId="0" fillId="27" borderId="148" xfId="0" applyFill="1" applyBorder="1" applyAlignment="1" applyProtection="1">
      <alignment horizontal="left" vertical="top" wrapText="1"/>
      <protection locked="0"/>
    </xf>
    <xf numFmtId="0" fontId="0" fillId="27" borderId="149" xfId="0" applyFill="1" applyBorder="1" applyAlignment="1" applyProtection="1">
      <alignment horizontal="left" vertical="top" wrapText="1"/>
      <protection locked="0"/>
    </xf>
    <xf numFmtId="0" fontId="0" fillId="27" borderId="219" xfId="0" applyFill="1" applyBorder="1" applyAlignment="1" applyProtection="1">
      <alignment horizontal="left" vertical="top" wrapText="1"/>
      <protection locked="0"/>
    </xf>
    <xf numFmtId="0" fontId="0" fillId="27" borderId="220" xfId="0" applyFill="1" applyBorder="1" applyAlignment="1" applyProtection="1">
      <alignment horizontal="left" vertical="top" wrapText="1"/>
      <protection locked="0"/>
    </xf>
    <xf numFmtId="0" fontId="27" fillId="24" borderId="50" xfId="0" applyFont="1" applyFill="1" applyBorder="1" applyAlignment="1" applyProtection="1">
      <alignment horizontal="left" vertical="top" wrapText="1"/>
    </xf>
    <xf numFmtId="0" fontId="27" fillId="24" borderId="51" xfId="0" applyFont="1" applyFill="1" applyBorder="1" applyAlignment="1" applyProtection="1">
      <alignment horizontal="left" vertical="top" wrapText="1"/>
    </xf>
    <xf numFmtId="0" fontId="27" fillId="24" borderId="52" xfId="0" applyFont="1" applyFill="1" applyBorder="1" applyAlignment="1" applyProtection="1">
      <alignment horizontal="left" vertical="top" wrapText="1"/>
    </xf>
    <xf numFmtId="0" fontId="0" fillId="27" borderId="221" xfId="0" applyFill="1" applyBorder="1" applyAlignment="1" applyProtection="1">
      <alignment horizontal="left" vertical="top" wrapText="1"/>
      <protection locked="0"/>
    </xf>
    <xf numFmtId="0" fontId="0" fillId="27" borderId="222" xfId="0" applyFill="1" applyBorder="1" applyAlignment="1" applyProtection="1">
      <alignment horizontal="left" vertical="top" wrapText="1"/>
      <protection locked="0"/>
    </xf>
    <xf numFmtId="0" fontId="27" fillId="24" borderId="51" xfId="0" applyFont="1" applyFill="1" applyBorder="1" applyAlignment="1" applyProtection="1">
      <alignment vertical="center" shrinkToFit="1"/>
      <protection hidden="1"/>
    </xf>
    <xf numFmtId="0" fontId="0" fillId="0" borderId="51" xfId="0" applyBorder="1" applyAlignment="1">
      <alignment vertical="center" shrinkToFit="1"/>
    </xf>
    <xf numFmtId="0" fontId="27" fillId="0" borderId="59" xfId="0" applyFont="1" applyBorder="1" applyAlignment="1" applyProtection="1">
      <alignment horizontal="right" vertical="center" shrinkToFit="1"/>
    </xf>
    <xf numFmtId="182" fontId="25" fillId="24" borderId="79" xfId="0" applyNumberFormat="1" applyFont="1" applyFill="1" applyBorder="1" applyAlignment="1" applyProtection="1">
      <alignment horizontal="center" vertical="center" wrapText="1"/>
      <protection hidden="1"/>
    </xf>
    <xf numFmtId="182" fontId="25" fillId="24" borderId="80" xfId="0" applyNumberFormat="1" applyFont="1" applyFill="1" applyBorder="1" applyAlignment="1" applyProtection="1">
      <alignment horizontal="center" vertical="center" wrapText="1"/>
      <protection hidden="1"/>
    </xf>
    <xf numFmtId="182" fontId="28" fillId="24" borderId="82" xfId="0" applyNumberFormat="1" applyFont="1" applyFill="1" applyBorder="1" applyAlignment="1" applyProtection="1">
      <alignment horizontal="center" vertical="center" wrapText="1"/>
      <protection hidden="1"/>
    </xf>
    <xf numFmtId="182" fontId="28" fillId="24" borderId="80" xfId="0" applyNumberFormat="1" applyFont="1" applyFill="1" applyBorder="1" applyAlignment="1" applyProtection="1">
      <alignment horizontal="center" vertical="center" wrapText="1"/>
      <protection hidden="1"/>
    </xf>
    <xf numFmtId="0" fontId="27" fillId="43" borderId="73" xfId="0" applyFont="1" applyFill="1" applyBorder="1" applyAlignment="1" applyProtection="1">
      <alignment horizontal="left" vertical="center"/>
      <protection locked="0"/>
    </xf>
    <xf numFmtId="0" fontId="27" fillId="43" borderId="74" xfId="0" applyFont="1" applyFill="1" applyBorder="1" applyAlignment="1" applyProtection="1">
      <alignment horizontal="left" vertical="center"/>
      <protection locked="0"/>
    </xf>
    <xf numFmtId="0" fontId="27" fillId="43" borderId="135" xfId="0" applyFont="1" applyFill="1" applyBorder="1" applyAlignment="1" applyProtection="1">
      <alignment horizontal="left" vertical="center"/>
      <protection locked="0"/>
    </xf>
    <xf numFmtId="0" fontId="28" fillId="24" borderId="0" xfId="0" applyFont="1" applyFill="1" applyBorder="1" applyAlignment="1" applyProtection="1">
      <alignment horizontal="left" vertical="top" wrapText="1"/>
    </xf>
    <xf numFmtId="211" fontId="41" fillId="43" borderId="73" xfId="0" applyNumberFormat="1" applyFont="1" applyFill="1" applyBorder="1" applyAlignment="1" applyProtection="1">
      <alignment horizontal="center" vertical="center"/>
      <protection locked="0" hidden="1"/>
    </xf>
    <xf numFmtId="211" fontId="41" fillId="43" borderId="74" xfId="0" applyNumberFormat="1" applyFont="1" applyFill="1" applyBorder="1" applyAlignment="1" applyProtection="1">
      <alignment horizontal="center" vertical="center"/>
      <protection locked="0" hidden="1"/>
    </xf>
    <xf numFmtId="211" fontId="41" fillId="43" borderId="135" xfId="0" applyNumberFormat="1" applyFont="1" applyFill="1" applyBorder="1" applyAlignment="1" applyProtection="1">
      <alignment horizontal="center" vertical="center"/>
      <protection locked="0" hidden="1"/>
    </xf>
    <xf numFmtId="188" fontId="189" fillId="0" borderId="0" xfId="0" applyNumberFormat="1" applyFont="1" applyFill="1" applyBorder="1" applyAlignment="1" applyProtection="1">
      <alignment horizontal="center" vertical="center"/>
      <protection hidden="1"/>
    </xf>
    <xf numFmtId="188" fontId="189" fillId="0" borderId="88" xfId="0" applyNumberFormat="1" applyFont="1" applyFill="1" applyBorder="1" applyAlignment="1" applyProtection="1">
      <alignment horizontal="center" vertical="center"/>
      <protection hidden="1"/>
    </xf>
    <xf numFmtId="0" fontId="0" fillId="0" borderId="0" xfId="0">
      <alignment vertical="center"/>
    </xf>
    <xf numFmtId="0" fontId="35"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27" fillId="0" borderId="185" xfId="0" applyNumberFormat="1" applyFont="1" applyFill="1" applyBorder="1" applyAlignment="1" applyProtection="1">
      <alignment horizontal="left" vertical="center"/>
      <protection hidden="1"/>
    </xf>
    <xf numFmtId="0" fontId="0" fillId="0" borderId="54" xfId="0" applyBorder="1">
      <alignment vertical="center"/>
    </xf>
    <xf numFmtId="31" fontId="27" fillId="0" borderId="182" xfId="0" applyNumberFormat="1" applyFont="1" applyFill="1" applyBorder="1" applyAlignment="1" applyProtection="1">
      <alignment horizontal="left" vertical="center" shrinkToFit="1"/>
      <protection hidden="1"/>
    </xf>
    <xf numFmtId="0" fontId="0" fillId="0" borderId="119" xfId="0" applyBorder="1" applyAlignment="1">
      <alignment vertical="center" shrinkToFit="1"/>
    </xf>
    <xf numFmtId="55" fontId="27" fillId="0" borderId="182" xfId="0" applyNumberFormat="1" applyFont="1" applyFill="1" applyBorder="1" applyAlignment="1" applyProtection="1">
      <alignment horizontal="left" vertical="center"/>
      <protection hidden="1"/>
    </xf>
    <xf numFmtId="0" fontId="0" fillId="0" borderId="59" xfId="0" applyBorder="1">
      <alignment vertical="center"/>
    </xf>
    <xf numFmtId="0" fontId="28" fillId="0" borderId="185" xfId="0" applyFont="1" applyFill="1" applyBorder="1" applyAlignment="1" applyProtection="1">
      <alignment vertical="top" wrapText="1"/>
      <protection hidden="1"/>
    </xf>
    <xf numFmtId="0" fontId="28" fillId="0" borderId="54" xfId="0" applyFont="1" applyFill="1" applyBorder="1" applyAlignment="1" applyProtection="1">
      <alignment vertical="top" wrapText="1"/>
      <protection hidden="1"/>
    </xf>
    <xf numFmtId="0" fontId="28" fillId="0" borderId="114" xfId="0" applyFont="1" applyFill="1" applyBorder="1" applyAlignment="1" applyProtection="1">
      <alignment vertical="top" wrapText="1"/>
      <protection hidden="1"/>
    </xf>
    <xf numFmtId="0" fontId="28" fillId="0" borderId="183" xfId="0" applyFont="1" applyFill="1" applyBorder="1" applyAlignment="1" applyProtection="1">
      <alignment vertical="top" wrapText="1"/>
      <protection hidden="1"/>
    </xf>
    <xf numFmtId="0" fontId="28" fillId="0" borderId="0" xfId="0" applyFont="1" applyFill="1" applyBorder="1" applyAlignment="1" applyProtection="1">
      <alignment vertical="top" wrapText="1"/>
      <protection hidden="1"/>
    </xf>
    <xf numFmtId="0" fontId="28" fillId="0" borderId="88" xfId="0" applyFont="1" applyFill="1" applyBorder="1" applyAlignment="1" applyProtection="1">
      <alignment vertical="top" wrapText="1"/>
      <protection hidden="1"/>
    </xf>
    <xf numFmtId="0" fontId="28" fillId="0" borderId="193" xfId="0" applyFont="1" applyFill="1" applyBorder="1" applyAlignment="1" applyProtection="1">
      <alignment vertical="top" wrapText="1"/>
      <protection hidden="1"/>
    </xf>
    <xf numFmtId="0" fontId="28" fillId="0" borderId="156" xfId="0" applyFont="1" applyFill="1" applyBorder="1" applyAlignment="1" applyProtection="1">
      <alignment vertical="top" wrapText="1"/>
      <protection hidden="1"/>
    </xf>
    <xf numFmtId="0" fontId="28" fillId="0" borderId="112" xfId="0" applyFont="1" applyFill="1" applyBorder="1" applyAlignment="1" applyProtection="1">
      <alignment vertical="top" wrapText="1"/>
      <protection hidden="1"/>
    </xf>
    <xf numFmtId="0" fontId="28" fillId="0" borderId="55" xfId="0" applyFont="1" applyFill="1" applyBorder="1" applyAlignment="1" applyProtection="1">
      <alignment vertical="top" wrapText="1"/>
      <protection hidden="1"/>
    </xf>
    <xf numFmtId="0" fontId="28" fillId="0" borderId="153" xfId="0" applyFont="1" applyFill="1" applyBorder="1" applyAlignment="1" applyProtection="1">
      <alignment vertical="top" wrapText="1"/>
      <protection hidden="1"/>
    </xf>
    <xf numFmtId="0" fontId="28" fillId="0" borderId="177" xfId="0" applyFont="1" applyFill="1" applyBorder="1" applyAlignment="1" applyProtection="1">
      <alignment vertical="top" wrapText="1"/>
      <protection hidden="1"/>
    </xf>
    <xf numFmtId="0" fontId="186" fillId="35" borderId="243" xfId="0" applyFont="1" applyFill="1" applyBorder="1" applyAlignment="1" applyProtection="1">
      <alignment horizontal="center" vertical="center"/>
      <protection hidden="1"/>
    </xf>
    <xf numFmtId="0" fontId="186" fillId="35" borderId="241" xfId="0" applyFont="1" applyFill="1" applyBorder="1" applyAlignment="1" applyProtection="1">
      <alignment horizontal="center" vertical="center"/>
      <protection hidden="1"/>
    </xf>
    <xf numFmtId="9" fontId="189" fillId="0" borderId="0" xfId="0" applyNumberFormat="1" applyFont="1" applyFill="1" applyBorder="1" applyAlignment="1" applyProtection="1">
      <alignment horizontal="center" vertical="center"/>
      <protection hidden="1"/>
    </xf>
    <xf numFmtId="9" fontId="189" fillId="0" borderId="88" xfId="0" applyNumberFormat="1" applyFont="1" applyFill="1" applyBorder="1" applyAlignment="1" applyProtection="1">
      <alignment horizontal="center" vertical="center"/>
      <protection hidden="1"/>
    </xf>
    <xf numFmtId="0" fontId="186" fillId="35" borderId="244" xfId="0" applyFont="1" applyFill="1" applyBorder="1" applyAlignment="1" applyProtection="1">
      <alignment horizontal="center" vertical="center"/>
      <protection hidden="1"/>
    </xf>
    <xf numFmtId="0" fontId="7" fillId="24" borderId="54" xfId="46" applyFill="1" applyBorder="1" applyProtection="1">
      <alignment horizontal="left" vertical="center" indent="1"/>
      <protection hidden="1"/>
    </xf>
    <xf numFmtId="0" fontId="47" fillId="0" borderId="90" xfId="0" applyFont="1" applyFill="1" applyBorder="1"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0" fontId="47" fillId="0" borderId="88" xfId="0" applyFont="1" applyFill="1" applyBorder="1" applyAlignment="1" applyProtection="1">
      <alignment horizontal="left" vertical="center" wrapText="1"/>
      <protection hidden="1"/>
    </xf>
    <xf numFmtId="0" fontId="47" fillId="0" borderId="105" xfId="0" applyFont="1" applyFill="1" applyBorder="1" applyAlignment="1" applyProtection="1">
      <alignment horizontal="left" vertical="center" wrapText="1"/>
      <protection hidden="1"/>
    </xf>
    <xf numFmtId="0" fontId="47" fillId="0" borderId="156" xfId="0" applyFont="1" applyFill="1" applyBorder="1" applyAlignment="1" applyProtection="1">
      <alignment horizontal="left" vertical="center" wrapText="1"/>
      <protection hidden="1"/>
    </xf>
    <xf numFmtId="0" fontId="47" fillId="0" borderId="112" xfId="0" applyFont="1" applyFill="1" applyBorder="1" applyAlignment="1" applyProtection="1">
      <alignment horizontal="left" vertical="center" wrapText="1"/>
      <protection hidden="1"/>
    </xf>
    <xf numFmtId="0" fontId="47" fillId="0" borderId="20" xfId="0" applyFont="1" applyFill="1" applyBorder="1" applyAlignment="1" applyProtection="1">
      <alignment vertical="top" wrapText="1"/>
      <protection hidden="1"/>
    </xf>
    <xf numFmtId="0" fontId="47" fillId="0" borderId="0" xfId="0" applyFont="1" applyFill="1" applyBorder="1" applyAlignment="1" applyProtection="1">
      <alignment vertical="top" wrapText="1"/>
      <protection hidden="1"/>
    </xf>
    <xf numFmtId="0" fontId="47" fillId="0" borderId="88" xfId="0" applyFont="1" applyFill="1" applyBorder="1" applyAlignment="1" applyProtection="1">
      <alignment vertical="top" wrapText="1"/>
      <protection hidden="1"/>
    </xf>
    <xf numFmtId="0" fontId="47" fillId="0" borderId="120"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47" fillId="0" borderId="112" xfId="0" applyFont="1" applyFill="1" applyBorder="1" applyAlignment="1" applyProtection="1">
      <alignment vertical="top" wrapText="1"/>
      <protection hidden="1"/>
    </xf>
    <xf numFmtId="0" fontId="84" fillId="0" borderId="90" xfId="0" applyFont="1" applyFill="1" applyBorder="1" applyAlignment="1" applyProtection="1">
      <alignment horizontal="left" vertical="center" wrapText="1"/>
      <protection hidden="1"/>
    </xf>
    <xf numFmtId="0" fontId="84" fillId="0" borderId="0" xfId="0" applyFont="1" applyFill="1" applyBorder="1" applyAlignment="1" applyProtection="1">
      <alignment horizontal="left" vertical="center" wrapText="1"/>
      <protection hidden="1"/>
    </xf>
    <xf numFmtId="0" fontId="84" fillId="0" borderId="88" xfId="0" applyFont="1" applyFill="1" applyBorder="1" applyAlignment="1" applyProtection="1">
      <alignment horizontal="left" vertical="center" wrapText="1"/>
      <protection hidden="1"/>
    </xf>
    <xf numFmtId="0" fontId="84" fillId="0" borderId="105" xfId="0" applyFont="1" applyFill="1" applyBorder="1" applyAlignment="1" applyProtection="1">
      <alignment horizontal="left" vertical="center" wrapText="1"/>
      <protection hidden="1"/>
    </xf>
    <xf numFmtId="0" fontId="84" fillId="0" borderId="156" xfId="0" applyFont="1" applyFill="1" applyBorder="1" applyAlignment="1" applyProtection="1">
      <alignment horizontal="left" vertical="center" wrapText="1"/>
      <protection hidden="1"/>
    </xf>
    <xf numFmtId="0" fontId="84" fillId="0" borderId="112" xfId="0" applyFont="1" applyFill="1" applyBorder="1" applyAlignment="1" applyProtection="1">
      <alignment horizontal="left" vertical="center" wrapText="1"/>
      <protection hidden="1"/>
    </xf>
    <xf numFmtId="0" fontId="70" fillId="0" borderId="225" xfId="0" applyNumberFormat="1" applyFont="1" applyFill="1" applyBorder="1" applyAlignment="1" applyProtection="1">
      <alignment horizontal="center" vertical="center"/>
      <protection hidden="1"/>
    </xf>
    <xf numFmtId="0" fontId="70" fillId="0" borderId="226" xfId="0" applyNumberFormat="1" applyFont="1" applyFill="1" applyBorder="1" applyAlignment="1" applyProtection="1">
      <alignment horizontal="center" vertical="center"/>
      <protection hidden="1"/>
    </xf>
    <xf numFmtId="0" fontId="70" fillId="0" borderId="227" xfId="0" applyNumberFormat="1" applyFont="1" applyFill="1" applyBorder="1" applyAlignment="1" applyProtection="1">
      <alignment horizontal="center" vertical="center"/>
      <protection hidden="1"/>
    </xf>
    <xf numFmtId="0" fontId="47" fillId="0" borderId="120" xfId="0" applyFont="1" applyFill="1" applyBorder="1" applyAlignment="1" applyProtection="1">
      <alignment horizontal="left" vertical="top" wrapText="1"/>
      <protection hidden="1"/>
    </xf>
    <xf numFmtId="0" fontId="47" fillId="42" borderId="156" xfId="0" applyFont="1" applyFill="1" applyBorder="1" applyAlignment="1" applyProtection="1">
      <alignment horizontal="left" vertical="top" wrapText="1"/>
      <protection hidden="1"/>
    </xf>
    <xf numFmtId="0" fontId="47" fillId="42" borderId="112" xfId="0" applyFont="1" applyFill="1" applyBorder="1" applyAlignment="1" applyProtection="1">
      <alignment horizontal="left" vertical="top" wrapText="1"/>
      <protection hidden="1"/>
    </xf>
    <xf numFmtId="0" fontId="27" fillId="0" borderId="54" xfId="0" applyNumberFormat="1" applyFont="1" applyFill="1" applyBorder="1" applyAlignment="1" applyProtection="1">
      <alignment vertical="top" wrapText="1"/>
      <protection hidden="1"/>
    </xf>
    <xf numFmtId="0" fontId="27" fillId="0" borderId="114" xfId="0" applyNumberFormat="1" applyFont="1" applyFill="1" applyBorder="1" applyAlignment="1" applyProtection="1">
      <alignment vertical="top" wrapText="1"/>
      <protection hidden="1"/>
    </xf>
    <xf numFmtId="0" fontId="27" fillId="0" borderId="0" xfId="0" applyNumberFormat="1" applyFont="1" applyFill="1" applyBorder="1" applyAlignment="1" applyProtection="1">
      <alignment vertical="top" wrapText="1"/>
      <protection hidden="1"/>
    </xf>
    <xf numFmtId="0" fontId="27" fillId="0" borderId="88" xfId="0" applyNumberFormat="1" applyFont="1" applyFill="1" applyBorder="1" applyAlignment="1" applyProtection="1">
      <alignment vertical="top" wrapText="1"/>
      <protection hidden="1"/>
    </xf>
    <xf numFmtId="0" fontId="27" fillId="0" borderId="0" xfId="0" applyNumberFormat="1" applyFont="1" applyFill="1" applyBorder="1" applyAlignment="1" applyProtection="1">
      <alignment vertical="top" wrapText="1"/>
      <protection locked="0"/>
    </xf>
    <xf numFmtId="0" fontId="27" fillId="0" borderId="88" xfId="0" applyNumberFormat="1" applyFont="1" applyFill="1" applyBorder="1" applyAlignment="1" applyProtection="1">
      <alignment vertical="top" wrapText="1"/>
      <protection locked="0"/>
    </xf>
    <xf numFmtId="0" fontId="30" fillId="0" borderId="0" xfId="0" applyNumberFormat="1" applyFont="1" applyFill="1" applyBorder="1" applyAlignment="1" applyProtection="1">
      <alignment vertical="center" shrinkToFit="1"/>
      <protection hidden="1"/>
    </xf>
    <xf numFmtId="0" fontId="30" fillId="0" borderId="88" xfId="0" applyNumberFormat="1" applyFont="1" applyFill="1" applyBorder="1" applyAlignment="1" applyProtection="1">
      <alignment vertical="center" shrinkToFit="1"/>
      <protection hidden="1"/>
    </xf>
    <xf numFmtId="0" fontId="47" fillId="0" borderId="59" xfId="0" applyFont="1" applyFill="1" applyBorder="1" applyAlignment="1" applyProtection="1">
      <alignment horizontal="left" vertical="top" wrapText="1"/>
      <protection hidden="1"/>
    </xf>
    <xf numFmtId="0" fontId="47" fillId="42" borderId="59" xfId="0" applyFont="1" applyFill="1" applyBorder="1" applyAlignment="1" applyProtection="1">
      <alignment horizontal="left" vertical="top" wrapText="1"/>
      <protection hidden="1"/>
    </xf>
    <xf numFmtId="0" fontId="47" fillId="42" borderId="119" xfId="0" applyFont="1" applyFill="1" applyBorder="1" applyAlignment="1" applyProtection="1">
      <alignment horizontal="left" vertical="top" wrapText="1"/>
      <protection hidden="1"/>
    </xf>
    <xf numFmtId="0" fontId="47" fillId="0" borderId="24" xfId="0" applyFont="1" applyFill="1" applyBorder="1" applyAlignment="1" applyProtection="1">
      <alignment horizontal="left" vertical="top" wrapText="1"/>
      <protection hidden="1"/>
    </xf>
    <xf numFmtId="55" fontId="30" fillId="0" borderId="0" xfId="0" applyNumberFormat="1" applyFont="1" applyFill="1" applyBorder="1" applyAlignment="1" applyProtection="1">
      <alignment horizontal="left" vertical="center"/>
      <protection locked="0"/>
    </xf>
    <xf numFmtId="55" fontId="30" fillId="42" borderId="0" xfId="0" applyNumberFormat="1" applyFont="1" applyFill="1" applyBorder="1" applyAlignment="1" applyProtection="1">
      <alignment horizontal="left" vertical="center"/>
      <protection locked="0"/>
    </xf>
    <xf numFmtId="0" fontId="47" fillId="0" borderId="83" xfId="0" applyFont="1" applyFill="1" applyBorder="1" applyAlignment="1" applyProtection="1">
      <alignment horizontal="left" vertical="top" wrapText="1"/>
      <protection hidden="1"/>
    </xf>
    <xf numFmtId="0" fontId="7" fillId="24" borderId="45" xfId="29" applyFill="1" applyBorder="1" applyProtection="1">
      <alignment horizontal="left" vertical="center" indent="1"/>
      <protection hidden="1"/>
    </xf>
    <xf numFmtId="0" fontId="47" fillId="0" borderId="83" xfId="0" applyFont="1" applyFill="1" applyBorder="1" applyAlignment="1">
      <alignment horizontal="left" vertical="top" wrapText="1"/>
    </xf>
    <xf numFmtId="0" fontId="47" fillId="0" borderId="59" xfId="0" applyFont="1" applyFill="1" applyBorder="1" applyAlignment="1">
      <alignment horizontal="left" vertical="top" wrapText="1"/>
    </xf>
    <xf numFmtId="0" fontId="47" fillId="0" borderId="60" xfId="0" applyFont="1" applyFill="1" applyBorder="1" applyAlignment="1">
      <alignment horizontal="left" vertical="top" wrapText="1"/>
    </xf>
    <xf numFmtId="0" fontId="47" fillId="0" borderId="105" xfId="0" applyFont="1" applyFill="1" applyBorder="1" applyAlignment="1" applyProtection="1">
      <alignment horizontal="left" vertical="top" wrapText="1"/>
      <protection hidden="1"/>
    </xf>
    <xf numFmtId="0" fontId="47" fillId="42" borderId="177" xfId="0" applyFont="1" applyFill="1" applyBorder="1" applyAlignment="1" applyProtection="1">
      <alignment horizontal="left" vertical="top" wrapText="1"/>
      <protection hidden="1"/>
    </xf>
    <xf numFmtId="176" fontId="158" fillId="0" borderId="0" xfId="35" applyNumberFormat="1" applyFont="1" applyFill="1" applyBorder="1" applyAlignment="1" applyProtection="1">
      <alignment horizontal="center" vertical="center"/>
      <protection hidden="1"/>
    </xf>
    <xf numFmtId="176" fontId="158" fillId="42" borderId="0" xfId="35" applyNumberFormat="1" applyFont="1" applyFill="1" applyBorder="1" applyAlignment="1" applyProtection="1">
      <alignment horizontal="center" vertical="center"/>
      <protection hidden="1"/>
    </xf>
    <xf numFmtId="176" fontId="160" fillId="0" borderId="0" xfId="35" applyNumberFormat="1" applyFont="1" applyFill="1" applyBorder="1" applyAlignment="1" applyProtection="1">
      <alignment horizontal="center" vertical="center"/>
      <protection hidden="1"/>
    </xf>
    <xf numFmtId="176" fontId="160" fillId="42" borderId="156" xfId="35" applyNumberFormat="1" applyFont="1" applyFill="1" applyBorder="1" applyAlignment="1" applyProtection="1">
      <alignment horizontal="center" vertical="center"/>
      <protection hidden="1"/>
    </xf>
    <xf numFmtId="0" fontId="151" fillId="0" borderId="0" xfId="0" applyFont="1" applyFill="1" applyBorder="1" applyAlignment="1" applyProtection="1">
      <alignment horizontal="right" vertical="center"/>
      <protection hidden="1"/>
    </xf>
    <xf numFmtId="0" fontId="152" fillId="42" borderId="0" xfId="0" applyFont="1" applyFill="1" applyBorder="1" applyAlignment="1">
      <alignment horizontal="right" vertical="center"/>
    </xf>
    <xf numFmtId="0" fontId="41" fillId="0" borderId="0" xfId="0" applyFont="1" applyFill="1" applyBorder="1" applyAlignment="1" applyProtection="1">
      <alignment horizontal="center" vertical="center"/>
      <protection hidden="1"/>
    </xf>
    <xf numFmtId="0" fontId="41" fillId="42" borderId="0" xfId="0" applyFont="1" applyFill="1" applyBorder="1" applyAlignment="1" applyProtection="1">
      <alignment horizontal="center" vertical="center"/>
      <protection hidden="1"/>
    </xf>
    <xf numFmtId="0" fontId="79" fillId="0" borderId="0" xfId="0" applyFont="1" applyFill="1" applyBorder="1" applyAlignment="1" applyProtection="1">
      <alignment horizontal="right" vertical="center" shrinkToFit="1"/>
      <protection hidden="1"/>
    </xf>
    <xf numFmtId="0" fontId="79" fillId="42" borderId="0" xfId="0" applyFont="1" applyFill="1" applyBorder="1" applyAlignment="1" applyProtection="1">
      <alignment horizontal="right" vertical="center" shrinkToFit="1"/>
      <protection hidden="1"/>
    </xf>
    <xf numFmtId="0" fontId="41" fillId="42" borderId="156" xfId="0" applyFont="1" applyFill="1" applyBorder="1" applyAlignment="1" applyProtection="1">
      <alignment horizontal="center" vertical="center"/>
      <protection hidden="1"/>
    </xf>
    <xf numFmtId="0" fontId="79" fillId="42" borderId="156" xfId="0" applyFont="1" applyFill="1" applyBorder="1" applyAlignment="1" applyProtection="1">
      <alignment horizontal="right" vertical="center" shrinkToFit="1"/>
      <protection hidden="1"/>
    </xf>
    <xf numFmtId="0" fontId="151" fillId="0" borderId="0" xfId="0" applyFont="1" applyFill="1" applyBorder="1" applyAlignment="1">
      <alignment horizontal="right" vertical="center"/>
    </xf>
    <xf numFmtId="0" fontId="47" fillId="0" borderId="119" xfId="0" applyFont="1" applyFill="1" applyBorder="1" applyAlignment="1">
      <alignment horizontal="left" vertical="top" wrapText="1"/>
    </xf>
    <xf numFmtId="0" fontId="47" fillId="0" borderId="105" xfId="0" applyFont="1" applyFill="1" applyBorder="1" applyAlignment="1" applyProtection="1">
      <alignment vertical="top" wrapText="1"/>
      <protection hidden="1"/>
    </xf>
    <xf numFmtId="0" fontId="190" fillId="0" borderId="0" xfId="0" applyFont="1" applyAlignment="1">
      <alignment horizontal="center" vertical="center"/>
    </xf>
    <xf numFmtId="179" fontId="28" fillId="0" borderId="131" xfId="0" applyNumberFormat="1" applyFont="1" applyFill="1" applyBorder="1" applyAlignment="1" applyProtection="1">
      <alignment horizontal="left" vertical="top" wrapText="1"/>
      <protection locked="0"/>
    </xf>
    <xf numFmtId="179" fontId="28" fillId="0" borderId="99" xfId="0" applyNumberFormat="1" applyFont="1" applyFill="1" applyBorder="1" applyAlignment="1" applyProtection="1">
      <alignment horizontal="left" vertical="top" wrapText="1"/>
      <protection locked="0"/>
    </xf>
    <xf numFmtId="179" fontId="28" fillId="0" borderId="223" xfId="0" applyNumberFormat="1" applyFont="1" applyFill="1" applyBorder="1" applyAlignment="1" applyProtection="1">
      <alignment horizontal="left" vertical="top" wrapText="1"/>
      <protection locked="0"/>
    </xf>
    <xf numFmtId="179" fontId="28" fillId="0" borderId="90" xfId="0" applyNumberFormat="1" applyFont="1" applyFill="1" applyBorder="1" applyAlignment="1" applyProtection="1">
      <alignment horizontal="left" vertical="top" wrapText="1"/>
      <protection locked="0"/>
    </xf>
    <xf numFmtId="179" fontId="28" fillId="0" borderId="0" xfId="0" applyNumberFormat="1" applyFont="1" applyFill="1" applyBorder="1" applyAlignment="1" applyProtection="1">
      <alignment horizontal="left" vertical="top" wrapText="1"/>
      <protection locked="0"/>
    </xf>
    <xf numFmtId="179" fontId="28" fillId="0" borderId="88" xfId="0" applyNumberFormat="1" applyFont="1" applyFill="1" applyBorder="1" applyAlignment="1" applyProtection="1">
      <alignment horizontal="left" vertical="top" wrapText="1"/>
      <protection locked="0"/>
    </xf>
    <xf numFmtId="179" fontId="28" fillId="0" borderId="153" xfId="0" applyNumberFormat="1" applyFont="1" applyFill="1" applyBorder="1" applyAlignment="1" applyProtection="1">
      <alignment horizontal="left" vertical="top" wrapText="1"/>
      <protection locked="0"/>
    </xf>
    <xf numFmtId="179" fontId="28" fillId="0" borderId="83" xfId="0" applyNumberFormat="1" applyFont="1" applyFill="1" applyBorder="1" applyAlignment="1" applyProtection="1">
      <alignment horizontal="left" vertical="top" wrapText="1"/>
      <protection locked="0"/>
    </xf>
    <xf numFmtId="179" fontId="28" fillId="0" borderId="59" xfId="0" applyNumberFormat="1" applyFont="1" applyFill="1" applyBorder="1" applyAlignment="1" applyProtection="1">
      <alignment horizontal="left" vertical="top" wrapText="1"/>
      <protection locked="0"/>
    </xf>
    <xf numFmtId="179" fontId="28" fillId="0" borderId="119" xfId="0" applyNumberFormat="1" applyFont="1" applyFill="1" applyBorder="1" applyAlignment="1" applyProtection="1">
      <alignment horizontal="left" vertical="top" wrapText="1"/>
      <protection locked="0"/>
    </xf>
    <xf numFmtId="179" fontId="28" fillId="0" borderId="86" xfId="0" applyNumberFormat="1" applyFont="1" applyFill="1" applyBorder="1" applyAlignment="1" applyProtection="1">
      <alignment horizontal="left" vertical="center" wrapText="1"/>
      <protection locked="0"/>
    </xf>
    <xf numFmtId="0" fontId="7" fillId="24" borderId="41" xfId="29" applyFill="1" applyBorder="1" applyAlignment="1" applyProtection="1">
      <alignment horizontal="left" vertical="center" wrapText="1" indent="1"/>
      <protection hidden="1"/>
    </xf>
    <xf numFmtId="179" fontId="28" fillId="0" borderId="52" xfId="0" applyNumberFormat="1" applyFont="1" applyFill="1" applyBorder="1" applyAlignment="1" applyProtection="1">
      <alignment horizontal="left" vertical="center" wrapText="1"/>
      <protection locked="0"/>
    </xf>
    <xf numFmtId="179" fontId="28" fillId="0" borderId="104" xfId="0" applyNumberFormat="1" applyFont="1" applyFill="1" applyBorder="1" applyAlignment="1" applyProtection="1">
      <alignment horizontal="left" vertical="top" wrapText="1"/>
      <protection locked="0"/>
    </xf>
    <xf numFmtId="179" fontId="28" fillId="0" borderId="54" xfId="0" applyNumberFormat="1" applyFont="1" applyFill="1" applyBorder="1" applyAlignment="1" applyProtection="1">
      <alignment horizontal="left" vertical="top" wrapText="1"/>
      <protection locked="0"/>
    </xf>
    <xf numFmtId="179" fontId="28" fillId="0" borderId="55" xfId="0" applyNumberFormat="1" applyFont="1" applyFill="1" applyBorder="1" applyAlignment="1" applyProtection="1">
      <alignment horizontal="left" vertical="top" wrapText="1"/>
      <protection locked="0"/>
    </xf>
    <xf numFmtId="179" fontId="28" fillId="0" borderId="105" xfId="0" applyNumberFormat="1" applyFont="1" applyFill="1" applyBorder="1" applyAlignment="1" applyProtection="1">
      <alignment horizontal="left" vertical="top" wrapText="1"/>
      <protection locked="0"/>
    </xf>
    <xf numFmtId="179" fontId="28" fillId="0" borderId="156" xfId="0" applyNumberFormat="1" applyFont="1" applyFill="1" applyBorder="1" applyAlignment="1" applyProtection="1">
      <alignment horizontal="left" vertical="top" wrapText="1"/>
      <protection locked="0"/>
    </xf>
    <xf numFmtId="179" fontId="28" fillId="0" borderId="112" xfId="0" applyNumberFormat="1" applyFont="1" applyFill="1" applyBorder="1" applyAlignment="1" applyProtection="1">
      <alignment horizontal="left" vertical="top" wrapText="1"/>
      <protection locked="0"/>
    </xf>
    <xf numFmtId="179" fontId="37" fillId="26" borderId="123" xfId="0" applyNumberFormat="1" applyFont="1" applyFill="1" applyBorder="1" applyAlignment="1" applyProtection="1">
      <alignment horizontal="left" vertical="center"/>
      <protection hidden="1"/>
    </xf>
    <xf numFmtId="179" fontId="37" fillId="26" borderId="124" xfId="0" applyNumberFormat="1" applyFont="1" applyFill="1" applyBorder="1" applyAlignment="1" applyProtection="1">
      <alignment horizontal="left" vertical="center"/>
      <protection hidden="1"/>
    </xf>
    <xf numFmtId="179" fontId="37" fillId="26" borderId="174" xfId="0" applyNumberFormat="1" applyFont="1" applyFill="1" applyBorder="1" applyAlignment="1" applyProtection="1">
      <alignment horizontal="left" vertical="center"/>
      <protection hidden="1"/>
    </xf>
    <xf numFmtId="179" fontId="28" fillId="0" borderId="86" xfId="0" applyNumberFormat="1" applyFont="1" applyFill="1" applyBorder="1" applyAlignment="1" applyProtection="1">
      <alignment horizontal="left" vertical="top" wrapText="1"/>
      <protection locked="0"/>
    </xf>
    <xf numFmtId="179" fontId="28" fillId="0" borderId="51" xfId="0" applyNumberFormat="1" applyFont="1" applyFill="1" applyBorder="1" applyAlignment="1" applyProtection="1">
      <alignment horizontal="left" vertical="top" wrapText="1"/>
      <protection locked="0"/>
    </xf>
    <xf numFmtId="179" fontId="28" fillId="0" borderId="52" xfId="0" applyNumberFormat="1" applyFont="1" applyFill="1" applyBorder="1" applyAlignment="1" applyProtection="1">
      <alignment horizontal="left" vertical="top" wrapText="1"/>
      <protection locked="0"/>
    </xf>
    <xf numFmtId="179" fontId="37" fillId="0" borderId="105" xfId="0" applyNumberFormat="1" applyFont="1" applyFill="1" applyBorder="1" applyAlignment="1" applyProtection="1">
      <alignment horizontal="left" vertical="center"/>
      <protection locked="0"/>
    </xf>
    <xf numFmtId="179" fontId="37" fillId="46" borderId="156" xfId="0" applyNumberFormat="1" applyFont="1" applyFill="1" applyBorder="1" applyAlignment="1" applyProtection="1">
      <alignment horizontal="left" vertical="center"/>
      <protection locked="0"/>
    </xf>
    <xf numFmtId="179" fontId="37" fillId="46" borderId="177" xfId="0" applyNumberFormat="1" applyFont="1" applyFill="1" applyBorder="1" applyAlignment="1" applyProtection="1">
      <alignment horizontal="left" vertical="center"/>
      <protection locked="0"/>
    </xf>
    <xf numFmtId="179" fontId="37" fillId="30" borderId="75" xfId="0" applyNumberFormat="1" applyFont="1" applyFill="1" applyBorder="1" applyAlignment="1" applyProtection="1">
      <alignment horizontal="left" vertical="center"/>
      <protection hidden="1"/>
    </xf>
    <xf numFmtId="179" fontId="37" fillId="30" borderId="81" xfId="0" applyNumberFormat="1" applyFont="1" applyFill="1" applyBorder="1" applyAlignment="1" applyProtection="1">
      <alignment horizontal="left" vertical="center"/>
      <protection hidden="1"/>
    </xf>
    <xf numFmtId="179" fontId="37" fillId="30" borderId="140" xfId="0" applyNumberFormat="1" applyFont="1" applyFill="1" applyBorder="1" applyAlignment="1" applyProtection="1">
      <alignment horizontal="left" vertical="center"/>
      <protection hidden="1"/>
    </xf>
    <xf numFmtId="179" fontId="28" fillId="0" borderId="85" xfId="0" applyNumberFormat="1" applyFont="1" applyFill="1" applyBorder="1" applyAlignment="1" applyProtection="1">
      <alignment horizontal="left" vertical="top" wrapText="1"/>
      <protection locked="0"/>
    </xf>
    <xf numFmtId="179" fontId="28" fillId="0" borderId="131" xfId="0" applyNumberFormat="1" applyFont="1" applyFill="1" applyBorder="1" applyAlignment="1" applyProtection="1">
      <alignment horizontal="left" vertical="center" wrapText="1"/>
      <protection locked="0"/>
    </xf>
    <xf numFmtId="179" fontId="28" fillId="0" borderId="99" xfId="0" applyNumberFormat="1" applyFont="1" applyFill="1" applyBorder="1" applyAlignment="1" applyProtection="1">
      <alignment horizontal="left" vertical="center" wrapText="1"/>
      <protection locked="0"/>
    </xf>
    <xf numFmtId="179" fontId="28" fillId="0" borderId="223" xfId="0" applyNumberFormat="1" applyFont="1" applyFill="1" applyBorder="1" applyAlignment="1" applyProtection="1">
      <alignment horizontal="left" vertical="center" wrapText="1"/>
      <protection locked="0"/>
    </xf>
    <xf numFmtId="179" fontId="37" fillId="28" borderId="73" xfId="0" applyNumberFormat="1" applyFont="1" applyFill="1" applyBorder="1" applyAlignment="1" applyProtection="1">
      <alignment horizontal="center" vertical="center"/>
      <protection hidden="1"/>
    </xf>
    <xf numFmtId="179" fontId="37" fillId="28" borderId="135" xfId="0" applyNumberFormat="1" applyFont="1" applyFill="1" applyBorder="1" applyAlignment="1" applyProtection="1">
      <alignment horizontal="center" vertical="center"/>
      <protection hidden="1"/>
    </xf>
    <xf numFmtId="182" fontId="15" fillId="24" borderId="75" xfId="0" applyNumberFormat="1" applyFont="1" applyFill="1" applyBorder="1" applyAlignment="1" applyProtection="1">
      <alignment horizontal="center" vertical="top"/>
      <protection hidden="1"/>
    </xf>
    <xf numFmtId="182" fontId="15" fillId="24" borderId="110" xfId="0" applyNumberFormat="1" applyFont="1" applyFill="1" applyBorder="1" applyAlignment="1" applyProtection="1">
      <alignment horizontal="center" vertical="top"/>
      <protection hidden="1"/>
    </xf>
    <xf numFmtId="179" fontId="28" fillId="0" borderId="104" xfId="0" applyNumberFormat="1" applyFont="1" applyFill="1" applyBorder="1" applyAlignment="1" applyProtection="1">
      <alignment horizontal="left" vertical="center" wrapText="1"/>
      <protection locked="0"/>
    </xf>
    <xf numFmtId="179" fontId="28" fillId="0" borderId="54" xfId="0" applyNumberFormat="1" applyFont="1" applyFill="1" applyBorder="1" applyAlignment="1" applyProtection="1">
      <alignment horizontal="left" vertical="center" wrapText="1"/>
      <protection locked="0"/>
    </xf>
    <xf numFmtId="179" fontId="28" fillId="0" borderId="55" xfId="0" applyNumberFormat="1" applyFont="1" applyFill="1" applyBorder="1" applyAlignment="1" applyProtection="1">
      <alignment horizontal="left" vertical="center" wrapText="1"/>
      <protection locked="0"/>
    </xf>
    <xf numFmtId="179" fontId="28" fillId="0" borderId="114" xfId="0" applyNumberFormat="1" applyFont="1" applyFill="1" applyBorder="1" applyAlignment="1" applyProtection="1">
      <alignment horizontal="left" vertical="top" wrapText="1"/>
      <protection locked="0"/>
    </xf>
    <xf numFmtId="179" fontId="37" fillId="26" borderId="92" xfId="0" applyNumberFormat="1" applyFont="1" applyFill="1" applyBorder="1" applyAlignment="1" applyProtection="1">
      <alignment horizontal="left" vertical="center"/>
      <protection hidden="1"/>
    </xf>
    <xf numFmtId="179" fontId="37" fillId="26" borderId="127" xfId="0" applyNumberFormat="1" applyFont="1" applyFill="1" applyBorder="1" applyAlignment="1" applyProtection="1">
      <alignment horizontal="left" vertical="center"/>
      <protection hidden="1"/>
    </xf>
    <xf numFmtId="179" fontId="37" fillId="26" borderId="224" xfId="0" applyNumberFormat="1" applyFont="1" applyFill="1" applyBorder="1" applyAlignment="1" applyProtection="1">
      <alignment horizontal="left" vertical="center"/>
      <protection hidden="1"/>
    </xf>
    <xf numFmtId="0" fontId="0" fillId="0" borderId="0" xfId="0" applyAlignment="1" applyProtection="1">
      <alignment horizontal="left" vertical="top" wrapText="1"/>
      <protection locked="0"/>
    </xf>
    <xf numFmtId="0" fontId="0" fillId="0" borderId="88" xfId="0" applyBorder="1" applyAlignment="1" applyProtection="1">
      <alignment horizontal="left" vertical="top" wrapText="1"/>
      <protection locked="0"/>
    </xf>
    <xf numFmtId="0" fontId="86" fillId="0" borderId="105" xfId="0" applyNumberFormat="1" applyFont="1" applyFill="1" applyBorder="1" applyAlignment="1" applyProtection="1">
      <alignment horizontal="left" vertical="center" shrinkToFit="1"/>
      <protection hidden="1"/>
    </xf>
    <xf numFmtId="0" fontId="86" fillId="0" borderId="156" xfId="0" applyNumberFormat="1" applyFont="1" applyFill="1" applyBorder="1" applyAlignment="1" applyProtection="1">
      <alignment horizontal="left" vertical="center" shrinkToFit="1"/>
      <protection hidden="1"/>
    </xf>
    <xf numFmtId="0" fontId="86" fillId="0" borderId="112" xfId="0" applyNumberFormat="1" applyFont="1" applyFill="1" applyBorder="1" applyAlignment="1" applyProtection="1">
      <alignment horizontal="left" vertical="center" shrinkToFit="1"/>
      <protection hidden="1"/>
    </xf>
    <xf numFmtId="0" fontId="27" fillId="24" borderId="213" xfId="0" applyFont="1" applyFill="1" applyBorder="1" applyAlignment="1" applyProtection="1">
      <alignment vertical="center" shrinkToFit="1"/>
      <protection hidden="1"/>
    </xf>
    <xf numFmtId="0" fontId="0" fillId="0" borderId="122" xfId="0" applyBorder="1" applyAlignment="1">
      <alignment vertical="center" shrinkToFit="1"/>
    </xf>
    <xf numFmtId="0" fontId="27" fillId="24" borderId="50" xfId="0" applyFont="1" applyFill="1" applyBorder="1" applyAlignment="1" applyProtection="1">
      <alignment vertical="center" shrinkToFit="1"/>
      <protection hidden="1"/>
    </xf>
    <xf numFmtId="0" fontId="0" fillId="0" borderId="51" xfId="0" applyBorder="1" applyAlignment="1">
      <alignment vertical="center"/>
    </xf>
    <xf numFmtId="0" fontId="27" fillId="24" borderId="50" xfId="0" applyFont="1" applyFill="1" applyBorder="1" applyAlignment="1" applyProtection="1">
      <alignment vertical="center"/>
      <protection hidden="1"/>
    </xf>
    <xf numFmtId="0" fontId="27" fillId="24" borderId="50" xfId="0" applyFont="1" applyFill="1" applyBorder="1" applyAlignment="1" applyProtection="1">
      <alignment horizontal="left" vertical="center" shrinkToFit="1"/>
      <protection hidden="1"/>
    </xf>
    <xf numFmtId="0" fontId="27" fillId="24" borderId="51" xfId="0" applyFont="1" applyFill="1" applyBorder="1" applyAlignment="1" applyProtection="1">
      <alignment horizontal="left" vertical="center" shrinkToFit="1"/>
      <protection hidden="1"/>
    </xf>
    <xf numFmtId="179" fontId="28" fillId="34" borderId="83" xfId="0" applyNumberFormat="1" applyFont="1" applyFill="1" applyBorder="1" applyAlignment="1" applyProtection="1">
      <alignment horizontal="left" vertical="center" wrapText="1"/>
      <protection locked="0"/>
    </xf>
    <xf numFmtId="179" fontId="28" fillId="34" borderId="59" xfId="0" applyNumberFormat="1" applyFont="1" applyFill="1" applyBorder="1" applyAlignment="1" applyProtection="1">
      <alignment horizontal="left" vertical="center" wrapText="1"/>
      <protection locked="0"/>
    </xf>
    <xf numFmtId="179" fontId="28" fillId="34" borderId="60" xfId="0" applyNumberFormat="1" applyFont="1" applyFill="1" applyBorder="1" applyAlignment="1" applyProtection="1">
      <alignment horizontal="left" vertical="center" wrapText="1"/>
      <protection locked="0"/>
    </xf>
    <xf numFmtId="0" fontId="6" fillId="0" borderId="0" xfId="0" applyFont="1" applyAlignment="1">
      <alignment vertical="center" wrapText="1"/>
    </xf>
    <xf numFmtId="214" fontId="83" fillId="27" borderId="259" xfId="0" applyNumberFormat="1" applyFont="1" applyFill="1" applyBorder="1" applyAlignment="1">
      <alignment vertical="center"/>
    </xf>
    <xf numFmtId="214" fontId="83" fillId="27" borderId="132" xfId="0" applyNumberFormat="1" applyFont="1" applyFill="1" applyBorder="1" applyAlignment="1">
      <alignment vertical="center"/>
    </xf>
    <xf numFmtId="214" fontId="83" fillId="27" borderId="71" xfId="0" applyNumberFormat="1" applyFont="1" applyFill="1" applyBorder="1" applyAlignment="1">
      <alignment vertical="center"/>
    </xf>
    <xf numFmtId="215" fontId="83" fillId="27" borderId="260" xfId="0" applyNumberFormat="1" applyFont="1" applyFill="1" applyBorder="1" applyAlignment="1">
      <alignment vertical="center"/>
    </xf>
    <xf numFmtId="215" fontId="83" fillId="27" borderId="236" xfId="0" applyNumberFormat="1" applyFont="1" applyFill="1" applyBorder="1" applyAlignment="1">
      <alignment vertical="center"/>
    </xf>
    <xf numFmtId="215" fontId="83" fillId="27" borderId="204" xfId="0" applyNumberFormat="1" applyFont="1" applyFill="1" applyBorder="1" applyAlignment="1">
      <alignment vertical="center"/>
    </xf>
    <xf numFmtId="0" fontId="6" fillId="41" borderId="132" xfId="0" applyFont="1" applyFill="1" applyBorder="1" applyAlignment="1">
      <alignment horizontal="center" vertical="center"/>
    </xf>
    <xf numFmtId="0" fontId="6" fillId="41" borderId="71" xfId="0" applyFont="1" applyFill="1" applyBorder="1" applyAlignment="1">
      <alignment horizontal="center" vertical="center"/>
    </xf>
    <xf numFmtId="0" fontId="48" fillId="35" borderId="105" xfId="0" applyNumberFormat="1" applyFont="1" applyFill="1" applyBorder="1" applyAlignment="1" applyProtection="1">
      <alignment vertical="center"/>
      <protection hidden="1"/>
    </xf>
    <xf numFmtId="0" fontId="48" fillId="35" borderId="156" xfId="0" applyNumberFormat="1" applyFont="1" applyFill="1" applyBorder="1" applyAlignment="1" applyProtection="1">
      <alignment vertical="center"/>
      <protection hidden="1"/>
    </xf>
    <xf numFmtId="31" fontId="2" fillId="35" borderId="156" xfId="0" applyNumberFormat="1" applyFont="1" applyFill="1" applyBorder="1" applyAlignment="1">
      <alignment horizontal="center" vertical="center"/>
    </xf>
    <xf numFmtId="0" fontId="2" fillId="35" borderId="156" xfId="0" applyFont="1" applyFill="1" applyBorder="1" applyAlignment="1">
      <alignment horizontal="center" vertical="center"/>
    </xf>
    <xf numFmtId="0" fontId="2" fillId="35" borderId="112" xfId="0" applyFont="1" applyFill="1" applyBorder="1" applyAlignment="1">
      <alignment horizontal="center" vertical="center"/>
    </xf>
    <xf numFmtId="3" fontId="32" fillId="53" borderId="73" xfId="0" applyNumberFormat="1" applyFont="1" applyFill="1" applyBorder="1" applyAlignment="1" applyProtection="1">
      <alignment horizontal="center" vertical="center"/>
      <protection hidden="1"/>
    </xf>
    <xf numFmtId="3" fontId="32" fillId="53" borderId="135" xfId="0" applyNumberFormat="1" applyFont="1" applyFill="1" applyBorder="1" applyAlignment="1" applyProtection="1">
      <alignment horizontal="center" vertical="center"/>
      <protection hidden="1"/>
    </xf>
    <xf numFmtId="0" fontId="4" fillId="35" borderId="249" xfId="0" applyFont="1" applyFill="1" applyBorder="1" applyAlignment="1">
      <alignment horizontal="center" vertical="center" wrapText="1"/>
    </xf>
    <xf numFmtId="0" fontId="4" fillId="35" borderId="255" xfId="0" applyFont="1" applyFill="1" applyBorder="1" applyAlignment="1">
      <alignment horizontal="center" vertical="center" wrapText="1"/>
    </xf>
    <xf numFmtId="0" fontId="4" fillId="35" borderId="250" xfId="0" applyFont="1" applyFill="1" applyBorder="1" applyAlignment="1">
      <alignment horizontal="center" vertical="center" wrapText="1"/>
    </xf>
    <xf numFmtId="0" fontId="4" fillId="35" borderId="256" xfId="0" applyFont="1" applyFill="1" applyBorder="1" applyAlignment="1">
      <alignment horizontal="center" vertical="center" wrapText="1"/>
    </xf>
    <xf numFmtId="0" fontId="27" fillId="27" borderId="23" xfId="0" applyFont="1" applyFill="1" applyBorder="1" applyAlignment="1" applyProtection="1">
      <alignment horizontal="center" vertical="center"/>
      <protection locked="0"/>
    </xf>
    <xf numFmtId="0" fontId="27" fillId="27" borderId="61" xfId="0" applyFont="1" applyFill="1" applyBorder="1" applyAlignment="1" applyProtection="1">
      <alignment horizontal="center" vertical="center"/>
      <protection locked="0"/>
    </xf>
    <xf numFmtId="0" fontId="27" fillId="27" borderId="22" xfId="0" applyFont="1" applyFill="1" applyBorder="1" applyAlignment="1" applyProtection="1">
      <alignment horizontal="center" vertical="center"/>
      <protection locked="0"/>
    </xf>
    <xf numFmtId="0" fontId="27" fillId="24" borderId="61" xfId="0" applyFont="1" applyFill="1" applyBorder="1" applyAlignment="1">
      <alignment horizontal="center" vertical="center" wrapText="1"/>
    </xf>
    <xf numFmtId="0" fontId="27" fillId="24" borderId="2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50" xfId="0" applyFont="1" applyFill="1" applyBorder="1" applyAlignment="1">
      <alignment horizontal="center" vertical="center"/>
    </xf>
    <xf numFmtId="0" fontId="27" fillId="24" borderId="52" xfId="0" applyFont="1" applyFill="1" applyBorder="1" applyAlignment="1">
      <alignment horizontal="center" vertical="center"/>
    </xf>
    <xf numFmtId="0" fontId="27" fillId="24" borderId="23" xfId="0" applyFont="1" applyFill="1" applyBorder="1" applyAlignment="1">
      <alignment horizontal="center" vertical="center" wrapText="1"/>
    </xf>
    <xf numFmtId="0" fontId="27" fillId="24" borderId="61" xfId="0" applyFont="1" applyFill="1" applyBorder="1" applyAlignment="1">
      <alignment horizontal="center" vertical="center"/>
    </xf>
    <xf numFmtId="0" fontId="27" fillId="24" borderId="22" xfId="0" applyFont="1" applyFill="1" applyBorder="1" applyAlignment="1">
      <alignment horizontal="center"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42" borderId="0" xfId="0" applyFont="1" applyFill="1" applyBorder="1" applyAlignment="1" applyProtection="1">
      <alignment horizontal="left" vertical="center"/>
    </xf>
    <xf numFmtId="0" fontId="86" fillId="0" borderId="105" xfId="0" applyNumberFormat="1" applyFont="1" applyFill="1" applyBorder="1" applyAlignment="1" applyProtection="1">
      <alignment horizontal="left" vertical="center" shrinkToFit="1"/>
    </xf>
    <xf numFmtId="0" fontId="86" fillId="0" borderId="156" xfId="0" applyNumberFormat="1" applyFont="1" applyFill="1" applyBorder="1" applyAlignment="1" applyProtection="1">
      <alignment horizontal="left" vertical="center" shrinkToFit="1"/>
    </xf>
    <xf numFmtId="0" fontId="86" fillId="0" borderId="112" xfId="0" applyNumberFormat="1" applyFont="1" applyFill="1" applyBorder="1" applyAlignment="1" applyProtection="1">
      <alignment horizontal="left" vertical="center" shrinkToFit="1"/>
    </xf>
    <xf numFmtId="0" fontId="6" fillId="38" borderId="53" xfId="0" applyFont="1" applyFill="1" applyBorder="1" applyAlignment="1" applyProtection="1">
      <alignment horizontal="center" vertical="center"/>
      <protection hidden="1"/>
    </xf>
    <xf numFmtId="0" fontId="6" fillId="38" borderId="55" xfId="0" applyFont="1" applyFill="1" applyBorder="1" applyAlignment="1" applyProtection="1">
      <alignment horizontal="center" vertical="center"/>
      <protection hidden="1"/>
    </xf>
    <xf numFmtId="0" fontId="6" fillId="38" borderId="24" xfId="0" applyFont="1" applyFill="1" applyBorder="1" applyAlignment="1" applyProtection="1">
      <alignment horizontal="center" vertical="center"/>
      <protection hidden="1"/>
    </xf>
    <xf numFmtId="0" fontId="6" fillId="38" borderId="60" xfId="0" applyFont="1" applyFill="1" applyBorder="1" applyAlignment="1" applyProtection="1">
      <alignment horizontal="center" vertical="center"/>
      <protection hidden="1"/>
    </xf>
    <xf numFmtId="2" fontId="27" fillId="38" borderId="10" xfId="0" applyNumberFormat="1" applyFont="1" applyFill="1" applyBorder="1" applyAlignment="1" applyProtection="1">
      <alignment horizontal="center"/>
      <protection hidden="1"/>
    </xf>
    <xf numFmtId="2" fontId="27" fillId="38" borderId="23" xfId="0" applyNumberFormat="1" applyFont="1" applyFill="1" applyBorder="1" applyAlignment="1" applyProtection="1">
      <alignment horizontal="center"/>
      <protection hidden="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表示済みのハイパーリンク" xfId="46" builtinId="9"/>
    <cellStyle name="良い" xfId="47" builtinId="26" customBuiltin="1"/>
  </cellStyles>
  <dxfs count="368">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font>
      <fill>
        <patternFill>
          <bgColor indexed="47"/>
        </patternFill>
      </fill>
    </dxf>
    <dxf>
      <font>
        <condense val="0"/>
        <extend val="0"/>
      </font>
      <fill>
        <patternFill>
          <bgColor indexed="47"/>
        </patternFill>
      </fill>
    </dxf>
    <dxf>
      <font>
        <condense val="0"/>
        <extend val="0"/>
      </font>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FF0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24994659260841701"/>
        </patternFill>
      </fill>
    </dxf>
    <dxf>
      <fill>
        <patternFill>
          <bgColor theme="0" tint="-0.34998626667073579"/>
        </patternFill>
      </fill>
    </dxf>
    <dxf>
      <fill>
        <patternFill>
          <bgColor indexed="27"/>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indexed="27"/>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s>
  <tableStyles count="0" defaultTableStyle="TableStyleMedium2" defaultPivotStyle="PivotStyleLight16"/>
  <colors>
    <mruColors>
      <color rgb="FFC0C0C0"/>
      <color rgb="FF00FFFF"/>
      <color rgb="FFCCFFFF"/>
      <color rgb="FF00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15.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image" Target="../media/image12.png"/></Relationships>
</file>

<file path=xl/charts/_rels/chart21.xml.rels><?xml version="1.0" encoding="UTF-8" standalone="yes"?>
<Relationships xmlns="http://schemas.openxmlformats.org/package/2006/relationships"><Relationship Id="rId1" Type="http://schemas.openxmlformats.org/officeDocument/2006/relationships/image" Target="../media/image12.png"/></Relationships>
</file>

<file path=xl/charts/_rels/chart22.xml.rels><?xml version="1.0" encoding="UTF-8" standalone="yes"?>
<Relationships xmlns="http://schemas.openxmlformats.org/package/2006/relationships"><Relationship Id="rId1" Type="http://schemas.openxmlformats.org/officeDocument/2006/relationships/image" Target="../media/image12.png"/></Relationships>
</file>

<file path=xl/charts/_rels/chart23.xml.rels><?xml version="1.0" encoding="UTF-8" standalone="yes"?>
<Relationships xmlns="http://schemas.openxmlformats.org/package/2006/relationships"><Relationship Id="rId1" Type="http://schemas.openxmlformats.org/officeDocument/2006/relationships/image" Target="../media/image12.png"/></Relationships>
</file>

<file path=xl/charts/_rels/chart24.xml.rels><?xml version="1.0" encoding="UTF-8" standalone="yes"?>
<Relationships xmlns="http://schemas.openxmlformats.org/package/2006/relationships"><Relationship Id="rId1" Type="http://schemas.openxmlformats.org/officeDocument/2006/relationships/image" Target="../media/image12.png"/></Relationships>
</file>

<file path=xl/charts/_rels/chart25.xml.rels><?xml version="1.0" encoding="UTF-8" standalone="yes"?>
<Relationships xmlns="http://schemas.openxmlformats.org/package/2006/relationships"><Relationship Id="rId1" Type="http://schemas.openxmlformats.org/officeDocument/2006/relationships/image" Target="../media/image15.png"/></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1.xml.rels><?xml version="1.0" encoding="UTF-8" standalone="yes"?>
<Relationships xmlns="http://schemas.openxmlformats.org/package/2006/relationships"><Relationship Id="rId1" Type="http://schemas.openxmlformats.org/officeDocument/2006/relationships/image" Target="../media/image15.png"/></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3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7.xml.rels><?xml version="1.0" encoding="UTF-8" standalone="yes"?>
<Relationships xmlns="http://schemas.openxmlformats.org/package/2006/relationships"><Relationship Id="rId1" Type="http://schemas.openxmlformats.org/officeDocument/2006/relationships/image" Target="../media/image12.png"/></Relationships>
</file>

<file path=xl/charts/_rels/chart38.xml.rels><?xml version="1.0" encoding="UTF-8" standalone="yes"?>
<Relationships xmlns="http://schemas.openxmlformats.org/package/2006/relationships"><Relationship Id="rId1" Type="http://schemas.openxmlformats.org/officeDocument/2006/relationships/image" Target="../media/image12.png"/></Relationships>
</file>

<file path=xl/charts/_rels/chart39.xml.rels><?xml version="1.0" encoding="UTF-8" standalone="yes"?>
<Relationships xmlns="http://schemas.openxmlformats.org/package/2006/relationships"><Relationship Id="rId1" Type="http://schemas.openxmlformats.org/officeDocument/2006/relationships/image" Target="../media/image12.png"/></Relationships>
</file>

<file path=xl/charts/_rels/chart4.xml.rels><?xml version="1.0" encoding="UTF-8" standalone="yes"?>
<Relationships xmlns="http://schemas.openxmlformats.org/package/2006/relationships"><Relationship Id="rId1" Type="http://schemas.openxmlformats.org/officeDocument/2006/relationships/image" Target="../media/image12.png"/></Relationships>
</file>

<file path=xl/charts/_rels/chart40.xml.rels><?xml version="1.0" encoding="UTF-8" standalone="yes"?>
<Relationships xmlns="http://schemas.openxmlformats.org/package/2006/relationships"><Relationship Id="rId1" Type="http://schemas.openxmlformats.org/officeDocument/2006/relationships/image" Target="../media/image12.png"/></Relationships>
</file>

<file path=xl/charts/_rels/chart41.xml.rels><?xml version="1.0" encoding="UTF-8" standalone="yes"?>
<Relationships xmlns="http://schemas.openxmlformats.org/package/2006/relationships"><Relationship Id="rId1" Type="http://schemas.openxmlformats.org/officeDocument/2006/relationships/image" Target="../media/image12.png"/></Relationships>
</file>

<file path=xl/charts/_rels/chart42.xml.rels><?xml version="1.0" encoding="UTF-8" standalone="yes"?>
<Relationships xmlns="http://schemas.openxmlformats.org/package/2006/relationships"><Relationship Id="rId1" Type="http://schemas.openxmlformats.org/officeDocument/2006/relationships/image" Target="../media/image15.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5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5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3.xml.rels><?xml version="1.0" encoding="UTF-8" standalone="yes"?>
<Relationships xmlns="http://schemas.openxmlformats.org/package/2006/relationships"><Relationship Id="rId1" Type="http://schemas.openxmlformats.org/officeDocument/2006/relationships/image" Target="../media/image15.png"/></Relationships>
</file>

<file path=xl/charts/_rels/chart5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5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8.xml.rels><?xml version="1.0" encoding="UTF-8" standalone="yes"?>
<Relationships xmlns="http://schemas.openxmlformats.org/package/2006/relationships"><Relationship Id="rId1" Type="http://schemas.openxmlformats.org/officeDocument/2006/relationships/image" Target="../media/image12.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11406844106463E-2"/>
          <c:y val="8.3334463629335248E-2"/>
          <c:w val="0.93916349809885935"/>
          <c:h val="0.861122790836464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'結果(改修後)'!$S$16</c:f>
              <c:numCache>
                <c:formatCode>#,##0.0;[Red]\-#,##0.0</c:formatCode>
                <c:ptCount val="1"/>
                <c:pt idx="0">
                  <c:v>0.4</c:v>
                </c:pt>
              </c:numCache>
            </c:numRef>
          </c:val>
        </c:ser>
        <c:dLbls>
          <c:showLegendKey val="0"/>
          <c:showVal val="0"/>
          <c:showCatName val="0"/>
          <c:showSerName val="0"/>
          <c:showPercent val="0"/>
          <c:showBubbleSize val="0"/>
        </c:dLbls>
        <c:gapWidth val="50"/>
        <c:overlap val="100"/>
        <c:axId val="104601472"/>
        <c:axId val="104603008"/>
      </c:barChart>
      <c:catAx>
        <c:axId val="104601472"/>
        <c:scaling>
          <c:orientation val="minMax"/>
        </c:scaling>
        <c:delete val="1"/>
        <c:axPos val="l"/>
        <c:numFmt formatCode="General" sourceLinked="1"/>
        <c:majorTickMark val="out"/>
        <c:minorTickMark val="none"/>
        <c:tickLblPos val="nextTo"/>
        <c:crossAx val="104603008"/>
        <c:crosses val="autoZero"/>
        <c:auto val="1"/>
        <c:lblAlgn val="ctr"/>
        <c:lblOffset val="100"/>
        <c:noMultiLvlLbl val="0"/>
      </c:catAx>
      <c:valAx>
        <c:axId val="104603008"/>
        <c:scaling>
          <c:orientation val="minMax"/>
        </c:scaling>
        <c:delete val="1"/>
        <c:axPos val="b"/>
        <c:numFmt formatCode="0%" sourceLinked="1"/>
        <c:majorTickMark val="out"/>
        <c:minorTickMark val="none"/>
        <c:tickLblPos val="nextTo"/>
        <c:crossAx val="1046014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54983922829579E-2"/>
          <c:y val="8.2840476032255542E-2"/>
          <c:w val="0.909967845659164"/>
          <c:h val="0.7278127537119594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'結果(改修後)'!$U$59:$U$61</c:f>
              <c:strCache>
                <c:ptCount val="3"/>
                <c:pt idx="0">
                  <c:v>水資源</c:v>
                </c:pt>
                <c:pt idx="1">
                  <c:v>非再生性材料の削減</c:v>
                </c:pt>
                <c:pt idx="2">
                  <c:v>汚染物質回避</c:v>
                </c:pt>
              </c:strCache>
            </c:strRef>
          </c:cat>
          <c:val>
            <c:numRef>
              <c:f>'結果(改修後)'!$V$59:$V$61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6353664"/>
        <c:axId val="116359552"/>
      </c:barChart>
      <c:catAx>
        <c:axId val="116353664"/>
        <c:scaling>
          <c:orientation val="minMax"/>
        </c:scaling>
        <c:delete val="0"/>
        <c:axPos val="b"/>
        <c:numFmt formatCode="General" sourceLinked="1"/>
        <c:majorTickMark val="none"/>
        <c:minorTickMark val="none"/>
        <c:tickLblPos val="none"/>
        <c:spPr>
          <a:ln w="3175">
            <a:solidFill>
              <a:srgbClr val="000000"/>
            </a:solidFill>
            <a:prstDash val="solid"/>
          </a:ln>
        </c:spPr>
        <c:crossAx val="116359552"/>
        <c:crossesAt val="0"/>
        <c:auto val="1"/>
        <c:lblAlgn val="ctr"/>
        <c:lblOffset val="100"/>
        <c:tickMarkSkip val="1"/>
        <c:noMultiLvlLbl val="0"/>
      </c:catAx>
      <c:valAx>
        <c:axId val="1163595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3536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96942111858494E-2"/>
          <c:y val="8.2352941176470587E-2"/>
          <c:w val="0.92330649459144132"/>
          <c:h val="0.72352941176470587"/>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'結果(改修後)'!$R$59:$R$62</c:f>
              <c:strCache>
                <c:ptCount val="4"/>
                <c:pt idx="0">
                  <c:v>熱負荷抑制</c:v>
                </c:pt>
                <c:pt idx="1">
                  <c:v>自然ｴﾈﾙｷﾞｰ</c:v>
                </c:pt>
                <c:pt idx="2">
                  <c:v>設備の効率的利用</c:v>
                </c:pt>
                <c:pt idx="3">
                  <c:v>運用ﾏﾈｼﾞﾒﾝﾄ</c:v>
                </c:pt>
              </c:strCache>
            </c:strRef>
          </c:cat>
          <c:val>
            <c:numRef>
              <c:f>'結果(改修後)'!$S$59:$S$62</c:f>
              <c:numCache>
                <c:formatCode>0.0_ </c:formatCode>
                <c:ptCount val="4"/>
                <c:pt idx="0">
                  <c:v>4</c:v>
                </c:pt>
                <c:pt idx="1">
                  <c:v>3</c:v>
                </c:pt>
                <c:pt idx="2">
                  <c:v>4</c:v>
                </c:pt>
                <c:pt idx="3">
                  <c:v>3</c:v>
                </c:pt>
              </c:numCache>
            </c:numRef>
          </c:val>
        </c:ser>
        <c:dLbls>
          <c:showLegendKey val="0"/>
          <c:showVal val="1"/>
          <c:showCatName val="0"/>
          <c:showSerName val="0"/>
          <c:showPercent val="0"/>
          <c:showBubbleSize val="0"/>
        </c:dLbls>
        <c:gapWidth val="40"/>
        <c:axId val="116415488"/>
        <c:axId val="116429568"/>
      </c:barChart>
      <c:catAx>
        <c:axId val="116415488"/>
        <c:scaling>
          <c:orientation val="minMax"/>
        </c:scaling>
        <c:delete val="0"/>
        <c:axPos val="b"/>
        <c:numFmt formatCode="General" sourceLinked="1"/>
        <c:majorTickMark val="none"/>
        <c:minorTickMark val="none"/>
        <c:tickLblPos val="none"/>
        <c:spPr>
          <a:ln w="3175">
            <a:solidFill>
              <a:srgbClr val="000000"/>
            </a:solidFill>
            <a:prstDash val="solid"/>
          </a:ln>
        </c:spPr>
        <c:crossAx val="116429568"/>
        <c:crossesAt val="0"/>
        <c:auto val="1"/>
        <c:lblAlgn val="ctr"/>
        <c:lblOffset val="100"/>
        <c:tickMarkSkip val="1"/>
        <c:noMultiLvlLbl val="0"/>
      </c:catAx>
      <c:valAx>
        <c:axId val="116429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4154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'結果(改修後)'!$R$48:$R$51</c:f>
              <c:strCache>
                <c:ptCount val="4"/>
                <c:pt idx="0">
                  <c:v>音環境</c:v>
                </c:pt>
                <c:pt idx="1">
                  <c:v>温熱環境</c:v>
                </c:pt>
                <c:pt idx="2">
                  <c:v>光・視環境</c:v>
                </c:pt>
                <c:pt idx="3">
                  <c:v>空気質環境</c:v>
                </c:pt>
              </c:strCache>
            </c:strRef>
          </c:cat>
          <c:val>
            <c:numRef>
              <c:f>'結果(改修後)'!$S$48:$S$51</c:f>
              <c:numCache>
                <c:formatCode>0.0_ </c:formatCode>
                <c:ptCount val="4"/>
                <c:pt idx="0">
                  <c:v>3</c:v>
                </c:pt>
                <c:pt idx="1">
                  <c:v>3</c:v>
                </c:pt>
                <c:pt idx="2">
                  <c:v>3</c:v>
                </c:pt>
                <c:pt idx="3">
                  <c:v>3</c:v>
                </c:pt>
              </c:numCache>
            </c:numRef>
          </c:val>
        </c:ser>
        <c:dLbls>
          <c:showLegendKey val="0"/>
          <c:showVal val="1"/>
          <c:showCatName val="0"/>
          <c:showSerName val="0"/>
          <c:showPercent val="0"/>
          <c:showBubbleSize val="0"/>
        </c:dLbls>
        <c:gapWidth val="40"/>
        <c:axId val="117014528"/>
        <c:axId val="117016064"/>
      </c:barChart>
      <c:catAx>
        <c:axId val="117014528"/>
        <c:scaling>
          <c:orientation val="minMax"/>
        </c:scaling>
        <c:delete val="0"/>
        <c:axPos val="b"/>
        <c:numFmt formatCode="General" sourceLinked="1"/>
        <c:majorTickMark val="none"/>
        <c:minorTickMark val="none"/>
        <c:tickLblPos val="none"/>
        <c:spPr>
          <a:ln w="3175">
            <a:solidFill>
              <a:srgbClr val="000000"/>
            </a:solidFill>
            <a:prstDash val="solid"/>
          </a:ln>
        </c:spPr>
        <c:crossAx val="117016064"/>
        <c:crossesAt val="0"/>
        <c:auto val="1"/>
        <c:lblAlgn val="ctr"/>
        <c:lblOffset val="100"/>
        <c:tickMarkSkip val="1"/>
        <c:noMultiLvlLbl val="0"/>
      </c:catAx>
      <c:valAx>
        <c:axId val="1170160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014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78488384247132E-2"/>
          <c:y val="8.3832335329341312E-2"/>
          <c:w val="0.91131770629571118"/>
          <c:h val="0.71257485029940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'結果(改修後)'!$X$48:$X$50</c:f>
              <c:strCache>
                <c:ptCount val="3"/>
                <c:pt idx="0">
                  <c:v>生物環境</c:v>
                </c:pt>
                <c:pt idx="1">
                  <c:v>まちなみ景観</c:v>
                </c:pt>
                <c:pt idx="2">
                  <c:v>地域性・文化</c:v>
                </c:pt>
              </c:strCache>
            </c:strRef>
          </c:cat>
          <c:val>
            <c:numRef>
              <c:f>'結果(改修後)'!$Y$48:$Y$50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7064064"/>
        <c:axId val="117065600"/>
      </c:barChart>
      <c:catAx>
        <c:axId val="117064064"/>
        <c:scaling>
          <c:orientation val="minMax"/>
        </c:scaling>
        <c:delete val="0"/>
        <c:axPos val="b"/>
        <c:numFmt formatCode="General" sourceLinked="1"/>
        <c:majorTickMark val="none"/>
        <c:minorTickMark val="none"/>
        <c:tickLblPos val="none"/>
        <c:spPr>
          <a:ln w="3175">
            <a:solidFill>
              <a:srgbClr val="000000"/>
            </a:solidFill>
            <a:prstDash val="solid"/>
          </a:ln>
        </c:spPr>
        <c:crossAx val="117065600"/>
        <c:crossesAt val="0"/>
        <c:auto val="1"/>
        <c:lblAlgn val="ctr"/>
        <c:lblOffset val="100"/>
        <c:tickMarkSkip val="1"/>
        <c:noMultiLvlLbl val="0"/>
      </c:catAx>
      <c:valAx>
        <c:axId val="117065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064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88683958848006"/>
          <c:y val="0.16455721629811162"/>
          <c:w val="0.57364485839808022"/>
          <c:h val="0.70253273111886116"/>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'結果(改修後)'!$Z$9:$Z$14</c:f>
              <c:numCache>
                <c:formatCode>General</c:formatCode>
                <c:ptCount val="6"/>
                <c:pt idx="0">
                  <c:v>3</c:v>
                </c:pt>
                <c:pt idx="1">
                  <c:v>3</c:v>
                </c:pt>
                <c:pt idx="2">
                  <c:v>3.1</c:v>
                </c:pt>
                <c:pt idx="3">
                  <c:v>3</c:v>
                </c:pt>
                <c:pt idx="4">
                  <c:v>3.7</c:v>
                </c:pt>
                <c:pt idx="5">
                  <c:v>3</c:v>
                </c:pt>
              </c:numCache>
            </c:numRef>
          </c:val>
        </c:ser>
        <c:ser>
          <c:idx val="4"/>
          <c:order val="4"/>
          <c:spPr>
            <a:noFill/>
            <a:ln w="12700">
              <a:solidFill>
                <a:srgbClr val="FF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'結果(改修後)'!$AA$9:$AA$14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117122944"/>
        <c:axId val="117124480"/>
      </c:radarChart>
      <c:catAx>
        <c:axId val="11712294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17124480"/>
        <c:crosses val="autoZero"/>
        <c:auto val="0"/>
        <c:lblAlgn val="ctr"/>
        <c:lblOffset val="100"/>
        <c:noMultiLvlLbl val="0"/>
      </c:catAx>
      <c:valAx>
        <c:axId val="117124480"/>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17122944"/>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'結果(改修後)'!$U$48:$U$50</c:f>
              <c:strCache>
                <c:ptCount val="3"/>
                <c:pt idx="0">
                  <c:v>機能性</c:v>
                </c:pt>
                <c:pt idx="1">
                  <c:v>耐用性・信頼性</c:v>
                </c:pt>
                <c:pt idx="2">
                  <c:v>対応性･更新性</c:v>
                </c:pt>
              </c:strCache>
            </c:strRef>
          </c:cat>
          <c:val>
            <c:numRef>
              <c:f>'結果(改修後)'!$V$48:$V$50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7166848"/>
        <c:axId val="117168384"/>
      </c:barChart>
      <c:catAx>
        <c:axId val="117166848"/>
        <c:scaling>
          <c:orientation val="minMax"/>
        </c:scaling>
        <c:delete val="0"/>
        <c:axPos val="b"/>
        <c:numFmt formatCode="General" sourceLinked="1"/>
        <c:majorTickMark val="none"/>
        <c:minorTickMark val="none"/>
        <c:tickLblPos val="none"/>
        <c:spPr>
          <a:ln w="3175">
            <a:solidFill>
              <a:srgbClr val="000000"/>
            </a:solidFill>
            <a:prstDash val="solid"/>
          </a:ln>
        </c:spPr>
        <c:crossAx val="117168384"/>
        <c:crossesAt val="0"/>
        <c:auto val="1"/>
        <c:lblAlgn val="ctr"/>
        <c:lblOffset val="100"/>
        <c:tickMarkSkip val="1"/>
        <c:noMultiLvlLbl val="0"/>
      </c:catAx>
      <c:valAx>
        <c:axId val="1171683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1668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2"/>
          <c:tx>
            <c:strRef>
              <c:f>'結果(改修後)'!$S$29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'結果(改修後)'!$T$29:$Z$29</c:f>
              <c:numCache>
                <c:formatCode>General</c:formatCode>
                <c:ptCount val="7"/>
                <c:pt idx="0">
                  <c:v>100</c:v>
                </c:pt>
                <c:pt idx="1">
                  <c:v>100</c:v>
                </c:pt>
                <c:pt idx="2">
                  <c:v>100</c:v>
                </c:pt>
                <c:pt idx="3">
                  <c:v>100</c:v>
                </c:pt>
                <c:pt idx="4">
                  <c:v>100</c:v>
                </c:pt>
                <c:pt idx="5">
                  <c:v>100</c:v>
                </c:pt>
                <c:pt idx="6">
                  <c:v>100</c:v>
                </c:pt>
              </c:numCache>
            </c:numRef>
          </c:val>
        </c:ser>
        <c:ser>
          <c:idx val="3"/>
          <c:order val="3"/>
          <c:tx>
            <c:strRef>
              <c:f>'結果(改修後)'!$S$30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'結果(改修後)'!$T$30:$Z$30</c:f>
              <c:numCache>
                <c:formatCode>General</c:formatCode>
                <c:ptCount val="7"/>
                <c:pt idx="0">
                  <c:v>50</c:v>
                </c:pt>
                <c:pt idx="1">
                  <c:v>50</c:v>
                </c:pt>
                <c:pt idx="2">
                  <c:v>100</c:v>
                </c:pt>
                <c:pt idx="3">
                  <c:v>100</c:v>
                </c:pt>
                <c:pt idx="4">
                  <c:v>100</c:v>
                </c:pt>
                <c:pt idx="5">
                  <c:v>100</c:v>
                </c:pt>
                <c:pt idx="6">
                  <c:v>100</c:v>
                </c:pt>
              </c:numCache>
            </c:numRef>
          </c:val>
        </c:ser>
        <c:ser>
          <c:idx val="2"/>
          <c:order val="4"/>
          <c:tx>
            <c:strRef>
              <c:f>'結果(改修後)'!$S$31</c:f>
              <c:strCache>
                <c:ptCount val="1"/>
                <c:pt idx="0">
                  <c:v>B+</c:v>
                </c:pt>
              </c:strCache>
            </c:strRef>
          </c:tx>
          <c:spPr>
            <a:solidFill>
              <a:srgbClr val="FFFFCC"/>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'結果(改修後)'!$T$31:$Z$31</c:f>
              <c:numCache>
                <c:formatCode>General</c:formatCode>
                <c:ptCount val="7"/>
                <c:pt idx="0">
                  <c:v>0</c:v>
                </c:pt>
                <c:pt idx="1">
                  <c:v>25</c:v>
                </c:pt>
                <c:pt idx="2">
                  <c:v>50</c:v>
                </c:pt>
                <c:pt idx="3">
                  <c:v>75</c:v>
                </c:pt>
                <c:pt idx="4">
                  <c:v>100</c:v>
                </c:pt>
                <c:pt idx="5">
                  <c:v>100</c:v>
                </c:pt>
                <c:pt idx="6">
                  <c:v>100</c:v>
                </c:pt>
              </c:numCache>
            </c:numRef>
          </c:val>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6"/>
          <c:tx>
            <c:strRef>
              <c:f>'結果(改修後)'!$S$32</c:f>
              <c:strCache>
                <c:ptCount val="1"/>
                <c:pt idx="0">
                  <c:v>B</c:v>
                </c:pt>
              </c:strCache>
            </c:strRef>
          </c:tx>
          <c:spPr>
            <a:no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118373376"/>
        <c:axId val="118387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ser>
        <c:ser>
          <c:idx val="5"/>
          <c:order val="1"/>
          <c:tx>
            <c:strRef>
              <c:f>'結果(改修後)'!$S$13</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'結果(改修後)'!$S$23:$U$23</c:f>
              <c:numCache>
                <c:formatCode>#,##0_);[Red]\(#,##0\)</c:formatCode>
                <c:ptCount val="3"/>
                <c:pt idx="1">
                  <c:v>42.250000000000007</c:v>
                </c:pt>
                <c:pt idx="2">
                  <c:v>0</c:v>
                </c:pt>
              </c:numCache>
            </c:numRef>
          </c:xVal>
          <c:yVal>
            <c:numRef>
              <c:f>'結果(改修後)'!$S$24:$U$24</c:f>
              <c:numCache>
                <c:formatCode>#,##0_);[Red]\(#,##0\)</c:formatCode>
                <c:ptCount val="3"/>
                <c:pt idx="1">
                  <c:v>50.000000000000014</c:v>
                </c:pt>
                <c:pt idx="2">
                  <c:v>0</c:v>
                </c:pt>
              </c:numCache>
            </c:numRef>
          </c:yVal>
          <c:smooth val="0"/>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ser>
        <c:dLbls>
          <c:showLegendKey val="0"/>
          <c:showVal val="0"/>
          <c:showCatName val="0"/>
          <c:showSerName val="0"/>
          <c:showPercent val="0"/>
          <c:showBubbleSize val="0"/>
        </c:dLbls>
        <c:axId val="118388992"/>
        <c:axId val="118398976"/>
      </c:scatterChart>
      <c:catAx>
        <c:axId val="118373376"/>
        <c:scaling>
          <c:orientation val="minMax"/>
        </c:scaling>
        <c:delete val="0"/>
        <c:axPos val="b"/>
        <c:numFmt formatCode="#,##0_);[Red]\(#,##0\)" sourceLinked="1"/>
        <c:majorTickMark val="none"/>
        <c:minorTickMark val="none"/>
        <c:tickLblPos val="none"/>
        <c:spPr>
          <a:ln w="3175">
            <a:solidFill>
              <a:srgbClr val="000000"/>
            </a:solidFill>
            <a:prstDash val="solid"/>
          </a:ln>
        </c:spPr>
        <c:crossAx val="118387456"/>
        <c:crosses val="autoZero"/>
        <c:auto val="0"/>
        <c:lblAlgn val="ctr"/>
        <c:lblOffset val="100"/>
        <c:tickLblSkip val="50"/>
        <c:tickMarkSkip val="50"/>
        <c:noMultiLvlLbl val="0"/>
      </c:catAx>
      <c:valAx>
        <c:axId val="118387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8373376"/>
        <c:crosses val="autoZero"/>
        <c:crossBetween val="midCat"/>
        <c:majorUnit val="50"/>
      </c:valAx>
      <c:valAx>
        <c:axId val="11838899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8398976"/>
        <c:crosses val="max"/>
        <c:crossBetween val="midCat"/>
        <c:majorUnit val="50"/>
      </c:valAx>
      <c:valAx>
        <c:axId val="11839897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1838899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11406844106463E-2"/>
          <c:y val="8.3334463629335248E-2"/>
          <c:w val="0.93916349809885935"/>
          <c:h val="0.861122790836464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'結果(改修後)'!$S$16</c:f>
              <c:numCache>
                <c:formatCode>#,##0.0;[Red]\-#,##0.0</c:formatCode>
                <c:ptCount val="1"/>
                <c:pt idx="0">
                  <c:v>0.4</c:v>
                </c:pt>
              </c:numCache>
            </c:numRef>
          </c:val>
        </c:ser>
        <c:dLbls>
          <c:showLegendKey val="0"/>
          <c:showVal val="0"/>
          <c:showCatName val="0"/>
          <c:showSerName val="0"/>
          <c:showPercent val="0"/>
          <c:showBubbleSize val="0"/>
        </c:dLbls>
        <c:gapWidth val="50"/>
        <c:overlap val="100"/>
        <c:axId val="118747520"/>
        <c:axId val="118749056"/>
      </c:barChart>
      <c:catAx>
        <c:axId val="118747520"/>
        <c:scaling>
          <c:orientation val="minMax"/>
        </c:scaling>
        <c:delete val="1"/>
        <c:axPos val="l"/>
        <c:numFmt formatCode="General" sourceLinked="1"/>
        <c:majorTickMark val="out"/>
        <c:minorTickMark val="none"/>
        <c:tickLblPos val="nextTo"/>
        <c:crossAx val="118749056"/>
        <c:crosses val="autoZero"/>
        <c:auto val="1"/>
        <c:lblAlgn val="ctr"/>
        <c:lblOffset val="100"/>
        <c:noMultiLvlLbl val="0"/>
      </c:catAx>
      <c:valAx>
        <c:axId val="118749056"/>
        <c:scaling>
          <c:orientation val="minMax"/>
        </c:scaling>
        <c:delete val="1"/>
        <c:axPos val="b"/>
        <c:numFmt formatCode="0%" sourceLinked="1"/>
        <c:majorTickMark val="out"/>
        <c:minorTickMark val="none"/>
        <c:tickLblPos val="nextTo"/>
        <c:crossAx val="11874752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'結果(改修後)'!$R$35</c:f>
              <c:strCache>
                <c:ptCount val="1"/>
                <c:pt idx="0">
                  <c:v>Rank(green star)</c:v>
                </c:pt>
              </c:strCache>
            </c:strRef>
          </c:cat>
          <c:val>
            <c:numRef>
              <c:f>'結果(改修後)'!$S$35</c:f>
              <c:numCache>
                <c:formatCode>#,##0.0;[Red]\-#,##0.0</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'結果(改修後)'!$R$35</c:f>
              <c:strCache>
                <c:ptCount val="1"/>
                <c:pt idx="0">
                  <c:v>Rank(green star)</c:v>
                </c:pt>
              </c:strCache>
            </c:strRef>
          </c:cat>
          <c:val>
            <c:numRef>
              <c:f>'結果(改修後)'!$S$36</c:f>
              <c:numCache>
                <c:formatCode>#,##0.0;[Red]\-#,##0.0</c:formatCode>
                <c:ptCount val="1"/>
                <c:pt idx="0">
                  <c:v>0.6</c:v>
                </c:pt>
              </c:numCache>
            </c:numRef>
          </c:val>
        </c:ser>
        <c:dLbls>
          <c:showLegendKey val="0"/>
          <c:showVal val="0"/>
          <c:showCatName val="0"/>
          <c:showSerName val="0"/>
          <c:showPercent val="0"/>
          <c:showBubbleSize val="0"/>
        </c:dLbls>
        <c:gapWidth val="50"/>
        <c:overlap val="100"/>
        <c:axId val="118553216"/>
        <c:axId val="118555008"/>
      </c:barChart>
      <c:catAx>
        <c:axId val="118553216"/>
        <c:scaling>
          <c:orientation val="minMax"/>
        </c:scaling>
        <c:delete val="1"/>
        <c:axPos val="l"/>
        <c:numFmt formatCode="General" sourceLinked="1"/>
        <c:majorTickMark val="out"/>
        <c:minorTickMark val="none"/>
        <c:tickLblPos val="nextTo"/>
        <c:crossAx val="118555008"/>
        <c:crosses val="autoZero"/>
        <c:auto val="1"/>
        <c:lblAlgn val="ctr"/>
        <c:lblOffset val="100"/>
        <c:noMultiLvlLbl val="0"/>
      </c:catAx>
      <c:valAx>
        <c:axId val="118555008"/>
        <c:scaling>
          <c:orientation val="minMax"/>
        </c:scaling>
        <c:delete val="1"/>
        <c:axPos val="b"/>
        <c:numFmt formatCode="0%" sourceLinked="1"/>
        <c:majorTickMark val="out"/>
        <c:minorTickMark val="none"/>
        <c:tickLblPos val="nextTo"/>
        <c:crossAx val="11855321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35214089363088E-2"/>
          <c:y val="0.13294797687861271"/>
          <c:w val="0.89694823650002331"/>
          <c:h val="0.68208092485549132"/>
        </c:manualLayout>
      </c:layout>
      <c:barChart>
        <c:barDir val="bar"/>
        <c:grouping val="stacked"/>
        <c:varyColors val="0"/>
        <c:ser>
          <c:idx val="0"/>
          <c:order val="0"/>
          <c:tx>
            <c:strRef>
              <c:f>'結果(改修後)'!$S$38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'結果(改修後)'!$S$39:$S$42</c:f>
              <c:numCache>
                <c:formatCode>General</c:formatCode>
                <c:ptCount val="4"/>
                <c:pt idx="0">
                  <c:v>14.775099999999998</c:v>
                </c:pt>
                <c:pt idx="1">
                  <c:v>12.453849999999999</c:v>
                </c:pt>
              </c:numCache>
            </c:numRef>
          </c:val>
        </c:ser>
        <c:ser>
          <c:idx val="1"/>
          <c:order val="1"/>
          <c:tx>
            <c:strRef>
              <c:f>'結果(改修後)'!$T$38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'結果(改修後)'!$T$39:$T$42</c:f>
              <c:numCache>
                <c:formatCode>General</c:formatCode>
                <c:ptCount val="4"/>
                <c:pt idx="0">
                  <c:v>13.257699999999998</c:v>
                </c:pt>
                <c:pt idx="1">
                  <c:v>13.257699999999998</c:v>
                </c:pt>
              </c:numCache>
            </c:numRef>
          </c:val>
        </c:ser>
        <c:ser>
          <c:idx val="2"/>
          <c:order val="2"/>
          <c:tx>
            <c:strRef>
              <c:f>'結果(改修後)'!$U$38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'結果(改修後)'!$U$39:$U$42</c:f>
              <c:numCache>
                <c:formatCode>General</c:formatCode>
                <c:ptCount val="4"/>
                <c:pt idx="0">
                  <c:v>111.16395434754098</c:v>
                </c:pt>
                <c:pt idx="1">
                  <c:v>100.04755891278688</c:v>
                </c:pt>
              </c:numCache>
            </c:numRef>
          </c:val>
        </c:ser>
        <c:ser>
          <c:idx val="3"/>
          <c:order val="3"/>
          <c:tx>
            <c:strRef>
              <c:f>'結果(改修後)'!$V$38</c:f>
              <c:strCache>
                <c:ptCount val="1"/>
                <c:pt idx="0">
                  <c:v>オンサイト</c:v>
                </c:pt>
              </c:strCache>
            </c:strRef>
          </c:tx>
          <c:spPr>
            <a:solidFill>
              <a:srgbClr val="969696"/>
            </a:solidFill>
            <a:ln w="12700">
              <a:solidFill>
                <a:srgbClr val="000000"/>
              </a:solidFill>
              <a:prstDash val="solid"/>
            </a:ln>
          </c:spPr>
          <c:invertIfNegative val="0"/>
          <c:val>
            <c:numRef>
              <c:f>'結果(改修後)'!$V$39:$V$42</c:f>
              <c:numCache>
                <c:formatCode>General</c:formatCode>
                <c:ptCount val="4"/>
                <c:pt idx="2">
                  <c:v>125.75910891278687</c:v>
                </c:pt>
              </c:numCache>
            </c:numRef>
          </c:val>
        </c:ser>
        <c:ser>
          <c:idx val="4"/>
          <c:order val="4"/>
          <c:tx>
            <c:strRef>
              <c:f>'結果(改修後)'!$W$38</c:f>
              <c:strCache>
                <c:ptCount val="1"/>
                <c:pt idx="0">
                  <c:v>オフサイト</c:v>
                </c:pt>
              </c:strCache>
            </c:strRef>
          </c:tx>
          <c:spPr>
            <a:pattFill prst="pct6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val>
            <c:numRef>
              <c:f>'結果(改修後)'!$W$39:$W$42</c:f>
              <c:numCache>
                <c:formatCode>General</c:formatCode>
                <c:ptCount val="4"/>
                <c:pt idx="3">
                  <c:v>125.75910891278687</c:v>
                </c:pt>
              </c:numCache>
            </c:numRef>
          </c:val>
        </c:ser>
        <c:dLbls>
          <c:showLegendKey val="0"/>
          <c:showVal val="0"/>
          <c:showCatName val="0"/>
          <c:showSerName val="0"/>
          <c:showPercent val="0"/>
          <c:showBubbleSize val="0"/>
        </c:dLbls>
        <c:gapWidth val="50"/>
        <c:overlap val="100"/>
        <c:axId val="118611968"/>
        <c:axId val="118613504"/>
      </c:barChart>
      <c:catAx>
        <c:axId val="118611968"/>
        <c:scaling>
          <c:orientation val="maxMin"/>
        </c:scaling>
        <c:delete val="1"/>
        <c:axPos val="l"/>
        <c:majorTickMark val="out"/>
        <c:minorTickMark val="none"/>
        <c:tickLblPos val="nextTo"/>
        <c:crossAx val="118613504"/>
        <c:crosses val="autoZero"/>
        <c:auto val="1"/>
        <c:lblAlgn val="ctr"/>
        <c:lblOffset val="100"/>
        <c:noMultiLvlLbl val="0"/>
      </c:catAx>
      <c:valAx>
        <c:axId val="118613504"/>
        <c:scaling>
          <c:orientation val="minMax"/>
        </c:scaling>
        <c:delete val="0"/>
        <c:axPos val="b"/>
        <c:majorGridlines>
          <c:spPr>
            <a:ln w="3175">
              <a:solidFill>
                <a:srgbClr val="80808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8611968"/>
        <c:crosses val="max"/>
        <c:crossBetween val="between"/>
      </c:valAx>
      <c:spPr>
        <a:noFill/>
        <a:ln w="3175">
          <a:solidFill>
            <a:srgbClr val="000000"/>
          </a:solidFill>
          <a:prstDash val="solid"/>
        </a:ln>
      </c:spPr>
    </c:plotArea>
    <c:legend>
      <c:legendPos val="t"/>
      <c:layout>
        <c:manualLayout>
          <c:xMode val="edge"/>
          <c:yMode val="edge"/>
          <c:x val="3.43512090574477E-2"/>
          <c:y val="2.8901734104046242E-2"/>
          <c:w val="0.95038345058938634"/>
          <c:h val="8.0924855491329481E-2"/>
        </c:manualLayout>
      </c:layout>
      <c:overlay val="0"/>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2"/>
          <c:tx>
            <c:strRef>
              <c:f>'結果(改修後)'!$S$29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'結果(改修後)'!$T$29:$Z$29</c:f>
              <c:numCache>
                <c:formatCode>General</c:formatCode>
                <c:ptCount val="7"/>
                <c:pt idx="0">
                  <c:v>100</c:v>
                </c:pt>
                <c:pt idx="1">
                  <c:v>100</c:v>
                </c:pt>
                <c:pt idx="2">
                  <c:v>100</c:v>
                </c:pt>
                <c:pt idx="3">
                  <c:v>100</c:v>
                </c:pt>
                <c:pt idx="4">
                  <c:v>100</c:v>
                </c:pt>
                <c:pt idx="5">
                  <c:v>100</c:v>
                </c:pt>
                <c:pt idx="6">
                  <c:v>100</c:v>
                </c:pt>
              </c:numCache>
            </c:numRef>
          </c:val>
        </c:ser>
        <c:ser>
          <c:idx val="3"/>
          <c:order val="3"/>
          <c:tx>
            <c:strRef>
              <c:f>'結果(改修後)'!$S$30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'結果(改修後)'!$T$30:$Z$30</c:f>
              <c:numCache>
                <c:formatCode>General</c:formatCode>
                <c:ptCount val="7"/>
                <c:pt idx="0">
                  <c:v>50</c:v>
                </c:pt>
                <c:pt idx="1">
                  <c:v>50</c:v>
                </c:pt>
                <c:pt idx="2">
                  <c:v>100</c:v>
                </c:pt>
                <c:pt idx="3">
                  <c:v>100</c:v>
                </c:pt>
                <c:pt idx="4">
                  <c:v>100</c:v>
                </c:pt>
                <c:pt idx="5">
                  <c:v>100</c:v>
                </c:pt>
                <c:pt idx="6">
                  <c:v>100</c:v>
                </c:pt>
              </c:numCache>
            </c:numRef>
          </c:val>
        </c:ser>
        <c:ser>
          <c:idx val="2"/>
          <c:order val="4"/>
          <c:tx>
            <c:strRef>
              <c:f>'結果(改修後)'!$S$31</c:f>
              <c:strCache>
                <c:ptCount val="1"/>
                <c:pt idx="0">
                  <c:v>B+</c:v>
                </c:pt>
              </c:strCache>
            </c:strRef>
          </c:tx>
          <c:spPr>
            <a:solidFill>
              <a:srgbClr val="FFFFCC"/>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'結果(改修後)'!$T$31:$Z$31</c:f>
              <c:numCache>
                <c:formatCode>General</c:formatCode>
                <c:ptCount val="7"/>
                <c:pt idx="0">
                  <c:v>0</c:v>
                </c:pt>
                <c:pt idx="1">
                  <c:v>25</c:v>
                </c:pt>
                <c:pt idx="2">
                  <c:v>50</c:v>
                </c:pt>
                <c:pt idx="3">
                  <c:v>75</c:v>
                </c:pt>
                <c:pt idx="4">
                  <c:v>100</c:v>
                </c:pt>
                <c:pt idx="5">
                  <c:v>100</c:v>
                </c:pt>
                <c:pt idx="6">
                  <c:v>100</c:v>
                </c:pt>
              </c:numCache>
            </c:numRef>
          </c:val>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6"/>
          <c:tx>
            <c:strRef>
              <c:f>'結果(改修後)'!$S$32</c:f>
              <c:strCache>
                <c:ptCount val="1"/>
                <c:pt idx="0">
                  <c:v>B</c:v>
                </c:pt>
              </c:strCache>
            </c:strRef>
          </c:tx>
          <c:spPr>
            <a:no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114268800"/>
        <c:axId val="11427878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ser>
        <c:ser>
          <c:idx val="5"/>
          <c:order val="1"/>
          <c:tx>
            <c:strRef>
              <c:f>'結果(改修後)'!$S$13</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'結果(改修後)'!$S$23:$U$23</c:f>
              <c:numCache>
                <c:formatCode>#,##0_);[Red]\(#,##0\)</c:formatCode>
                <c:ptCount val="3"/>
                <c:pt idx="1">
                  <c:v>42.250000000000007</c:v>
                </c:pt>
                <c:pt idx="2">
                  <c:v>0</c:v>
                </c:pt>
              </c:numCache>
            </c:numRef>
          </c:xVal>
          <c:yVal>
            <c:numRef>
              <c:f>'結果(改修後)'!$S$24:$U$24</c:f>
              <c:numCache>
                <c:formatCode>#,##0_);[Red]\(#,##0\)</c:formatCode>
                <c:ptCount val="3"/>
                <c:pt idx="1">
                  <c:v>50.000000000000014</c:v>
                </c:pt>
                <c:pt idx="2">
                  <c:v>0</c:v>
                </c:pt>
              </c:numCache>
            </c:numRef>
          </c:yVal>
          <c:smooth val="0"/>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ser>
        <c:dLbls>
          <c:showLegendKey val="0"/>
          <c:showVal val="0"/>
          <c:showCatName val="0"/>
          <c:showSerName val="0"/>
          <c:showPercent val="0"/>
          <c:showBubbleSize val="0"/>
        </c:dLbls>
        <c:axId val="114280320"/>
        <c:axId val="114281856"/>
      </c:scatterChart>
      <c:catAx>
        <c:axId val="114268800"/>
        <c:scaling>
          <c:orientation val="minMax"/>
        </c:scaling>
        <c:delete val="0"/>
        <c:axPos val="b"/>
        <c:numFmt formatCode="#,##0_);[Red]\(#,##0\)" sourceLinked="1"/>
        <c:majorTickMark val="none"/>
        <c:minorTickMark val="none"/>
        <c:tickLblPos val="none"/>
        <c:spPr>
          <a:ln w="3175">
            <a:solidFill>
              <a:srgbClr val="000000"/>
            </a:solidFill>
            <a:prstDash val="solid"/>
          </a:ln>
        </c:spPr>
        <c:crossAx val="114278784"/>
        <c:crosses val="autoZero"/>
        <c:auto val="0"/>
        <c:lblAlgn val="ctr"/>
        <c:lblOffset val="100"/>
        <c:tickLblSkip val="50"/>
        <c:tickMarkSkip val="50"/>
        <c:noMultiLvlLbl val="0"/>
      </c:catAx>
      <c:valAx>
        <c:axId val="11427878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4268800"/>
        <c:crosses val="autoZero"/>
        <c:crossBetween val="midCat"/>
        <c:majorUnit val="50"/>
      </c:valAx>
      <c:valAx>
        <c:axId val="11428032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4281856"/>
        <c:crosses val="max"/>
        <c:crossBetween val="midCat"/>
        <c:majorUnit val="50"/>
      </c:valAx>
      <c:valAx>
        <c:axId val="11428185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1428032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'スコア（重点項目）（改修後）'!$X$10</c:f>
              <c:strCache>
                <c:ptCount val="1"/>
                <c:pt idx="0">
                  <c:v>①</c:v>
                </c:pt>
              </c:strCache>
            </c:strRef>
          </c:cat>
          <c:val>
            <c:numRef>
              <c:f>'スコア（重点項目）（改修後）'!$X$13</c:f>
              <c:numCache>
                <c:formatCode>#,##0.0_);[Red]\(#,##0.0\)</c:formatCode>
                <c:ptCount val="1"/>
                <c:pt idx="0">
                  <c:v>0.8</c:v>
                </c:pt>
              </c:numCache>
            </c:numRef>
          </c:val>
        </c:ser>
        <c:ser>
          <c:idx val="1"/>
          <c:order val="1"/>
          <c:spPr>
            <a:noFill/>
            <a:ln w="25400">
              <a:noFill/>
            </a:ln>
          </c:spPr>
          <c:invertIfNegative val="0"/>
          <c:cat>
            <c:strRef>
              <c:f>'スコア（重点項目）（改修後）'!$X$10</c:f>
              <c:strCache>
                <c:ptCount val="1"/>
                <c:pt idx="0">
                  <c:v>①</c:v>
                </c:pt>
              </c:strCache>
            </c:strRef>
          </c:cat>
          <c:val>
            <c:numRef>
              <c:f>'スコア（重点項目）（改修後）'!$X$14</c:f>
              <c:numCache>
                <c:formatCode>#,##0.0_);[Red]\(#,##0.0\)</c:formatCode>
                <c:ptCount val="1"/>
                <c:pt idx="0">
                  <c:v>0.19999999999999996</c:v>
                </c:pt>
              </c:numCache>
            </c:numRef>
          </c:val>
        </c:ser>
        <c:dLbls>
          <c:showLegendKey val="0"/>
          <c:showVal val="0"/>
          <c:showCatName val="0"/>
          <c:showSerName val="0"/>
          <c:showPercent val="0"/>
          <c:showBubbleSize val="0"/>
        </c:dLbls>
        <c:gapWidth val="50"/>
        <c:overlap val="100"/>
        <c:axId val="118680576"/>
        <c:axId val="118821632"/>
      </c:barChart>
      <c:catAx>
        <c:axId val="118680576"/>
        <c:scaling>
          <c:orientation val="minMax"/>
        </c:scaling>
        <c:delete val="1"/>
        <c:axPos val="l"/>
        <c:majorTickMark val="out"/>
        <c:minorTickMark val="none"/>
        <c:tickLblPos val="nextTo"/>
        <c:crossAx val="118821632"/>
        <c:crosses val="autoZero"/>
        <c:auto val="1"/>
        <c:lblAlgn val="ctr"/>
        <c:lblOffset val="100"/>
        <c:noMultiLvlLbl val="0"/>
      </c:catAx>
      <c:valAx>
        <c:axId val="118821632"/>
        <c:scaling>
          <c:orientation val="minMax"/>
        </c:scaling>
        <c:delete val="1"/>
        <c:axPos val="b"/>
        <c:numFmt formatCode="0%" sourceLinked="1"/>
        <c:majorTickMark val="out"/>
        <c:minorTickMark val="none"/>
        <c:tickLblPos val="nextTo"/>
        <c:crossAx val="11868057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'スコア（重点項目）（改修後）'!$Y$10</c:f>
              <c:strCache>
                <c:ptCount val="1"/>
                <c:pt idx="0">
                  <c:v>②</c:v>
                </c:pt>
              </c:strCache>
            </c:strRef>
          </c:cat>
          <c:val>
            <c:numRef>
              <c:f>'スコア（重点項目）（改修後）'!$Y$13</c:f>
              <c:numCache>
                <c:formatCode>#,##0.0_);[Red]\(#,##0.0\)</c:formatCode>
                <c:ptCount val="1"/>
                <c:pt idx="0">
                  <c:v>0.6</c:v>
                </c:pt>
              </c:numCache>
            </c:numRef>
          </c:val>
        </c:ser>
        <c:ser>
          <c:idx val="1"/>
          <c:order val="1"/>
          <c:spPr>
            <a:noFill/>
            <a:ln w="25400">
              <a:noFill/>
            </a:ln>
          </c:spPr>
          <c:invertIfNegative val="0"/>
          <c:cat>
            <c:strRef>
              <c:f>'スコア（重点項目）（改修後）'!$Y$10</c:f>
              <c:strCache>
                <c:ptCount val="1"/>
                <c:pt idx="0">
                  <c:v>②</c:v>
                </c:pt>
              </c:strCache>
            </c:strRef>
          </c:cat>
          <c:val>
            <c:numRef>
              <c:f>'スコア（重点項目）（改修後）'!$Y$14</c:f>
              <c:numCache>
                <c:formatCode>#,##0.0_);[Red]\(#,##0.0\)</c:formatCode>
                <c:ptCount val="1"/>
                <c:pt idx="0">
                  <c:v>0.4</c:v>
                </c:pt>
              </c:numCache>
            </c:numRef>
          </c:val>
        </c:ser>
        <c:dLbls>
          <c:showLegendKey val="0"/>
          <c:showVal val="0"/>
          <c:showCatName val="0"/>
          <c:showSerName val="0"/>
          <c:showPercent val="0"/>
          <c:showBubbleSize val="0"/>
        </c:dLbls>
        <c:gapWidth val="50"/>
        <c:overlap val="100"/>
        <c:axId val="118858496"/>
        <c:axId val="118860032"/>
      </c:barChart>
      <c:catAx>
        <c:axId val="118858496"/>
        <c:scaling>
          <c:orientation val="minMax"/>
        </c:scaling>
        <c:delete val="1"/>
        <c:axPos val="l"/>
        <c:majorTickMark val="out"/>
        <c:minorTickMark val="none"/>
        <c:tickLblPos val="nextTo"/>
        <c:crossAx val="118860032"/>
        <c:crosses val="autoZero"/>
        <c:auto val="1"/>
        <c:lblAlgn val="ctr"/>
        <c:lblOffset val="100"/>
        <c:noMultiLvlLbl val="0"/>
      </c:catAx>
      <c:valAx>
        <c:axId val="118860032"/>
        <c:scaling>
          <c:orientation val="minMax"/>
        </c:scaling>
        <c:delete val="1"/>
        <c:axPos val="b"/>
        <c:numFmt formatCode="0%" sourceLinked="1"/>
        <c:majorTickMark val="out"/>
        <c:minorTickMark val="none"/>
        <c:tickLblPos val="nextTo"/>
        <c:crossAx val="11885849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'スコア（重点項目）（改修後）'!$W$10</c:f>
              <c:strCache>
                <c:ptCount val="1"/>
                <c:pt idx="0">
                  <c:v>総合評価
結果</c:v>
                </c:pt>
              </c:strCache>
            </c:strRef>
          </c:cat>
          <c:val>
            <c:numRef>
              <c:f>'スコア（重点項目）（改修後）'!$W$13</c:f>
              <c:numCache>
                <c:formatCode>#,##0.0_);[Red]\(#,##0.0\)</c:formatCode>
                <c:ptCount val="1"/>
                <c:pt idx="0">
                  <c:v>0.6</c:v>
                </c:pt>
              </c:numCache>
            </c:numRef>
          </c:val>
        </c:ser>
        <c:ser>
          <c:idx val="1"/>
          <c:order val="1"/>
          <c:spPr>
            <a:noFill/>
            <a:ln w="25400">
              <a:noFill/>
            </a:ln>
          </c:spPr>
          <c:invertIfNegative val="0"/>
          <c:cat>
            <c:strRef>
              <c:f>'スコア（重点項目）（改修後）'!$W$10</c:f>
              <c:strCache>
                <c:ptCount val="1"/>
                <c:pt idx="0">
                  <c:v>総合評価
結果</c:v>
                </c:pt>
              </c:strCache>
            </c:strRef>
          </c:cat>
          <c:val>
            <c:numRef>
              <c:f>'スコア（重点項目）（改修後）'!$W$14</c:f>
              <c:numCache>
                <c:formatCode>#,##0.0_);[Red]\(#,##0.0\)</c:formatCode>
                <c:ptCount val="1"/>
                <c:pt idx="0">
                  <c:v>0.4</c:v>
                </c:pt>
              </c:numCache>
            </c:numRef>
          </c:val>
        </c:ser>
        <c:dLbls>
          <c:showLegendKey val="0"/>
          <c:showVal val="0"/>
          <c:showCatName val="0"/>
          <c:showSerName val="0"/>
          <c:showPercent val="0"/>
          <c:showBubbleSize val="0"/>
        </c:dLbls>
        <c:gapWidth val="50"/>
        <c:overlap val="100"/>
        <c:axId val="118876416"/>
        <c:axId val="118886400"/>
      </c:barChart>
      <c:catAx>
        <c:axId val="118876416"/>
        <c:scaling>
          <c:orientation val="minMax"/>
        </c:scaling>
        <c:delete val="1"/>
        <c:axPos val="l"/>
        <c:majorTickMark val="out"/>
        <c:minorTickMark val="none"/>
        <c:tickLblPos val="nextTo"/>
        <c:crossAx val="118886400"/>
        <c:crosses val="autoZero"/>
        <c:auto val="1"/>
        <c:lblAlgn val="ctr"/>
        <c:lblOffset val="100"/>
        <c:noMultiLvlLbl val="0"/>
      </c:catAx>
      <c:valAx>
        <c:axId val="118886400"/>
        <c:scaling>
          <c:orientation val="minMax"/>
        </c:scaling>
        <c:delete val="1"/>
        <c:axPos val="b"/>
        <c:numFmt formatCode="0%" sourceLinked="1"/>
        <c:majorTickMark val="out"/>
        <c:minorTickMark val="none"/>
        <c:tickLblPos val="nextTo"/>
        <c:crossAx val="11887641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'スコア（重点項目）（改修後）'!$Z$10</c:f>
              <c:strCache>
                <c:ptCount val="1"/>
                <c:pt idx="0">
                  <c:v>③</c:v>
                </c:pt>
              </c:strCache>
            </c:strRef>
          </c:cat>
          <c:val>
            <c:numRef>
              <c:f>'スコア（重点項目）（改修後）'!$Z$13</c:f>
              <c:numCache>
                <c:formatCode>#,##0.0_);[Red]\(#,##0.0\)</c:formatCode>
                <c:ptCount val="1"/>
                <c:pt idx="0">
                  <c:v>0.6</c:v>
                </c:pt>
              </c:numCache>
            </c:numRef>
          </c:val>
        </c:ser>
        <c:ser>
          <c:idx val="1"/>
          <c:order val="1"/>
          <c:spPr>
            <a:noFill/>
            <a:ln w="25400">
              <a:noFill/>
            </a:ln>
          </c:spPr>
          <c:invertIfNegative val="0"/>
          <c:cat>
            <c:strRef>
              <c:f>'スコア（重点項目）（改修後）'!$Z$10</c:f>
              <c:strCache>
                <c:ptCount val="1"/>
                <c:pt idx="0">
                  <c:v>③</c:v>
                </c:pt>
              </c:strCache>
            </c:strRef>
          </c:cat>
          <c:val>
            <c:numRef>
              <c:f>'スコア（重点項目）（改修後）'!$Z$14</c:f>
              <c:numCache>
                <c:formatCode>#,##0.0_);[Red]\(#,##0.0\)</c:formatCode>
                <c:ptCount val="1"/>
                <c:pt idx="0">
                  <c:v>0.4</c:v>
                </c:pt>
              </c:numCache>
            </c:numRef>
          </c:val>
        </c:ser>
        <c:dLbls>
          <c:showLegendKey val="0"/>
          <c:showVal val="0"/>
          <c:showCatName val="0"/>
          <c:showSerName val="0"/>
          <c:showPercent val="0"/>
          <c:showBubbleSize val="0"/>
        </c:dLbls>
        <c:gapWidth val="50"/>
        <c:overlap val="100"/>
        <c:axId val="118906880"/>
        <c:axId val="118908416"/>
      </c:barChart>
      <c:catAx>
        <c:axId val="118906880"/>
        <c:scaling>
          <c:orientation val="minMax"/>
        </c:scaling>
        <c:delete val="1"/>
        <c:axPos val="l"/>
        <c:majorTickMark val="out"/>
        <c:minorTickMark val="none"/>
        <c:tickLblPos val="nextTo"/>
        <c:crossAx val="118908416"/>
        <c:crosses val="autoZero"/>
        <c:auto val="1"/>
        <c:lblAlgn val="ctr"/>
        <c:lblOffset val="100"/>
        <c:noMultiLvlLbl val="0"/>
      </c:catAx>
      <c:valAx>
        <c:axId val="118908416"/>
        <c:scaling>
          <c:orientation val="minMax"/>
        </c:scaling>
        <c:delete val="1"/>
        <c:axPos val="b"/>
        <c:numFmt formatCode="0%" sourceLinked="1"/>
        <c:majorTickMark val="out"/>
        <c:minorTickMark val="none"/>
        <c:tickLblPos val="nextTo"/>
        <c:crossAx val="11890688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'スコア（重点項目）（改修後）'!$AA$10</c:f>
              <c:strCache>
                <c:ptCount val="1"/>
                <c:pt idx="0">
                  <c:v>④</c:v>
                </c:pt>
              </c:strCache>
            </c:strRef>
          </c:cat>
          <c:val>
            <c:numRef>
              <c:f>'スコア（重点項目）（改修後）'!$AA$13</c:f>
              <c:numCache>
                <c:formatCode>#,##0.0_);[Red]\(#,##0.0\)</c:formatCode>
                <c:ptCount val="1"/>
                <c:pt idx="0">
                  <c:v>0.6</c:v>
                </c:pt>
              </c:numCache>
            </c:numRef>
          </c:val>
        </c:ser>
        <c:ser>
          <c:idx val="1"/>
          <c:order val="1"/>
          <c:spPr>
            <a:noFill/>
            <a:ln w="25400">
              <a:noFill/>
            </a:ln>
          </c:spPr>
          <c:invertIfNegative val="0"/>
          <c:cat>
            <c:strRef>
              <c:f>'スコア（重点項目）（改修後）'!$AA$10</c:f>
              <c:strCache>
                <c:ptCount val="1"/>
                <c:pt idx="0">
                  <c:v>④</c:v>
                </c:pt>
              </c:strCache>
            </c:strRef>
          </c:cat>
          <c:val>
            <c:numRef>
              <c:f>'スコア（重点項目）（改修後）'!$AA$14</c:f>
              <c:numCache>
                <c:formatCode>#,##0.0_);[Red]\(#,##0.0\)</c:formatCode>
                <c:ptCount val="1"/>
                <c:pt idx="0">
                  <c:v>0.4</c:v>
                </c:pt>
              </c:numCache>
            </c:numRef>
          </c:val>
        </c:ser>
        <c:dLbls>
          <c:showLegendKey val="0"/>
          <c:showVal val="0"/>
          <c:showCatName val="0"/>
          <c:showSerName val="0"/>
          <c:showPercent val="0"/>
          <c:showBubbleSize val="0"/>
        </c:dLbls>
        <c:gapWidth val="50"/>
        <c:overlap val="100"/>
        <c:axId val="118924800"/>
        <c:axId val="118926336"/>
      </c:barChart>
      <c:catAx>
        <c:axId val="118924800"/>
        <c:scaling>
          <c:orientation val="minMax"/>
        </c:scaling>
        <c:delete val="1"/>
        <c:axPos val="l"/>
        <c:majorTickMark val="out"/>
        <c:minorTickMark val="none"/>
        <c:tickLblPos val="nextTo"/>
        <c:crossAx val="118926336"/>
        <c:crosses val="autoZero"/>
        <c:auto val="1"/>
        <c:lblAlgn val="ctr"/>
        <c:lblOffset val="100"/>
        <c:noMultiLvlLbl val="0"/>
      </c:catAx>
      <c:valAx>
        <c:axId val="118926336"/>
        <c:scaling>
          <c:orientation val="minMax"/>
        </c:scaling>
        <c:delete val="1"/>
        <c:axPos val="b"/>
        <c:numFmt formatCode="0%" sourceLinked="1"/>
        <c:majorTickMark val="out"/>
        <c:minorTickMark val="none"/>
        <c:tickLblPos val="nextTo"/>
        <c:crossAx val="11892480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17462685299719"/>
          <c:y val="0.21090909090909091"/>
          <c:w val="0.48985645905927044"/>
          <c:h val="0.61454545454545451"/>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'スコア（重点項目）（改修後）'!$AE$11:$AE$14</c:f>
              <c:numCache>
                <c:formatCode>General</c:formatCode>
                <c:ptCount val="4"/>
                <c:pt idx="0">
                  <c:v>125</c:v>
                </c:pt>
                <c:pt idx="1">
                  <c:v>125</c:v>
                </c:pt>
                <c:pt idx="2">
                  <c:v>125</c:v>
                </c:pt>
                <c:pt idx="3">
                  <c:v>125</c:v>
                </c:pt>
              </c:numCache>
            </c:numRef>
          </c:val>
        </c:ser>
        <c:ser>
          <c:idx val="3"/>
          <c:order val="1"/>
          <c:tx>
            <c:v>スコア</c:v>
          </c:tx>
          <c:spPr>
            <a:pattFill prst="pct50">
              <a:fgClr>
                <a:srgbClr val="CCCCFF"/>
              </a:fgClr>
              <a:bgClr>
                <a:srgbClr val="FFFFFF"/>
              </a:bgClr>
            </a:pattFill>
            <a:ln w="254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'スコア（重点項目）（改修後）'!$AI$11:$AI$14</c:f>
              <c:numCache>
                <c:formatCode>#,##0.0_);[Red]\(#,##0.0\)</c:formatCode>
                <c:ptCount val="4"/>
                <c:pt idx="0">
                  <c:v>80.3</c:v>
                </c:pt>
                <c:pt idx="1">
                  <c:v>75</c:v>
                </c:pt>
                <c:pt idx="2">
                  <c:v>75</c:v>
                </c:pt>
                <c:pt idx="3">
                  <c:v>75</c:v>
                </c:pt>
              </c:numCache>
            </c:numRef>
          </c:val>
        </c:ser>
        <c:ser>
          <c:idx val="1"/>
          <c:order val="2"/>
          <c:tx>
            <c:v>100</c:v>
          </c:tx>
          <c:spPr>
            <a:noFill/>
            <a:ln w="12700">
              <a:solidFill>
                <a:srgbClr val="FF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'スコア（重点項目）（改修後）'!$AF$11:$AF$14</c:f>
              <c:numCache>
                <c:formatCode>General</c:formatCode>
                <c:ptCount val="4"/>
                <c:pt idx="0">
                  <c:v>100</c:v>
                </c:pt>
                <c:pt idx="1">
                  <c:v>100</c:v>
                </c:pt>
                <c:pt idx="2">
                  <c:v>100</c:v>
                </c:pt>
                <c:pt idx="3">
                  <c:v>100</c:v>
                </c:pt>
              </c:numCache>
            </c:numRef>
          </c:val>
        </c:ser>
        <c:ser>
          <c:idx val="4"/>
          <c:order val="3"/>
          <c:tx>
            <c:v>75</c:v>
          </c:tx>
          <c:spPr>
            <a:noFill/>
            <a:ln w="127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'スコア（重点項目）（改修後）'!$AG$11:$AG$14</c:f>
              <c:numCache>
                <c:formatCode>General</c:formatCode>
                <c:ptCount val="4"/>
                <c:pt idx="0">
                  <c:v>75</c:v>
                </c:pt>
                <c:pt idx="1">
                  <c:v>75</c:v>
                </c:pt>
                <c:pt idx="2">
                  <c:v>75</c:v>
                </c:pt>
                <c:pt idx="3">
                  <c:v>75</c:v>
                </c:pt>
              </c:numCache>
            </c:numRef>
          </c:val>
        </c:ser>
        <c:ser>
          <c:idx val="2"/>
          <c:order val="4"/>
          <c:tx>
            <c:v>50</c:v>
          </c:tx>
          <c:spPr>
            <a:noFill/>
            <a:ln w="127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'スコア（重点項目）（改修後）'!$AH$11:$AH$14</c:f>
              <c:numCache>
                <c:formatCode>General</c:formatCode>
                <c:ptCount val="4"/>
                <c:pt idx="0">
                  <c:v>50</c:v>
                </c:pt>
                <c:pt idx="1">
                  <c:v>50</c:v>
                </c:pt>
                <c:pt idx="2">
                  <c:v>50</c:v>
                </c:pt>
                <c:pt idx="3">
                  <c:v>50</c:v>
                </c:pt>
              </c:numCache>
            </c:numRef>
          </c:val>
        </c:ser>
        <c:dLbls>
          <c:showLegendKey val="0"/>
          <c:showVal val="0"/>
          <c:showCatName val="0"/>
          <c:showSerName val="0"/>
          <c:showPercent val="0"/>
          <c:showBubbleSize val="0"/>
        </c:dLbls>
        <c:axId val="122201600"/>
        <c:axId val="122203136"/>
      </c:radarChart>
      <c:catAx>
        <c:axId val="1222016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22203136"/>
        <c:crosses val="autoZero"/>
        <c:auto val="0"/>
        <c:lblAlgn val="ctr"/>
        <c:lblOffset val="100"/>
        <c:noMultiLvlLbl val="0"/>
      </c:catAx>
      <c:valAx>
        <c:axId val="122203136"/>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2201600"/>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3333817742151123E-2"/>
          <c:w val="0.91639871382636651"/>
          <c:h val="0.7261946974673169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'結果(改修前)'!$X$59:$X$61</c:f>
              <c:strCache>
                <c:ptCount val="3"/>
                <c:pt idx="0">
                  <c:v>地球温暖化への配慮</c:v>
                </c:pt>
                <c:pt idx="1">
                  <c:v>地域環境への配慮</c:v>
                </c:pt>
                <c:pt idx="2">
                  <c:v>周辺環境への配慮</c:v>
                </c:pt>
              </c:strCache>
            </c:strRef>
          </c:cat>
          <c:val>
            <c:numRef>
              <c:f>'結果(改修前)'!$Y$59:$Y$61</c:f>
              <c:numCache>
                <c:formatCode>0.0_ </c:formatCode>
                <c:ptCount val="3"/>
                <c:pt idx="0">
                  <c:v>3.3</c:v>
                </c:pt>
                <c:pt idx="1">
                  <c:v>3</c:v>
                </c:pt>
                <c:pt idx="2">
                  <c:v>3</c:v>
                </c:pt>
              </c:numCache>
            </c:numRef>
          </c:val>
        </c:ser>
        <c:dLbls>
          <c:showLegendKey val="0"/>
          <c:showVal val="1"/>
          <c:showCatName val="0"/>
          <c:showSerName val="0"/>
          <c:showPercent val="0"/>
          <c:showBubbleSize val="0"/>
        </c:dLbls>
        <c:gapWidth val="70"/>
        <c:axId val="122459264"/>
        <c:axId val="122460800"/>
      </c:barChart>
      <c:catAx>
        <c:axId val="122459264"/>
        <c:scaling>
          <c:orientation val="minMax"/>
        </c:scaling>
        <c:delete val="0"/>
        <c:axPos val="b"/>
        <c:numFmt formatCode="General" sourceLinked="1"/>
        <c:majorTickMark val="none"/>
        <c:minorTickMark val="none"/>
        <c:tickLblPos val="none"/>
        <c:spPr>
          <a:ln w="3175">
            <a:solidFill>
              <a:srgbClr val="000000"/>
            </a:solidFill>
            <a:prstDash val="solid"/>
          </a:ln>
        </c:spPr>
        <c:crossAx val="122460800"/>
        <c:crossesAt val="0"/>
        <c:auto val="1"/>
        <c:lblAlgn val="ctr"/>
        <c:lblOffset val="100"/>
        <c:tickMarkSkip val="1"/>
        <c:noMultiLvlLbl val="0"/>
      </c:catAx>
      <c:valAx>
        <c:axId val="1224608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4592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54983922829579E-2"/>
          <c:y val="8.2840476032255542E-2"/>
          <c:w val="0.909967845659164"/>
          <c:h val="0.7278127537119594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'結果(改修前)'!$U$59:$U$61</c:f>
              <c:strCache>
                <c:ptCount val="3"/>
                <c:pt idx="0">
                  <c:v>水資源</c:v>
                </c:pt>
                <c:pt idx="1">
                  <c:v>非再生性材料の削減</c:v>
                </c:pt>
                <c:pt idx="2">
                  <c:v>汚染物質回避</c:v>
                </c:pt>
              </c:strCache>
            </c:strRef>
          </c:cat>
          <c:val>
            <c:numRef>
              <c:f>'結果(改修前)'!$V$59:$V$61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4628480"/>
        <c:axId val="114629632"/>
      </c:barChart>
      <c:catAx>
        <c:axId val="114628480"/>
        <c:scaling>
          <c:orientation val="minMax"/>
        </c:scaling>
        <c:delete val="0"/>
        <c:axPos val="b"/>
        <c:numFmt formatCode="General" sourceLinked="1"/>
        <c:majorTickMark val="none"/>
        <c:minorTickMark val="none"/>
        <c:tickLblPos val="none"/>
        <c:spPr>
          <a:ln w="3175">
            <a:solidFill>
              <a:srgbClr val="000000"/>
            </a:solidFill>
            <a:prstDash val="solid"/>
          </a:ln>
        </c:spPr>
        <c:crossAx val="114629632"/>
        <c:crossesAt val="0"/>
        <c:auto val="1"/>
        <c:lblAlgn val="ctr"/>
        <c:lblOffset val="100"/>
        <c:tickMarkSkip val="1"/>
        <c:noMultiLvlLbl val="0"/>
      </c:catAx>
      <c:valAx>
        <c:axId val="1146296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462848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96942111858494E-2"/>
          <c:y val="8.2352941176470587E-2"/>
          <c:w val="0.92330649459144132"/>
          <c:h val="0.72352941176470587"/>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'結果(改修前)'!$R$59:$R$62</c:f>
              <c:strCache>
                <c:ptCount val="4"/>
                <c:pt idx="0">
                  <c:v>熱負荷抑制</c:v>
                </c:pt>
                <c:pt idx="1">
                  <c:v>自然ｴﾈﾙｷﾞｰ</c:v>
                </c:pt>
                <c:pt idx="2">
                  <c:v>設備の効率的利用</c:v>
                </c:pt>
                <c:pt idx="3">
                  <c:v>運用ﾏﾈｼﾞﾒﾝﾄ</c:v>
                </c:pt>
              </c:strCache>
            </c:strRef>
          </c:cat>
          <c:val>
            <c:numRef>
              <c:f>'結果(改修前)'!$S$59:$S$62</c:f>
              <c:numCache>
                <c:formatCode>0.0_ </c:formatCode>
                <c:ptCount val="4"/>
                <c:pt idx="0">
                  <c:v>4</c:v>
                </c:pt>
                <c:pt idx="1">
                  <c:v>3</c:v>
                </c:pt>
                <c:pt idx="2">
                  <c:v>3</c:v>
                </c:pt>
                <c:pt idx="3">
                  <c:v>3</c:v>
                </c:pt>
              </c:numCache>
            </c:numRef>
          </c:val>
        </c:ser>
        <c:dLbls>
          <c:showLegendKey val="0"/>
          <c:showVal val="1"/>
          <c:showCatName val="0"/>
          <c:showSerName val="0"/>
          <c:showPercent val="0"/>
          <c:showBubbleSize val="0"/>
        </c:dLbls>
        <c:gapWidth val="40"/>
        <c:axId val="122341248"/>
        <c:axId val="122342784"/>
      </c:barChart>
      <c:catAx>
        <c:axId val="122341248"/>
        <c:scaling>
          <c:orientation val="minMax"/>
        </c:scaling>
        <c:delete val="0"/>
        <c:axPos val="b"/>
        <c:numFmt formatCode="General" sourceLinked="1"/>
        <c:majorTickMark val="none"/>
        <c:minorTickMark val="none"/>
        <c:tickLblPos val="none"/>
        <c:spPr>
          <a:ln w="3175">
            <a:solidFill>
              <a:srgbClr val="000000"/>
            </a:solidFill>
            <a:prstDash val="solid"/>
          </a:ln>
        </c:spPr>
        <c:crossAx val="122342784"/>
        <c:crossesAt val="0"/>
        <c:auto val="1"/>
        <c:lblAlgn val="ctr"/>
        <c:lblOffset val="100"/>
        <c:tickMarkSkip val="1"/>
        <c:noMultiLvlLbl val="0"/>
      </c:catAx>
      <c:valAx>
        <c:axId val="122342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3412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'結果(改修前)'!$R$48:$R$51</c:f>
              <c:strCache>
                <c:ptCount val="4"/>
                <c:pt idx="0">
                  <c:v>音環境</c:v>
                </c:pt>
                <c:pt idx="1">
                  <c:v>温熱環境</c:v>
                </c:pt>
                <c:pt idx="2">
                  <c:v>光・視環境</c:v>
                </c:pt>
                <c:pt idx="3">
                  <c:v>空気質環境</c:v>
                </c:pt>
              </c:strCache>
            </c:strRef>
          </c:cat>
          <c:val>
            <c:numRef>
              <c:f>'結果(改修前)'!$S$48:$S$51</c:f>
              <c:numCache>
                <c:formatCode>0.0_ </c:formatCode>
                <c:ptCount val="4"/>
                <c:pt idx="0">
                  <c:v>3</c:v>
                </c:pt>
                <c:pt idx="1">
                  <c:v>3</c:v>
                </c:pt>
                <c:pt idx="2">
                  <c:v>3</c:v>
                </c:pt>
                <c:pt idx="3">
                  <c:v>3</c:v>
                </c:pt>
              </c:numCache>
            </c:numRef>
          </c:val>
        </c:ser>
        <c:dLbls>
          <c:showLegendKey val="0"/>
          <c:showVal val="1"/>
          <c:showCatName val="0"/>
          <c:showSerName val="0"/>
          <c:showPercent val="0"/>
          <c:showBubbleSize val="0"/>
        </c:dLbls>
        <c:gapWidth val="40"/>
        <c:axId val="122420224"/>
        <c:axId val="116855168"/>
      </c:barChart>
      <c:catAx>
        <c:axId val="122420224"/>
        <c:scaling>
          <c:orientation val="minMax"/>
        </c:scaling>
        <c:delete val="0"/>
        <c:axPos val="b"/>
        <c:numFmt formatCode="General" sourceLinked="1"/>
        <c:majorTickMark val="none"/>
        <c:minorTickMark val="none"/>
        <c:tickLblPos val="none"/>
        <c:spPr>
          <a:ln w="3175">
            <a:solidFill>
              <a:srgbClr val="000000"/>
            </a:solidFill>
            <a:prstDash val="solid"/>
          </a:ln>
        </c:spPr>
        <c:crossAx val="116855168"/>
        <c:crossesAt val="0"/>
        <c:auto val="1"/>
        <c:lblAlgn val="ctr"/>
        <c:lblOffset val="100"/>
        <c:tickMarkSkip val="1"/>
        <c:noMultiLvlLbl val="0"/>
      </c:catAx>
      <c:valAx>
        <c:axId val="1168551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4202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'結果(改修後)'!$R$35</c:f>
              <c:strCache>
                <c:ptCount val="1"/>
                <c:pt idx="0">
                  <c:v>Rank(green star)</c:v>
                </c:pt>
              </c:strCache>
            </c:strRef>
          </c:cat>
          <c:val>
            <c:numRef>
              <c:f>'結果(改修後)'!$S$35</c:f>
              <c:numCache>
                <c:formatCode>#,##0.0;[Red]\-#,##0.0</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'結果(改修後)'!$R$35</c:f>
              <c:strCache>
                <c:ptCount val="1"/>
                <c:pt idx="0">
                  <c:v>Rank(green star)</c:v>
                </c:pt>
              </c:strCache>
            </c:strRef>
          </c:cat>
          <c:val>
            <c:numRef>
              <c:f>'結果(改修後)'!$S$36</c:f>
              <c:numCache>
                <c:formatCode>#,##0.0;[Red]\-#,##0.0</c:formatCode>
                <c:ptCount val="1"/>
                <c:pt idx="0">
                  <c:v>0.6</c:v>
                </c:pt>
              </c:numCache>
            </c:numRef>
          </c:val>
        </c:ser>
        <c:dLbls>
          <c:showLegendKey val="0"/>
          <c:showVal val="0"/>
          <c:showCatName val="0"/>
          <c:showSerName val="0"/>
          <c:showPercent val="0"/>
          <c:showBubbleSize val="0"/>
        </c:dLbls>
        <c:gapWidth val="50"/>
        <c:overlap val="100"/>
        <c:axId val="114012928"/>
        <c:axId val="114014464"/>
      </c:barChart>
      <c:catAx>
        <c:axId val="114012928"/>
        <c:scaling>
          <c:orientation val="minMax"/>
        </c:scaling>
        <c:delete val="1"/>
        <c:axPos val="l"/>
        <c:numFmt formatCode="General" sourceLinked="1"/>
        <c:majorTickMark val="out"/>
        <c:minorTickMark val="none"/>
        <c:tickLblPos val="nextTo"/>
        <c:crossAx val="114014464"/>
        <c:crosses val="autoZero"/>
        <c:auto val="1"/>
        <c:lblAlgn val="ctr"/>
        <c:lblOffset val="100"/>
        <c:noMultiLvlLbl val="0"/>
      </c:catAx>
      <c:valAx>
        <c:axId val="114014464"/>
        <c:scaling>
          <c:orientation val="minMax"/>
        </c:scaling>
        <c:delete val="1"/>
        <c:axPos val="b"/>
        <c:numFmt formatCode="0%" sourceLinked="1"/>
        <c:majorTickMark val="out"/>
        <c:minorTickMark val="none"/>
        <c:tickLblPos val="nextTo"/>
        <c:crossAx val="1140129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87649585116296E-2"/>
          <c:y val="8.3832335329341312E-2"/>
          <c:w val="0.90734965828059211"/>
          <c:h val="0.71856287425149701"/>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'結果(改修前)'!$X$48:$X$50</c:f>
              <c:strCache>
                <c:ptCount val="3"/>
                <c:pt idx="0">
                  <c:v>生物環境</c:v>
                </c:pt>
                <c:pt idx="1">
                  <c:v>まちなみ景観</c:v>
                </c:pt>
                <c:pt idx="2">
                  <c:v>地域性・文化</c:v>
                </c:pt>
              </c:strCache>
            </c:strRef>
          </c:cat>
          <c:val>
            <c:numRef>
              <c:f>'結果(改修前)'!$Y$48:$Y$50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6911104"/>
        <c:axId val="122749696"/>
      </c:barChart>
      <c:catAx>
        <c:axId val="116911104"/>
        <c:scaling>
          <c:orientation val="minMax"/>
        </c:scaling>
        <c:delete val="0"/>
        <c:axPos val="b"/>
        <c:numFmt formatCode="General" sourceLinked="1"/>
        <c:majorTickMark val="none"/>
        <c:minorTickMark val="none"/>
        <c:tickLblPos val="none"/>
        <c:spPr>
          <a:ln w="3175">
            <a:solidFill>
              <a:srgbClr val="000000"/>
            </a:solidFill>
            <a:prstDash val="solid"/>
          </a:ln>
        </c:spPr>
        <c:crossAx val="122749696"/>
        <c:crossesAt val="0"/>
        <c:auto val="1"/>
        <c:lblAlgn val="ctr"/>
        <c:lblOffset val="100"/>
        <c:tickMarkSkip val="1"/>
        <c:noMultiLvlLbl val="0"/>
      </c:catAx>
      <c:valAx>
        <c:axId val="1227496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911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40284776132275"/>
          <c:y val="0.16772177814999839"/>
          <c:w val="0.59480594917556462"/>
          <c:h val="0.7246846640820684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'結果(改修前)'!$Z$9:$Z$14</c:f>
              <c:numCache>
                <c:formatCode>General</c:formatCode>
                <c:ptCount val="6"/>
                <c:pt idx="0">
                  <c:v>3</c:v>
                </c:pt>
                <c:pt idx="1">
                  <c:v>3</c:v>
                </c:pt>
                <c:pt idx="2">
                  <c:v>3.1</c:v>
                </c:pt>
                <c:pt idx="3">
                  <c:v>3</c:v>
                </c:pt>
                <c:pt idx="4">
                  <c:v>3.2</c:v>
                </c:pt>
                <c:pt idx="5">
                  <c:v>3</c:v>
                </c:pt>
              </c:numCache>
            </c:numRef>
          </c:val>
        </c:ser>
        <c:ser>
          <c:idx val="4"/>
          <c:order val="4"/>
          <c:spPr>
            <a:noFill/>
            <a:ln w="12700">
              <a:solidFill>
                <a:srgbClr val="FF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'結果(改修前)'!$AA$9:$AA$14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122798848"/>
        <c:axId val="122800384"/>
      </c:radarChart>
      <c:catAx>
        <c:axId val="1227988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22800384"/>
        <c:crosses val="autoZero"/>
        <c:auto val="0"/>
        <c:lblAlgn val="ctr"/>
        <c:lblOffset val="100"/>
        <c:noMultiLvlLbl val="0"/>
      </c:catAx>
      <c:valAx>
        <c:axId val="12280038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279884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'結果(改修前)'!$U$48:$U$50</c:f>
              <c:strCache>
                <c:ptCount val="3"/>
                <c:pt idx="0">
                  <c:v>機能性</c:v>
                </c:pt>
                <c:pt idx="1">
                  <c:v>耐用性・信頼性</c:v>
                </c:pt>
                <c:pt idx="2">
                  <c:v>対応性･更新性</c:v>
                </c:pt>
              </c:strCache>
            </c:strRef>
          </c:cat>
          <c:val>
            <c:numRef>
              <c:f>'結果(改修前)'!$V$48:$V$50</c:f>
              <c:numCache>
                <c:formatCode>0.0_ </c:formatCode>
                <c:ptCount val="3"/>
                <c:pt idx="0">
                  <c:v>3</c:v>
                </c:pt>
                <c:pt idx="1">
                  <c:v>3.1</c:v>
                </c:pt>
                <c:pt idx="2">
                  <c:v>3</c:v>
                </c:pt>
              </c:numCache>
            </c:numRef>
          </c:val>
        </c:ser>
        <c:dLbls>
          <c:showLegendKey val="0"/>
          <c:showVal val="1"/>
          <c:showCatName val="0"/>
          <c:showSerName val="0"/>
          <c:showPercent val="0"/>
          <c:showBubbleSize val="0"/>
        </c:dLbls>
        <c:gapWidth val="70"/>
        <c:axId val="122817920"/>
        <c:axId val="122848384"/>
      </c:barChart>
      <c:catAx>
        <c:axId val="122817920"/>
        <c:scaling>
          <c:orientation val="minMax"/>
        </c:scaling>
        <c:delete val="0"/>
        <c:axPos val="b"/>
        <c:numFmt formatCode="General" sourceLinked="1"/>
        <c:majorTickMark val="none"/>
        <c:minorTickMark val="none"/>
        <c:tickLblPos val="none"/>
        <c:spPr>
          <a:ln w="3175">
            <a:solidFill>
              <a:srgbClr val="000000"/>
            </a:solidFill>
            <a:prstDash val="solid"/>
          </a:ln>
        </c:spPr>
        <c:crossAx val="122848384"/>
        <c:crossesAt val="0"/>
        <c:auto val="1"/>
        <c:lblAlgn val="ctr"/>
        <c:lblOffset val="100"/>
        <c:tickMarkSkip val="1"/>
        <c:noMultiLvlLbl val="0"/>
      </c:catAx>
      <c:valAx>
        <c:axId val="1228483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8179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'結果(改修前)'!$S$29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'結果(改修前)'!$S$30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'結果(改修前)'!$S$31</c:f>
              <c:strCache>
                <c:ptCount val="1"/>
                <c:pt idx="0">
                  <c:v>B+</c:v>
                </c:pt>
              </c:strCache>
            </c:strRef>
          </c:tx>
          <c:spPr>
            <a:solidFill>
              <a:srgbClr val="FFFFCC"/>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'結果(改修前)'!$S$33</c:f>
              <c:strCache>
                <c:ptCount val="1"/>
                <c:pt idx="0">
                  <c:v>B-</c:v>
                </c:pt>
              </c:strCache>
            </c:strRef>
          </c:tx>
          <c:spPr>
            <a:solidFill>
              <a:srgbClr val="FFFFFF"/>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'結果(改修前)'!$S$32</c:f>
              <c:strCache>
                <c:ptCount val="1"/>
                <c:pt idx="0">
                  <c:v>B</c:v>
                </c:pt>
              </c:strCache>
            </c:strRef>
          </c:tx>
          <c:spPr>
            <a:no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123025280"/>
        <c:axId val="12302681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'結果(改修前)'!$R$25:$U$25</c:f>
              <c:numCache>
                <c:formatCode>General</c:formatCode>
                <c:ptCount val="4"/>
                <c:pt idx="0">
                  <c:v>0</c:v>
                </c:pt>
                <c:pt idx="1">
                  <c:v>47.249999999999993</c:v>
                </c:pt>
                <c:pt idx="2" formatCode="#,##0_);[Red]\(#,##0\)">
                  <c:v>47.249999999999993</c:v>
                </c:pt>
                <c:pt idx="3" formatCode="#,##0_);[Red]\(#,##0\)">
                  <c:v>0.1</c:v>
                </c:pt>
              </c:numCache>
            </c:numRef>
          </c:xVal>
          <c:yVal>
            <c:numRef>
              <c:f>'結果(改修前)'!$R$26:$U$26</c:f>
              <c:numCache>
                <c:formatCode>General</c:formatCode>
                <c:ptCount val="4"/>
                <c:pt idx="0">
                  <c:v>0</c:v>
                </c:pt>
                <c:pt idx="1">
                  <c:v>0</c:v>
                </c:pt>
                <c:pt idx="2" formatCode="#,##0_);[Red]\(#,##0\)">
                  <c:v>50.421875000000007</c:v>
                </c:pt>
                <c:pt idx="3" formatCode="#,##0_);[Red]\(#,##0\)">
                  <c:v>50.421875000000007</c:v>
                </c:pt>
              </c:numCache>
            </c:numRef>
          </c:yVal>
          <c:smooth val="0"/>
        </c:ser>
        <c:ser>
          <c:idx val="5"/>
          <c:order val="1"/>
          <c:tx>
            <c:strRef>
              <c:f>'結果(改修前)'!$S$13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'結果(改修前)'!$S$23:$U$23</c:f>
              <c:numCache>
                <c:formatCode>#,##0_);[Red]\(#,##0\)</c:formatCode>
                <c:ptCount val="3"/>
                <c:pt idx="1">
                  <c:v>47.249999999999993</c:v>
                </c:pt>
                <c:pt idx="2">
                  <c:v>0</c:v>
                </c:pt>
              </c:numCache>
            </c:numRef>
          </c:xVal>
          <c:yVal>
            <c:numRef>
              <c:f>'結果(改修前)'!$S$24:$U$24</c:f>
              <c:numCache>
                <c:formatCode>#,##0_);[Red]\(#,##0\)</c:formatCode>
                <c:ptCount val="3"/>
                <c:pt idx="1">
                  <c:v>50.421875000000007</c:v>
                </c:pt>
                <c:pt idx="2">
                  <c:v>0</c:v>
                </c:pt>
              </c:numCache>
            </c:numRef>
          </c:yVal>
          <c:smooth val="0"/>
        </c:ser>
        <c:ser>
          <c:idx val="8"/>
          <c:order val="2"/>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'結果(改修前)'!$R$25:$U$25</c:f>
              <c:numCache>
                <c:formatCode>General</c:formatCode>
                <c:ptCount val="4"/>
                <c:pt idx="0">
                  <c:v>0</c:v>
                </c:pt>
                <c:pt idx="1">
                  <c:v>47.249999999999993</c:v>
                </c:pt>
                <c:pt idx="2" formatCode="#,##0_);[Red]\(#,##0\)">
                  <c:v>47.249999999999993</c:v>
                </c:pt>
                <c:pt idx="3" formatCode="#,##0_);[Red]\(#,##0\)">
                  <c:v>0.1</c:v>
                </c:pt>
              </c:numCache>
            </c:numRef>
          </c:xVal>
          <c:yVal>
            <c:numRef>
              <c:f>'結果(改修前)'!$R$26:$U$26</c:f>
              <c:numCache>
                <c:formatCode>General</c:formatCode>
                <c:ptCount val="4"/>
                <c:pt idx="0">
                  <c:v>0</c:v>
                </c:pt>
                <c:pt idx="1">
                  <c:v>0</c:v>
                </c:pt>
                <c:pt idx="2" formatCode="#,##0_);[Red]\(#,##0\)">
                  <c:v>50.421875000000007</c:v>
                </c:pt>
                <c:pt idx="3" formatCode="#,##0_);[Red]\(#,##0\)">
                  <c:v>50.421875000000007</c:v>
                </c:pt>
              </c:numCache>
            </c:numRef>
          </c:yVal>
          <c:smooth val="0"/>
        </c:ser>
        <c:dLbls>
          <c:showLegendKey val="0"/>
          <c:showVal val="0"/>
          <c:showCatName val="0"/>
          <c:showSerName val="0"/>
          <c:showPercent val="0"/>
          <c:showBubbleSize val="0"/>
        </c:dLbls>
        <c:axId val="123040896"/>
        <c:axId val="123042432"/>
      </c:scatterChart>
      <c:catAx>
        <c:axId val="123025280"/>
        <c:scaling>
          <c:orientation val="minMax"/>
        </c:scaling>
        <c:delete val="0"/>
        <c:axPos val="b"/>
        <c:numFmt formatCode="#,##0_);[Red]\(#,##0\)" sourceLinked="1"/>
        <c:majorTickMark val="none"/>
        <c:minorTickMark val="none"/>
        <c:tickLblPos val="none"/>
        <c:spPr>
          <a:ln w="3175">
            <a:solidFill>
              <a:srgbClr val="000000"/>
            </a:solidFill>
            <a:prstDash val="solid"/>
          </a:ln>
        </c:spPr>
        <c:crossAx val="123026816"/>
        <c:crosses val="autoZero"/>
        <c:auto val="0"/>
        <c:lblAlgn val="ctr"/>
        <c:lblOffset val="100"/>
        <c:tickLblSkip val="50"/>
        <c:tickMarkSkip val="50"/>
        <c:noMultiLvlLbl val="0"/>
      </c:catAx>
      <c:valAx>
        <c:axId val="12302681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025280"/>
        <c:crosses val="autoZero"/>
        <c:crossBetween val="midCat"/>
        <c:majorUnit val="50"/>
      </c:valAx>
      <c:valAx>
        <c:axId val="12304089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042432"/>
        <c:crosses val="max"/>
        <c:crossBetween val="midCat"/>
        <c:majorUnit val="50"/>
      </c:valAx>
      <c:valAx>
        <c:axId val="1230424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2304089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346303501945526E-2"/>
          <c:y val="7.3529411764705885E-2"/>
          <c:w val="0.95719844357976658"/>
          <c:h val="0.8970588235294118"/>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'結果(改修前)'!$S$16</c:f>
              <c:numCache>
                <c:formatCode>#,##0.0;[Red]\-#,##0.0</c:formatCode>
                <c:ptCount val="1"/>
                <c:pt idx="0">
                  <c:v>0.4</c:v>
                </c:pt>
              </c:numCache>
            </c:numRef>
          </c:val>
        </c:ser>
        <c:dLbls>
          <c:showLegendKey val="0"/>
          <c:showVal val="0"/>
          <c:showCatName val="0"/>
          <c:showSerName val="0"/>
          <c:showPercent val="0"/>
          <c:showBubbleSize val="0"/>
        </c:dLbls>
        <c:gapWidth val="50"/>
        <c:overlap val="100"/>
        <c:axId val="123091968"/>
        <c:axId val="123093760"/>
      </c:barChart>
      <c:catAx>
        <c:axId val="123091968"/>
        <c:scaling>
          <c:orientation val="minMax"/>
        </c:scaling>
        <c:delete val="1"/>
        <c:axPos val="l"/>
        <c:numFmt formatCode="General" sourceLinked="1"/>
        <c:majorTickMark val="out"/>
        <c:minorTickMark val="none"/>
        <c:tickLblPos val="nextTo"/>
        <c:crossAx val="123093760"/>
        <c:crosses val="autoZero"/>
        <c:auto val="1"/>
        <c:lblAlgn val="ctr"/>
        <c:lblOffset val="100"/>
        <c:noMultiLvlLbl val="0"/>
      </c:catAx>
      <c:valAx>
        <c:axId val="123093760"/>
        <c:scaling>
          <c:orientation val="minMax"/>
        </c:scaling>
        <c:delete val="1"/>
        <c:axPos val="b"/>
        <c:numFmt formatCode="0%" sourceLinked="1"/>
        <c:majorTickMark val="out"/>
        <c:minorTickMark val="none"/>
        <c:tickLblPos val="nextTo"/>
        <c:crossAx val="1230919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'結果(改修前)'!$R$35</c:f>
              <c:strCache>
                <c:ptCount val="1"/>
                <c:pt idx="0">
                  <c:v>Rank(green star)</c:v>
                </c:pt>
              </c:strCache>
            </c:strRef>
          </c:cat>
          <c:val>
            <c:numRef>
              <c:f>'結果(改修前)'!$S$35</c:f>
              <c:numCache>
                <c:formatCode>#,##0.0;[Red]\-#,##0.0</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'結果(改修前)'!$R$35</c:f>
              <c:strCache>
                <c:ptCount val="1"/>
                <c:pt idx="0">
                  <c:v>Rank(green star)</c:v>
                </c:pt>
              </c:strCache>
            </c:strRef>
          </c:cat>
          <c:val>
            <c:numRef>
              <c:f>'結果(改修前)'!$S$36</c:f>
              <c:numCache>
                <c:formatCode>#,##0.0;[Red]\-#,##0.0</c:formatCode>
                <c:ptCount val="1"/>
                <c:pt idx="0">
                  <c:v>0.6</c:v>
                </c:pt>
              </c:numCache>
            </c:numRef>
          </c:val>
        </c:ser>
        <c:dLbls>
          <c:showLegendKey val="0"/>
          <c:showVal val="0"/>
          <c:showCatName val="0"/>
          <c:showSerName val="0"/>
          <c:showPercent val="0"/>
          <c:showBubbleSize val="0"/>
        </c:dLbls>
        <c:gapWidth val="50"/>
        <c:overlap val="100"/>
        <c:axId val="123180544"/>
        <c:axId val="123182080"/>
      </c:barChart>
      <c:catAx>
        <c:axId val="123180544"/>
        <c:scaling>
          <c:orientation val="minMax"/>
        </c:scaling>
        <c:delete val="1"/>
        <c:axPos val="l"/>
        <c:numFmt formatCode="General" sourceLinked="1"/>
        <c:majorTickMark val="out"/>
        <c:minorTickMark val="none"/>
        <c:tickLblPos val="nextTo"/>
        <c:crossAx val="123182080"/>
        <c:crosses val="autoZero"/>
        <c:auto val="1"/>
        <c:lblAlgn val="ctr"/>
        <c:lblOffset val="100"/>
        <c:noMultiLvlLbl val="0"/>
      </c:catAx>
      <c:valAx>
        <c:axId val="123182080"/>
        <c:scaling>
          <c:orientation val="minMax"/>
        </c:scaling>
        <c:delete val="1"/>
        <c:axPos val="b"/>
        <c:numFmt formatCode="0%" sourceLinked="1"/>
        <c:majorTickMark val="out"/>
        <c:minorTickMark val="none"/>
        <c:tickLblPos val="nextTo"/>
        <c:crossAx val="123180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46153846153849E-2"/>
          <c:y val="0.11797785172119613"/>
          <c:w val="0.89615384615384619"/>
          <c:h val="0.70224911738807216"/>
        </c:manualLayout>
      </c:layout>
      <c:barChart>
        <c:barDir val="bar"/>
        <c:grouping val="stacked"/>
        <c:varyColors val="0"/>
        <c:ser>
          <c:idx val="0"/>
          <c:order val="0"/>
          <c:tx>
            <c:strRef>
              <c:f>'結果(改修前)'!$S$38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'結果(改修前)'!$S$39:$S$42</c:f>
              <c:numCache>
                <c:formatCode>General</c:formatCode>
                <c:ptCount val="4"/>
                <c:pt idx="0">
                  <c:v>14.004999999999999</c:v>
                </c:pt>
                <c:pt idx="1">
                  <c:v>11.739099999999999</c:v>
                </c:pt>
              </c:numCache>
            </c:numRef>
          </c:val>
        </c:ser>
        <c:ser>
          <c:idx val="1"/>
          <c:order val="1"/>
          <c:tx>
            <c:strRef>
              <c:f>'結果(改修前)'!$T$38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'結果(改修前)'!$T$39:$T$42</c:f>
              <c:numCache>
                <c:formatCode>General</c:formatCode>
                <c:ptCount val="4"/>
                <c:pt idx="0">
                  <c:v>15.990999999999998</c:v>
                </c:pt>
                <c:pt idx="1">
                  <c:v>15.990999999999998</c:v>
                </c:pt>
              </c:numCache>
            </c:numRef>
          </c:val>
        </c:ser>
        <c:ser>
          <c:idx val="2"/>
          <c:order val="2"/>
          <c:tx>
            <c:strRef>
              <c:f>'結果(改修前)'!$U$38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'結果(改修前)'!$U$39:$U$42</c:f>
              <c:numCache>
                <c:formatCode>General</c:formatCode>
                <c:ptCount val="4"/>
                <c:pt idx="0">
                  <c:v>119.9773426229508</c:v>
                </c:pt>
                <c:pt idx="1">
                  <c:v>107.97960836065572</c:v>
                </c:pt>
              </c:numCache>
            </c:numRef>
          </c:val>
        </c:ser>
        <c:ser>
          <c:idx val="3"/>
          <c:order val="3"/>
          <c:tx>
            <c:strRef>
              <c:f>'結果(改修前)'!$V$38</c:f>
              <c:strCache>
                <c:ptCount val="1"/>
                <c:pt idx="0">
                  <c:v>オンサイト</c:v>
                </c:pt>
              </c:strCache>
            </c:strRef>
          </c:tx>
          <c:spPr>
            <a:solidFill>
              <a:srgbClr val="969696"/>
            </a:solidFill>
            <a:ln w="12700">
              <a:solidFill>
                <a:srgbClr val="000000"/>
              </a:solidFill>
              <a:prstDash val="solid"/>
            </a:ln>
          </c:spPr>
          <c:invertIfNegative val="0"/>
          <c:val>
            <c:numRef>
              <c:f>'結果(改修前)'!$V$39:$V$42</c:f>
              <c:numCache>
                <c:formatCode>General</c:formatCode>
                <c:ptCount val="4"/>
                <c:pt idx="2">
                  <c:v>135.70970836065572</c:v>
                </c:pt>
              </c:numCache>
            </c:numRef>
          </c:val>
        </c:ser>
        <c:ser>
          <c:idx val="4"/>
          <c:order val="4"/>
          <c:tx>
            <c:strRef>
              <c:f>'結果(改修前)'!$W$38</c:f>
              <c:strCache>
                <c:ptCount val="1"/>
                <c:pt idx="0">
                  <c:v>オフサイト</c:v>
                </c:pt>
              </c:strCache>
            </c:strRef>
          </c:tx>
          <c:spPr>
            <a:pattFill prst="pct6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val>
            <c:numRef>
              <c:f>'結果(改修前)'!$W$39:$W$42</c:f>
              <c:numCache>
                <c:formatCode>General</c:formatCode>
                <c:ptCount val="4"/>
                <c:pt idx="3">
                  <c:v>135.70970836065572</c:v>
                </c:pt>
              </c:numCache>
            </c:numRef>
          </c:val>
        </c:ser>
        <c:dLbls>
          <c:showLegendKey val="0"/>
          <c:showVal val="0"/>
          <c:showCatName val="0"/>
          <c:showSerName val="0"/>
          <c:showPercent val="0"/>
          <c:showBubbleSize val="0"/>
        </c:dLbls>
        <c:gapWidth val="50"/>
        <c:overlap val="100"/>
        <c:axId val="123239040"/>
        <c:axId val="123249024"/>
      </c:barChart>
      <c:catAx>
        <c:axId val="123239040"/>
        <c:scaling>
          <c:orientation val="maxMin"/>
        </c:scaling>
        <c:delete val="1"/>
        <c:axPos val="l"/>
        <c:majorTickMark val="out"/>
        <c:minorTickMark val="none"/>
        <c:tickLblPos val="nextTo"/>
        <c:crossAx val="123249024"/>
        <c:crosses val="autoZero"/>
        <c:auto val="1"/>
        <c:lblAlgn val="ctr"/>
        <c:lblOffset val="100"/>
        <c:noMultiLvlLbl val="0"/>
      </c:catAx>
      <c:valAx>
        <c:axId val="123249024"/>
        <c:scaling>
          <c:orientation val="minMax"/>
        </c:scaling>
        <c:delete val="0"/>
        <c:axPos val="b"/>
        <c:majorGridlines>
          <c:spPr>
            <a:ln w="3175">
              <a:solidFill>
                <a:srgbClr val="80808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239040"/>
        <c:crosses val="max"/>
        <c:crossBetween val="between"/>
      </c:valAx>
      <c:spPr>
        <a:noFill/>
        <a:ln w="3175">
          <a:solidFill>
            <a:srgbClr val="000000"/>
          </a:solidFill>
          <a:prstDash val="solid"/>
        </a:ln>
      </c:spPr>
    </c:plotArea>
    <c:legend>
      <c:legendPos val="t"/>
      <c:layout>
        <c:manualLayout>
          <c:xMode val="edge"/>
          <c:yMode val="edge"/>
          <c:x val="4.230769230769231E-2"/>
          <c:y val="2.8089964695522888E-2"/>
          <c:w val="0.88846153846153841"/>
          <c:h val="8.9887887025673241E-2"/>
        </c:manualLayout>
      </c:layout>
      <c:overlay val="0"/>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'スコア（重点項目）（改修前）'!$X$10</c:f>
              <c:strCache>
                <c:ptCount val="1"/>
                <c:pt idx="0">
                  <c:v>①</c:v>
                </c:pt>
              </c:strCache>
            </c:strRef>
          </c:cat>
          <c:val>
            <c:numRef>
              <c:f>'スコア（重点項目）（改修前）'!$X$13</c:f>
              <c:numCache>
                <c:formatCode>#,##0.0_);[Red]\(#,##0.0\)</c:formatCode>
                <c:ptCount val="1"/>
                <c:pt idx="0">
                  <c:v>0.8</c:v>
                </c:pt>
              </c:numCache>
            </c:numRef>
          </c:val>
        </c:ser>
        <c:ser>
          <c:idx val="1"/>
          <c:order val="1"/>
          <c:spPr>
            <a:noFill/>
            <a:ln w="25400">
              <a:noFill/>
            </a:ln>
          </c:spPr>
          <c:invertIfNegative val="0"/>
          <c:cat>
            <c:strRef>
              <c:f>'スコア（重点項目）（改修前）'!$X$10</c:f>
              <c:strCache>
                <c:ptCount val="1"/>
                <c:pt idx="0">
                  <c:v>①</c:v>
                </c:pt>
              </c:strCache>
            </c:strRef>
          </c:cat>
          <c:val>
            <c:numRef>
              <c:f>'スコア（重点項目）（改修前）'!$X$14</c:f>
              <c:numCache>
                <c:formatCode>#,##0.0_);[Red]\(#,##0.0\)</c:formatCode>
                <c:ptCount val="1"/>
                <c:pt idx="0">
                  <c:v>0.19999999999999996</c:v>
                </c:pt>
              </c:numCache>
            </c:numRef>
          </c:val>
        </c:ser>
        <c:dLbls>
          <c:showLegendKey val="0"/>
          <c:showVal val="0"/>
          <c:showCatName val="0"/>
          <c:showSerName val="0"/>
          <c:showPercent val="0"/>
          <c:showBubbleSize val="0"/>
        </c:dLbls>
        <c:gapWidth val="50"/>
        <c:overlap val="100"/>
        <c:axId val="123303808"/>
        <c:axId val="123305344"/>
      </c:barChart>
      <c:catAx>
        <c:axId val="123303808"/>
        <c:scaling>
          <c:orientation val="minMax"/>
        </c:scaling>
        <c:delete val="1"/>
        <c:axPos val="l"/>
        <c:majorTickMark val="out"/>
        <c:minorTickMark val="none"/>
        <c:tickLblPos val="nextTo"/>
        <c:crossAx val="123305344"/>
        <c:crosses val="autoZero"/>
        <c:auto val="1"/>
        <c:lblAlgn val="ctr"/>
        <c:lblOffset val="100"/>
        <c:noMultiLvlLbl val="0"/>
      </c:catAx>
      <c:valAx>
        <c:axId val="123305344"/>
        <c:scaling>
          <c:orientation val="minMax"/>
        </c:scaling>
        <c:delete val="1"/>
        <c:axPos val="b"/>
        <c:numFmt formatCode="0%" sourceLinked="1"/>
        <c:majorTickMark val="out"/>
        <c:minorTickMark val="none"/>
        <c:tickLblPos val="nextTo"/>
        <c:crossAx val="12330380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'スコア（重点項目）（改修前）'!$Y$10</c:f>
              <c:strCache>
                <c:ptCount val="1"/>
                <c:pt idx="0">
                  <c:v>②</c:v>
                </c:pt>
              </c:strCache>
            </c:strRef>
          </c:cat>
          <c:val>
            <c:numRef>
              <c:f>'スコア（重点項目）（改修前）'!$Y$13</c:f>
              <c:numCache>
                <c:formatCode>#,##0.0_);[Red]\(#,##0.0\)</c:formatCode>
                <c:ptCount val="1"/>
                <c:pt idx="0">
                  <c:v>0.6</c:v>
                </c:pt>
              </c:numCache>
            </c:numRef>
          </c:val>
        </c:ser>
        <c:ser>
          <c:idx val="1"/>
          <c:order val="1"/>
          <c:spPr>
            <a:noFill/>
            <a:ln w="25400">
              <a:noFill/>
            </a:ln>
          </c:spPr>
          <c:invertIfNegative val="0"/>
          <c:cat>
            <c:strRef>
              <c:f>'スコア（重点項目）（改修前）'!$Y$10</c:f>
              <c:strCache>
                <c:ptCount val="1"/>
                <c:pt idx="0">
                  <c:v>②</c:v>
                </c:pt>
              </c:strCache>
            </c:strRef>
          </c:cat>
          <c:val>
            <c:numRef>
              <c:f>'スコア（重点項目）（改修前）'!$Y$14</c:f>
              <c:numCache>
                <c:formatCode>#,##0.0_);[Red]\(#,##0.0\)</c:formatCode>
                <c:ptCount val="1"/>
                <c:pt idx="0">
                  <c:v>0.4</c:v>
                </c:pt>
              </c:numCache>
            </c:numRef>
          </c:val>
        </c:ser>
        <c:dLbls>
          <c:showLegendKey val="0"/>
          <c:showVal val="0"/>
          <c:showCatName val="0"/>
          <c:showSerName val="0"/>
          <c:showPercent val="0"/>
          <c:showBubbleSize val="0"/>
        </c:dLbls>
        <c:gapWidth val="50"/>
        <c:overlap val="100"/>
        <c:axId val="123317632"/>
        <c:axId val="123319424"/>
      </c:barChart>
      <c:catAx>
        <c:axId val="123317632"/>
        <c:scaling>
          <c:orientation val="minMax"/>
        </c:scaling>
        <c:delete val="1"/>
        <c:axPos val="l"/>
        <c:majorTickMark val="out"/>
        <c:minorTickMark val="none"/>
        <c:tickLblPos val="nextTo"/>
        <c:crossAx val="123319424"/>
        <c:crosses val="autoZero"/>
        <c:auto val="1"/>
        <c:lblAlgn val="ctr"/>
        <c:lblOffset val="100"/>
        <c:noMultiLvlLbl val="0"/>
      </c:catAx>
      <c:valAx>
        <c:axId val="123319424"/>
        <c:scaling>
          <c:orientation val="minMax"/>
        </c:scaling>
        <c:delete val="1"/>
        <c:axPos val="b"/>
        <c:numFmt formatCode="0%" sourceLinked="1"/>
        <c:majorTickMark val="out"/>
        <c:minorTickMark val="none"/>
        <c:tickLblPos val="nextTo"/>
        <c:crossAx val="12331763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'スコア（重点項目）（改修前）'!$W$10</c:f>
              <c:strCache>
                <c:ptCount val="1"/>
                <c:pt idx="0">
                  <c:v>総合評価
結果</c:v>
                </c:pt>
              </c:strCache>
            </c:strRef>
          </c:cat>
          <c:val>
            <c:numRef>
              <c:f>'スコア（重点項目）（改修前）'!$W$13</c:f>
              <c:numCache>
                <c:formatCode>#,##0.0_);[Red]\(#,##0.0\)</c:formatCode>
                <c:ptCount val="1"/>
                <c:pt idx="0">
                  <c:v>0.6</c:v>
                </c:pt>
              </c:numCache>
            </c:numRef>
          </c:val>
        </c:ser>
        <c:ser>
          <c:idx val="1"/>
          <c:order val="1"/>
          <c:spPr>
            <a:noFill/>
            <a:ln w="25400">
              <a:noFill/>
            </a:ln>
          </c:spPr>
          <c:invertIfNegative val="0"/>
          <c:cat>
            <c:strRef>
              <c:f>'スコア（重点項目）（改修前）'!$W$10</c:f>
              <c:strCache>
                <c:ptCount val="1"/>
                <c:pt idx="0">
                  <c:v>総合評価
結果</c:v>
                </c:pt>
              </c:strCache>
            </c:strRef>
          </c:cat>
          <c:val>
            <c:numRef>
              <c:f>'スコア（重点項目）（改修前）'!$W$14</c:f>
              <c:numCache>
                <c:formatCode>#,##0.0_);[Red]\(#,##0.0\)</c:formatCode>
                <c:ptCount val="1"/>
                <c:pt idx="0">
                  <c:v>0.4</c:v>
                </c:pt>
              </c:numCache>
            </c:numRef>
          </c:val>
        </c:ser>
        <c:dLbls>
          <c:showLegendKey val="0"/>
          <c:showVal val="0"/>
          <c:showCatName val="0"/>
          <c:showSerName val="0"/>
          <c:showPercent val="0"/>
          <c:showBubbleSize val="0"/>
        </c:dLbls>
        <c:gapWidth val="50"/>
        <c:overlap val="100"/>
        <c:axId val="123434112"/>
        <c:axId val="123435648"/>
      </c:barChart>
      <c:catAx>
        <c:axId val="123434112"/>
        <c:scaling>
          <c:orientation val="minMax"/>
        </c:scaling>
        <c:delete val="1"/>
        <c:axPos val="l"/>
        <c:majorTickMark val="out"/>
        <c:minorTickMark val="none"/>
        <c:tickLblPos val="nextTo"/>
        <c:crossAx val="123435648"/>
        <c:crosses val="autoZero"/>
        <c:auto val="1"/>
        <c:lblAlgn val="ctr"/>
        <c:lblOffset val="100"/>
        <c:noMultiLvlLbl val="0"/>
      </c:catAx>
      <c:valAx>
        <c:axId val="123435648"/>
        <c:scaling>
          <c:orientation val="minMax"/>
        </c:scaling>
        <c:delete val="1"/>
        <c:axPos val="b"/>
        <c:numFmt formatCode="0%" sourceLinked="1"/>
        <c:majorTickMark val="out"/>
        <c:minorTickMark val="none"/>
        <c:tickLblPos val="nextTo"/>
        <c:crossAx val="12343411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'スコア（重点項目）（改修後）'!$W$10</c:f>
              <c:strCache>
                <c:ptCount val="1"/>
                <c:pt idx="0">
                  <c:v>総合評価
結果</c:v>
                </c:pt>
              </c:strCache>
            </c:strRef>
          </c:cat>
          <c:val>
            <c:numRef>
              <c:f>'スコア（重点項目）（改修後）'!$W$13</c:f>
              <c:numCache>
                <c:formatCode>#,##0.0_);[Red]\(#,##0.0\)</c:formatCode>
                <c:ptCount val="1"/>
                <c:pt idx="0">
                  <c:v>0.6</c:v>
                </c:pt>
              </c:numCache>
            </c:numRef>
          </c:val>
        </c:ser>
        <c:ser>
          <c:idx val="1"/>
          <c:order val="1"/>
          <c:spPr>
            <a:noFill/>
            <a:ln w="25400">
              <a:noFill/>
            </a:ln>
          </c:spPr>
          <c:invertIfNegative val="0"/>
          <c:cat>
            <c:strRef>
              <c:f>'スコア（重点項目）（改修後）'!$W$10</c:f>
              <c:strCache>
                <c:ptCount val="1"/>
                <c:pt idx="0">
                  <c:v>総合評価
結果</c:v>
                </c:pt>
              </c:strCache>
            </c:strRef>
          </c:cat>
          <c:val>
            <c:numRef>
              <c:f>'スコア（重点項目）（改修後）'!$W$14</c:f>
              <c:numCache>
                <c:formatCode>#,##0.0_);[Red]\(#,##0.0\)</c:formatCode>
                <c:ptCount val="1"/>
                <c:pt idx="0">
                  <c:v>0.4</c:v>
                </c:pt>
              </c:numCache>
            </c:numRef>
          </c:val>
        </c:ser>
        <c:dLbls>
          <c:showLegendKey val="0"/>
          <c:showVal val="0"/>
          <c:showCatName val="0"/>
          <c:showSerName val="0"/>
          <c:showPercent val="0"/>
          <c:showBubbleSize val="0"/>
        </c:dLbls>
        <c:gapWidth val="50"/>
        <c:overlap val="100"/>
        <c:axId val="114170112"/>
        <c:axId val="114176000"/>
      </c:barChart>
      <c:catAx>
        <c:axId val="114170112"/>
        <c:scaling>
          <c:orientation val="minMax"/>
        </c:scaling>
        <c:delete val="1"/>
        <c:axPos val="l"/>
        <c:majorTickMark val="out"/>
        <c:minorTickMark val="none"/>
        <c:tickLblPos val="nextTo"/>
        <c:crossAx val="114176000"/>
        <c:crosses val="autoZero"/>
        <c:auto val="1"/>
        <c:lblAlgn val="ctr"/>
        <c:lblOffset val="100"/>
        <c:noMultiLvlLbl val="0"/>
      </c:catAx>
      <c:valAx>
        <c:axId val="114176000"/>
        <c:scaling>
          <c:orientation val="minMax"/>
        </c:scaling>
        <c:delete val="1"/>
        <c:axPos val="b"/>
        <c:numFmt formatCode="0%" sourceLinked="1"/>
        <c:majorTickMark val="out"/>
        <c:minorTickMark val="none"/>
        <c:tickLblPos val="nextTo"/>
        <c:crossAx val="11417011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'スコア（重点項目）（改修前）'!$Z$10</c:f>
              <c:strCache>
                <c:ptCount val="1"/>
                <c:pt idx="0">
                  <c:v>③</c:v>
                </c:pt>
              </c:strCache>
            </c:strRef>
          </c:cat>
          <c:val>
            <c:numRef>
              <c:f>'スコア（重点項目）（改修前）'!$Z$13</c:f>
              <c:numCache>
                <c:formatCode>#,##0.0_);[Red]\(#,##0.0\)</c:formatCode>
                <c:ptCount val="1"/>
                <c:pt idx="0">
                  <c:v>0.6</c:v>
                </c:pt>
              </c:numCache>
            </c:numRef>
          </c:val>
        </c:ser>
        <c:ser>
          <c:idx val="1"/>
          <c:order val="1"/>
          <c:spPr>
            <a:noFill/>
            <a:ln w="25400">
              <a:noFill/>
            </a:ln>
          </c:spPr>
          <c:invertIfNegative val="0"/>
          <c:cat>
            <c:strRef>
              <c:f>'スコア（重点項目）（改修前）'!$Z$10</c:f>
              <c:strCache>
                <c:ptCount val="1"/>
                <c:pt idx="0">
                  <c:v>③</c:v>
                </c:pt>
              </c:strCache>
            </c:strRef>
          </c:cat>
          <c:val>
            <c:numRef>
              <c:f>'スコア（重点項目）（改修前）'!$Z$14</c:f>
              <c:numCache>
                <c:formatCode>#,##0.0_);[Red]\(#,##0.0\)</c:formatCode>
                <c:ptCount val="1"/>
                <c:pt idx="0">
                  <c:v>0.4</c:v>
                </c:pt>
              </c:numCache>
            </c:numRef>
          </c:val>
        </c:ser>
        <c:dLbls>
          <c:showLegendKey val="0"/>
          <c:showVal val="0"/>
          <c:showCatName val="0"/>
          <c:showSerName val="0"/>
          <c:showPercent val="0"/>
          <c:showBubbleSize val="0"/>
        </c:dLbls>
        <c:gapWidth val="50"/>
        <c:overlap val="100"/>
        <c:axId val="123460224"/>
        <c:axId val="123478400"/>
      </c:barChart>
      <c:catAx>
        <c:axId val="123460224"/>
        <c:scaling>
          <c:orientation val="minMax"/>
        </c:scaling>
        <c:delete val="1"/>
        <c:axPos val="l"/>
        <c:majorTickMark val="out"/>
        <c:minorTickMark val="none"/>
        <c:tickLblPos val="nextTo"/>
        <c:crossAx val="123478400"/>
        <c:crosses val="autoZero"/>
        <c:auto val="1"/>
        <c:lblAlgn val="ctr"/>
        <c:lblOffset val="100"/>
        <c:noMultiLvlLbl val="0"/>
      </c:catAx>
      <c:valAx>
        <c:axId val="123478400"/>
        <c:scaling>
          <c:orientation val="minMax"/>
        </c:scaling>
        <c:delete val="1"/>
        <c:axPos val="b"/>
        <c:numFmt formatCode="0%" sourceLinked="1"/>
        <c:majorTickMark val="out"/>
        <c:minorTickMark val="none"/>
        <c:tickLblPos val="nextTo"/>
        <c:crossAx val="12346022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'スコア（重点項目）（改修前）'!$AA$10</c:f>
              <c:strCache>
                <c:ptCount val="1"/>
                <c:pt idx="0">
                  <c:v>④</c:v>
                </c:pt>
              </c:strCache>
            </c:strRef>
          </c:cat>
          <c:val>
            <c:numRef>
              <c:f>'スコア（重点項目）（改修前）'!$AA$13</c:f>
              <c:numCache>
                <c:formatCode>#,##0.0_);[Red]\(#,##0.0\)</c:formatCode>
                <c:ptCount val="1"/>
                <c:pt idx="0">
                  <c:v>0.6</c:v>
                </c:pt>
              </c:numCache>
            </c:numRef>
          </c:val>
        </c:ser>
        <c:ser>
          <c:idx val="1"/>
          <c:order val="1"/>
          <c:spPr>
            <a:noFill/>
            <a:ln w="25400">
              <a:noFill/>
            </a:ln>
          </c:spPr>
          <c:invertIfNegative val="0"/>
          <c:cat>
            <c:strRef>
              <c:f>'スコア（重点項目）（改修前）'!$AA$10</c:f>
              <c:strCache>
                <c:ptCount val="1"/>
                <c:pt idx="0">
                  <c:v>④</c:v>
                </c:pt>
              </c:strCache>
            </c:strRef>
          </c:cat>
          <c:val>
            <c:numRef>
              <c:f>'スコア（重点項目）（改修前）'!$AA$14</c:f>
              <c:numCache>
                <c:formatCode>#,##0.0_);[Red]\(#,##0.0\)</c:formatCode>
                <c:ptCount val="1"/>
                <c:pt idx="0">
                  <c:v>0.4</c:v>
                </c:pt>
              </c:numCache>
            </c:numRef>
          </c:val>
        </c:ser>
        <c:dLbls>
          <c:showLegendKey val="0"/>
          <c:showVal val="0"/>
          <c:showCatName val="0"/>
          <c:showSerName val="0"/>
          <c:showPercent val="0"/>
          <c:showBubbleSize val="0"/>
        </c:dLbls>
        <c:gapWidth val="50"/>
        <c:overlap val="100"/>
        <c:axId val="123502976"/>
        <c:axId val="123504512"/>
      </c:barChart>
      <c:catAx>
        <c:axId val="123502976"/>
        <c:scaling>
          <c:orientation val="minMax"/>
        </c:scaling>
        <c:delete val="1"/>
        <c:axPos val="l"/>
        <c:majorTickMark val="out"/>
        <c:minorTickMark val="none"/>
        <c:tickLblPos val="nextTo"/>
        <c:crossAx val="123504512"/>
        <c:crosses val="autoZero"/>
        <c:auto val="1"/>
        <c:lblAlgn val="ctr"/>
        <c:lblOffset val="100"/>
        <c:noMultiLvlLbl val="0"/>
      </c:catAx>
      <c:valAx>
        <c:axId val="123504512"/>
        <c:scaling>
          <c:orientation val="minMax"/>
        </c:scaling>
        <c:delete val="1"/>
        <c:axPos val="b"/>
        <c:numFmt formatCode="0%" sourceLinked="1"/>
        <c:majorTickMark val="out"/>
        <c:minorTickMark val="none"/>
        <c:tickLblPos val="nextTo"/>
        <c:crossAx val="12350297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17462685299719"/>
          <c:y val="0.21090909090909091"/>
          <c:w val="0.48985645905927044"/>
          <c:h val="0.61454545454545451"/>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'スコア（重点項目）（改修前）'!$AE$11:$AE$14</c:f>
              <c:numCache>
                <c:formatCode>General</c:formatCode>
                <c:ptCount val="4"/>
                <c:pt idx="0">
                  <c:v>125</c:v>
                </c:pt>
                <c:pt idx="1">
                  <c:v>125</c:v>
                </c:pt>
                <c:pt idx="2">
                  <c:v>125</c:v>
                </c:pt>
                <c:pt idx="3">
                  <c:v>125</c:v>
                </c:pt>
              </c:numCache>
            </c:numRef>
          </c:val>
        </c:ser>
        <c:ser>
          <c:idx val="3"/>
          <c:order val="1"/>
          <c:tx>
            <c:v>スコア</c:v>
          </c:tx>
          <c:spPr>
            <a:pattFill prst="pct50">
              <a:fgClr>
                <a:srgbClr val="CCCCFF"/>
              </a:fgClr>
              <a:bgClr>
                <a:srgbClr val="FFFFFF"/>
              </a:bgClr>
            </a:pattFill>
            <a:ln w="254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'スコア（重点項目）（改修前）'!$AI$11:$AI$14</c:f>
              <c:numCache>
                <c:formatCode>#,##0.0_);[Red]\(#,##0.0\)</c:formatCode>
                <c:ptCount val="4"/>
                <c:pt idx="0">
                  <c:v>80.3</c:v>
                </c:pt>
                <c:pt idx="1">
                  <c:v>75</c:v>
                </c:pt>
                <c:pt idx="2">
                  <c:v>75</c:v>
                </c:pt>
                <c:pt idx="3">
                  <c:v>75</c:v>
                </c:pt>
              </c:numCache>
            </c:numRef>
          </c:val>
        </c:ser>
        <c:ser>
          <c:idx val="1"/>
          <c:order val="2"/>
          <c:tx>
            <c:v>100</c:v>
          </c:tx>
          <c:spPr>
            <a:noFill/>
            <a:ln w="12700">
              <a:solidFill>
                <a:srgbClr val="FF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'スコア（重点項目）（改修前）'!$AF$11:$AF$14</c:f>
              <c:numCache>
                <c:formatCode>General</c:formatCode>
                <c:ptCount val="4"/>
                <c:pt idx="0">
                  <c:v>100</c:v>
                </c:pt>
                <c:pt idx="1">
                  <c:v>100</c:v>
                </c:pt>
                <c:pt idx="2">
                  <c:v>100</c:v>
                </c:pt>
                <c:pt idx="3">
                  <c:v>100</c:v>
                </c:pt>
              </c:numCache>
            </c:numRef>
          </c:val>
        </c:ser>
        <c:ser>
          <c:idx val="4"/>
          <c:order val="3"/>
          <c:tx>
            <c:v>75</c:v>
          </c:tx>
          <c:spPr>
            <a:noFill/>
            <a:ln w="127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'スコア（重点項目）（改修前）'!$AG$11:$AG$14</c:f>
              <c:numCache>
                <c:formatCode>General</c:formatCode>
                <c:ptCount val="4"/>
                <c:pt idx="0">
                  <c:v>75</c:v>
                </c:pt>
                <c:pt idx="1">
                  <c:v>75</c:v>
                </c:pt>
                <c:pt idx="2">
                  <c:v>75</c:v>
                </c:pt>
                <c:pt idx="3">
                  <c:v>75</c:v>
                </c:pt>
              </c:numCache>
            </c:numRef>
          </c:val>
        </c:ser>
        <c:ser>
          <c:idx val="2"/>
          <c:order val="4"/>
          <c:tx>
            <c:v>50</c:v>
          </c:tx>
          <c:spPr>
            <a:noFill/>
            <a:ln w="127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'スコア（重点項目）（改修前）'!$AH$11:$AH$14</c:f>
              <c:numCache>
                <c:formatCode>General</c:formatCode>
                <c:ptCount val="4"/>
                <c:pt idx="0">
                  <c:v>50</c:v>
                </c:pt>
                <c:pt idx="1">
                  <c:v>50</c:v>
                </c:pt>
                <c:pt idx="2">
                  <c:v>50</c:v>
                </c:pt>
                <c:pt idx="3">
                  <c:v>50</c:v>
                </c:pt>
              </c:numCache>
            </c:numRef>
          </c:val>
        </c:ser>
        <c:dLbls>
          <c:showLegendKey val="0"/>
          <c:showVal val="0"/>
          <c:showCatName val="0"/>
          <c:showSerName val="0"/>
          <c:showPercent val="0"/>
          <c:showBubbleSize val="0"/>
        </c:dLbls>
        <c:axId val="123539840"/>
        <c:axId val="123541376"/>
      </c:radarChart>
      <c:catAx>
        <c:axId val="1235398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23541376"/>
        <c:crosses val="autoZero"/>
        <c:auto val="0"/>
        <c:lblAlgn val="ctr"/>
        <c:lblOffset val="100"/>
        <c:noMultiLvlLbl val="0"/>
      </c:catAx>
      <c:valAx>
        <c:axId val="123541376"/>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3539840"/>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23084971681158E-2"/>
          <c:y val="8.2840476032255542E-2"/>
          <c:w val="0.92236164711769564"/>
          <c:h val="0.71597839999306578"/>
        </c:manualLayout>
      </c:layout>
      <c:barChart>
        <c:barDir val="col"/>
        <c:grouping val="clustered"/>
        <c:varyColors val="0"/>
        <c:ser>
          <c:idx val="0"/>
          <c:order val="0"/>
          <c:tx>
            <c:strRef>
              <c:f>改修前後の比較!$X$46</c:f>
              <c:strCache>
                <c:ptCount val="1"/>
                <c:pt idx="0">
                  <c:v>befoer</c:v>
                </c:pt>
              </c:strCache>
            </c:strRef>
          </c:tx>
          <c:spPr>
            <a:solidFill>
              <a:srgbClr val="FF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改修前後の比較!$W$51:$W$53</c:f>
              <c:strCache>
                <c:ptCount val="3"/>
                <c:pt idx="0">
                  <c:v>機能性</c:v>
                </c:pt>
                <c:pt idx="1">
                  <c:v>耐用性・信頼性</c:v>
                </c:pt>
                <c:pt idx="2">
                  <c:v>対応性･更新性</c:v>
                </c:pt>
              </c:strCache>
            </c:strRef>
          </c:cat>
          <c:val>
            <c:numRef>
              <c:f>改修前後の比較!$X$51:$X$53</c:f>
              <c:numCache>
                <c:formatCode>0.0_ </c:formatCode>
                <c:ptCount val="3"/>
                <c:pt idx="0">
                  <c:v>3</c:v>
                </c:pt>
                <c:pt idx="1">
                  <c:v>3.1</c:v>
                </c:pt>
                <c:pt idx="2">
                  <c:v>3</c:v>
                </c:pt>
              </c:numCache>
            </c:numRef>
          </c:val>
        </c:ser>
        <c:ser>
          <c:idx val="1"/>
          <c:order val="1"/>
          <c:tx>
            <c:strRef>
              <c:f>改修前後の比較!$Z$46</c:f>
              <c:strCache>
                <c:ptCount val="1"/>
                <c:pt idx="0">
                  <c:v>after</c:v>
                </c:pt>
              </c:strCache>
            </c:strRef>
          </c:tx>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改修前後の比較!$W$51:$W$53</c:f>
              <c:strCache>
                <c:ptCount val="3"/>
                <c:pt idx="0">
                  <c:v>機能性</c:v>
                </c:pt>
                <c:pt idx="1">
                  <c:v>耐用性・信頼性</c:v>
                </c:pt>
                <c:pt idx="2">
                  <c:v>対応性･更新性</c:v>
                </c:pt>
              </c:strCache>
            </c:strRef>
          </c:cat>
          <c:val>
            <c:numRef>
              <c:f>改修前後の比較!$Z$51:$Z$53</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6563968"/>
        <c:axId val="116565504"/>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ser>
        <c:dLbls>
          <c:showLegendKey val="0"/>
          <c:showVal val="1"/>
          <c:showCatName val="0"/>
          <c:showSerName val="0"/>
          <c:showPercent val="0"/>
          <c:showBubbleSize val="0"/>
        </c:dLbls>
        <c:axId val="116563968"/>
        <c:axId val="116565504"/>
      </c:scatterChart>
      <c:catAx>
        <c:axId val="116563968"/>
        <c:scaling>
          <c:orientation val="minMax"/>
        </c:scaling>
        <c:delete val="1"/>
        <c:axPos val="b"/>
        <c:numFmt formatCode="General" sourceLinked="1"/>
        <c:majorTickMark val="out"/>
        <c:minorTickMark val="none"/>
        <c:tickLblPos val="nextTo"/>
        <c:crossAx val="116565504"/>
        <c:crossesAt val="0"/>
        <c:auto val="1"/>
        <c:lblAlgn val="ctr"/>
        <c:lblOffset val="100"/>
        <c:noMultiLvlLbl val="0"/>
      </c:catAx>
      <c:valAx>
        <c:axId val="1165655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5639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5798889621998E-2"/>
          <c:y val="8.2840476032255542E-2"/>
          <c:w val="0.92088749889904764"/>
          <c:h val="0.7218955768525126"/>
        </c:manualLayout>
      </c:layout>
      <c:barChart>
        <c:barDir val="col"/>
        <c:grouping val="clustered"/>
        <c:varyColors val="0"/>
        <c:ser>
          <c:idx val="0"/>
          <c:order val="0"/>
          <c:tx>
            <c:strRef>
              <c:f>改修前後の比較!$AC$46</c:f>
              <c:strCache>
                <c:ptCount val="1"/>
                <c:pt idx="0">
                  <c:v>befoer</c:v>
                </c:pt>
              </c:strCache>
            </c:strRef>
          </c:tx>
          <c:spPr>
            <a:solidFill>
              <a:srgbClr val="CC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改修前後の比較!$AB$62:$AB$64</c:f>
              <c:strCache>
                <c:ptCount val="3"/>
                <c:pt idx="0">
                  <c:v>地球温暖化への配慮</c:v>
                </c:pt>
                <c:pt idx="1">
                  <c:v>地域環境への配慮</c:v>
                </c:pt>
                <c:pt idx="2">
                  <c:v>周辺環境への配慮</c:v>
                </c:pt>
              </c:strCache>
            </c:strRef>
          </c:cat>
          <c:val>
            <c:numRef>
              <c:f>改修前後の比較!$AC$62:$AC$64</c:f>
              <c:numCache>
                <c:formatCode>0.0_ </c:formatCode>
                <c:ptCount val="3"/>
                <c:pt idx="0">
                  <c:v>3.3</c:v>
                </c:pt>
                <c:pt idx="1">
                  <c:v>3</c:v>
                </c:pt>
                <c:pt idx="2">
                  <c:v>3</c:v>
                </c:pt>
              </c:numCache>
            </c:numRef>
          </c:val>
        </c:ser>
        <c:ser>
          <c:idx val="1"/>
          <c:order val="1"/>
          <c:tx>
            <c:strRef>
              <c:f>改修前後の比較!$AE$46</c:f>
              <c:strCache>
                <c:ptCount val="1"/>
                <c:pt idx="0">
                  <c:v>after</c:v>
                </c:pt>
              </c:strCache>
            </c:strRef>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改修前後の比較!$AB$62:$AB$64</c:f>
              <c:strCache>
                <c:ptCount val="3"/>
                <c:pt idx="0">
                  <c:v>地球温暖化への配慮</c:v>
                </c:pt>
                <c:pt idx="1">
                  <c:v>地域環境への配慮</c:v>
                </c:pt>
                <c:pt idx="2">
                  <c:v>周辺環境への配慮</c:v>
                </c:pt>
              </c:strCache>
            </c:strRef>
          </c:cat>
          <c:val>
            <c:numRef>
              <c:f>改修前後の比較!$AE$62:$AE$64</c:f>
              <c:numCache>
                <c:formatCode>0.0_ </c:formatCode>
                <c:ptCount val="3"/>
                <c:pt idx="0">
                  <c:v>3.3</c:v>
                </c:pt>
                <c:pt idx="1">
                  <c:v>3</c:v>
                </c:pt>
                <c:pt idx="2">
                  <c:v>3</c:v>
                </c:pt>
              </c:numCache>
            </c:numRef>
          </c:val>
        </c:ser>
        <c:dLbls>
          <c:showLegendKey val="0"/>
          <c:showVal val="1"/>
          <c:showCatName val="0"/>
          <c:showSerName val="0"/>
          <c:showPercent val="0"/>
          <c:showBubbleSize val="0"/>
        </c:dLbls>
        <c:gapWidth val="70"/>
        <c:axId val="123785216"/>
        <c:axId val="123786752"/>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ser>
        <c:dLbls>
          <c:showLegendKey val="0"/>
          <c:showVal val="1"/>
          <c:showCatName val="0"/>
          <c:showSerName val="0"/>
          <c:showPercent val="0"/>
          <c:showBubbleSize val="0"/>
        </c:dLbls>
        <c:axId val="123785216"/>
        <c:axId val="123786752"/>
      </c:scatterChart>
      <c:catAx>
        <c:axId val="123785216"/>
        <c:scaling>
          <c:orientation val="minMax"/>
        </c:scaling>
        <c:delete val="1"/>
        <c:axPos val="b"/>
        <c:numFmt formatCode="General" sourceLinked="1"/>
        <c:majorTickMark val="out"/>
        <c:minorTickMark val="none"/>
        <c:tickLblPos val="nextTo"/>
        <c:crossAx val="123786752"/>
        <c:crossesAt val="0"/>
        <c:auto val="1"/>
        <c:lblAlgn val="ctr"/>
        <c:lblOffset val="100"/>
        <c:noMultiLvlLbl val="0"/>
      </c:catAx>
      <c:valAx>
        <c:axId val="123786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37852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46056782334389E-2"/>
          <c:y val="8.2352941176470587E-2"/>
          <c:w val="0.92113564668769721"/>
          <c:h val="0.71176470588235297"/>
        </c:manualLayout>
      </c:layout>
      <c:barChart>
        <c:barDir val="col"/>
        <c:grouping val="clustered"/>
        <c:varyColors val="0"/>
        <c:ser>
          <c:idx val="0"/>
          <c:order val="0"/>
          <c:tx>
            <c:strRef>
              <c:f>改修前後の比較!$AC$46</c:f>
              <c:strCache>
                <c:ptCount val="1"/>
                <c:pt idx="0">
                  <c:v>befoer</c:v>
                </c:pt>
              </c:strCache>
            </c:strRef>
          </c:tx>
          <c:spPr>
            <a:solidFill>
              <a:srgbClr val="FF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改修前後の比較!$AB$51:$AB$53</c:f>
              <c:strCache>
                <c:ptCount val="3"/>
                <c:pt idx="0">
                  <c:v>生物環境</c:v>
                </c:pt>
                <c:pt idx="1">
                  <c:v>まちなみ景観</c:v>
                </c:pt>
                <c:pt idx="2">
                  <c:v>地域性・文化</c:v>
                </c:pt>
              </c:strCache>
            </c:strRef>
          </c:cat>
          <c:val>
            <c:numRef>
              <c:f>改修前後の比較!$AC$51:$AC$53</c:f>
              <c:numCache>
                <c:formatCode>0.0_ </c:formatCode>
                <c:ptCount val="3"/>
                <c:pt idx="0">
                  <c:v>3</c:v>
                </c:pt>
                <c:pt idx="1">
                  <c:v>3</c:v>
                </c:pt>
                <c:pt idx="2">
                  <c:v>3</c:v>
                </c:pt>
              </c:numCache>
            </c:numRef>
          </c:val>
        </c:ser>
        <c:ser>
          <c:idx val="1"/>
          <c:order val="1"/>
          <c:tx>
            <c:strRef>
              <c:f>改修前後の比較!$AE$46</c:f>
              <c:strCache>
                <c:ptCount val="1"/>
                <c:pt idx="0">
                  <c:v>after</c:v>
                </c:pt>
              </c:strCache>
            </c:strRef>
          </c:tx>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改修前後の比較!$AB$51:$AB$53</c:f>
              <c:strCache>
                <c:ptCount val="3"/>
                <c:pt idx="0">
                  <c:v>生物環境</c:v>
                </c:pt>
                <c:pt idx="1">
                  <c:v>まちなみ景観</c:v>
                </c:pt>
                <c:pt idx="2">
                  <c:v>地域性・文化</c:v>
                </c:pt>
              </c:strCache>
            </c:strRef>
          </c:cat>
          <c:val>
            <c:numRef>
              <c:f>改修前後の比較!$AE$51:$AE$53</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16629888"/>
        <c:axId val="116631424"/>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ser>
        <c:dLbls>
          <c:showLegendKey val="0"/>
          <c:showVal val="1"/>
          <c:showCatName val="0"/>
          <c:showSerName val="0"/>
          <c:showPercent val="0"/>
          <c:showBubbleSize val="0"/>
        </c:dLbls>
        <c:axId val="116629888"/>
        <c:axId val="116631424"/>
      </c:scatterChart>
      <c:catAx>
        <c:axId val="116629888"/>
        <c:scaling>
          <c:orientation val="minMax"/>
        </c:scaling>
        <c:delete val="1"/>
        <c:axPos val="b"/>
        <c:numFmt formatCode="General" sourceLinked="1"/>
        <c:majorTickMark val="out"/>
        <c:minorTickMark val="none"/>
        <c:tickLblPos val="nextTo"/>
        <c:crossAx val="116631424"/>
        <c:crossesAt val="0"/>
        <c:auto val="1"/>
        <c:lblAlgn val="ctr"/>
        <c:lblOffset val="100"/>
        <c:noMultiLvlLbl val="0"/>
      </c:catAx>
      <c:valAx>
        <c:axId val="1166314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629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15479876160992E-2"/>
          <c:y val="8.3333817742151123E-2"/>
          <c:w val="0.92260061919504643"/>
          <c:h val="0.71428986636129532"/>
        </c:manualLayout>
      </c:layout>
      <c:barChart>
        <c:barDir val="col"/>
        <c:grouping val="clustered"/>
        <c:varyColors val="0"/>
        <c:ser>
          <c:idx val="0"/>
          <c:order val="0"/>
          <c:tx>
            <c:strRef>
              <c:f>改修前後の比較!$X$46</c:f>
              <c:strCache>
                <c:ptCount val="1"/>
                <c:pt idx="0">
                  <c:v>befoer</c:v>
                </c:pt>
              </c:strCache>
            </c:strRef>
          </c:tx>
          <c:spPr>
            <a:solidFill>
              <a:srgbClr val="CC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改修前後の比較!$W$62:$W$64</c:f>
              <c:strCache>
                <c:ptCount val="3"/>
                <c:pt idx="0">
                  <c:v>水資源</c:v>
                </c:pt>
                <c:pt idx="1">
                  <c:v>非再生性材料の削減</c:v>
                </c:pt>
                <c:pt idx="2">
                  <c:v>汚染物質回避</c:v>
                </c:pt>
              </c:strCache>
            </c:strRef>
          </c:cat>
          <c:val>
            <c:numRef>
              <c:f>改修前後の比較!$X$62:$X$64</c:f>
              <c:numCache>
                <c:formatCode>0.0_ </c:formatCode>
                <c:ptCount val="3"/>
                <c:pt idx="0">
                  <c:v>3</c:v>
                </c:pt>
                <c:pt idx="1">
                  <c:v>3</c:v>
                </c:pt>
                <c:pt idx="2">
                  <c:v>3</c:v>
                </c:pt>
              </c:numCache>
            </c:numRef>
          </c:val>
        </c:ser>
        <c:ser>
          <c:idx val="1"/>
          <c:order val="1"/>
          <c:tx>
            <c:strRef>
              <c:f>改修前後の比較!$Z$46</c:f>
              <c:strCache>
                <c:ptCount val="1"/>
                <c:pt idx="0">
                  <c:v>after</c:v>
                </c:pt>
              </c:strCache>
            </c:strRef>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改修前後の比較!$W$62:$W$64</c:f>
              <c:strCache>
                <c:ptCount val="3"/>
                <c:pt idx="0">
                  <c:v>水資源</c:v>
                </c:pt>
                <c:pt idx="1">
                  <c:v>非再生性材料の削減</c:v>
                </c:pt>
                <c:pt idx="2">
                  <c:v>汚染物質回避</c:v>
                </c:pt>
              </c:strCache>
            </c:strRef>
          </c:cat>
          <c:val>
            <c:numRef>
              <c:f>改修前後の比較!$Z$62:$Z$64</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24383616"/>
        <c:axId val="124385152"/>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ser>
        <c:dLbls>
          <c:showLegendKey val="0"/>
          <c:showVal val="1"/>
          <c:showCatName val="0"/>
          <c:showSerName val="0"/>
          <c:showPercent val="0"/>
          <c:showBubbleSize val="0"/>
        </c:dLbls>
        <c:axId val="124383616"/>
        <c:axId val="124385152"/>
      </c:scatterChart>
      <c:catAx>
        <c:axId val="124383616"/>
        <c:scaling>
          <c:orientation val="minMax"/>
        </c:scaling>
        <c:delete val="1"/>
        <c:axPos val="b"/>
        <c:numFmt formatCode="General" sourceLinked="1"/>
        <c:majorTickMark val="out"/>
        <c:minorTickMark val="none"/>
        <c:tickLblPos val="nextTo"/>
        <c:crossAx val="124385152"/>
        <c:crossesAt val="0"/>
        <c:auto val="1"/>
        <c:lblAlgn val="ctr"/>
        <c:lblOffset val="100"/>
        <c:noMultiLvlLbl val="0"/>
      </c:catAx>
      <c:valAx>
        <c:axId val="1243851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43836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tx>
            <c:strRef>
              <c:f>改修前後の比較!$S$46</c:f>
              <c:strCache>
                <c:ptCount val="1"/>
                <c:pt idx="0">
                  <c:v>befoer</c:v>
                </c:pt>
              </c:strCache>
            </c:strRef>
          </c:tx>
          <c:spPr>
            <a:solidFill>
              <a:srgbClr val="CC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改修前後の比較!$R$62:$R$65</c:f>
              <c:strCache>
                <c:ptCount val="4"/>
                <c:pt idx="0">
                  <c:v>熱負荷抑制</c:v>
                </c:pt>
                <c:pt idx="1">
                  <c:v>自然ｴﾈﾙｷﾞｰ</c:v>
                </c:pt>
                <c:pt idx="2">
                  <c:v>設備の効率的利用</c:v>
                </c:pt>
                <c:pt idx="3">
                  <c:v>運用ﾏﾈｼﾞﾒﾝﾄ</c:v>
                </c:pt>
              </c:strCache>
            </c:strRef>
          </c:cat>
          <c:val>
            <c:numRef>
              <c:f>改修前後の比較!$S$62:$S$65</c:f>
              <c:numCache>
                <c:formatCode>0.0_ </c:formatCode>
                <c:ptCount val="4"/>
                <c:pt idx="0">
                  <c:v>4</c:v>
                </c:pt>
                <c:pt idx="1">
                  <c:v>3</c:v>
                </c:pt>
                <c:pt idx="2">
                  <c:v>3</c:v>
                </c:pt>
                <c:pt idx="3">
                  <c:v>3</c:v>
                </c:pt>
              </c:numCache>
            </c:numRef>
          </c:val>
        </c:ser>
        <c:ser>
          <c:idx val="1"/>
          <c:order val="1"/>
          <c:tx>
            <c:strRef>
              <c:f>改修前後の比較!$U$46</c:f>
              <c:strCache>
                <c:ptCount val="1"/>
                <c:pt idx="0">
                  <c:v>after</c:v>
                </c:pt>
              </c:strCache>
            </c:strRef>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改修前後の比較!$R$62:$R$65</c:f>
              <c:strCache>
                <c:ptCount val="4"/>
                <c:pt idx="0">
                  <c:v>熱負荷抑制</c:v>
                </c:pt>
                <c:pt idx="1">
                  <c:v>自然ｴﾈﾙｷﾞｰ</c:v>
                </c:pt>
                <c:pt idx="2">
                  <c:v>設備の効率的利用</c:v>
                </c:pt>
                <c:pt idx="3">
                  <c:v>運用ﾏﾈｼﾞﾒﾝﾄ</c:v>
                </c:pt>
              </c:strCache>
            </c:strRef>
          </c:cat>
          <c:val>
            <c:numRef>
              <c:f>改修前後の比較!$U$62:$U$65</c:f>
              <c:numCache>
                <c:formatCode>0.0_ </c:formatCode>
                <c:ptCount val="4"/>
                <c:pt idx="0">
                  <c:v>4</c:v>
                </c:pt>
                <c:pt idx="1">
                  <c:v>3</c:v>
                </c:pt>
                <c:pt idx="2">
                  <c:v>4</c:v>
                </c:pt>
                <c:pt idx="3">
                  <c:v>3</c:v>
                </c:pt>
              </c:numCache>
            </c:numRef>
          </c:val>
        </c:ser>
        <c:dLbls>
          <c:showLegendKey val="0"/>
          <c:showVal val="1"/>
          <c:showCatName val="0"/>
          <c:showSerName val="0"/>
          <c:showPercent val="0"/>
          <c:showBubbleSize val="0"/>
        </c:dLbls>
        <c:gapWidth val="40"/>
        <c:axId val="124150144"/>
        <c:axId val="124151680"/>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4.5</c:v>
              </c:pt>
            </c:numLit>
          </c:xVal>
          <c:yVal>
            <c:numLit>
              <c:formatCode>General</c:formatCode>
              <c:ptCount val="2"/>
              <c:pt idx="0">
                <c:v>3</c:v>
              </c:pt>
              <c:pt idx="1">
                <c:v>3</c:v>
              </c:pt>
            </c:numLit>
          </c:yVal>
          <c:smooth val="0"/>
        </c:ser>
        <c:dLbls>
          <c:showLegendKey val="0"/>
          <c:showVal val="1"/>
          <c:showCatName val="0"/>
          <c:showSerName val="0"/>
          <c:showPercent val="0"/>
          <c:showBubbleSize val="0"/>
        </c:dLbls>
        <c:axId val="124150144"/>
        <c:axId val="124151680"/>
      </c:scatterChart>
      <c:catAx>
        <c:axId val="124150144"/>
        <c:scaling>
          <c:orientation val="minMax"/>
        </c:scaling>
        <c:delete val="1"/>
        <c:axPos val="b"/>
        <c:numFmt formatCode="General" sourceLinked="1"/>
        <c:majorTickMark val="out"/>
        <c:minorTickMark val="none"/>
        <c:tickLblPos val="nextTo"/>
        <c:crossAx val="124151680"/>
        <c:crossesAt val="0"/>
        <c:auto val="1"/>
        <c:lblAlgn val="ctr"/>
        <c:lblOffset val="100"/>
        <c:noMultiLvlLbl val="0"/>
      </c:catAx>
      <c:valAx>
        <c:axId val="1241516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41501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tx>
            <c:strRef>
              <c:f>改修前後の比較!$S$46</c:f>
              <c:strCache>
                <c:ptCount val="1"/>
                <c:pt idx="0">
                  <c:v>befoer</c:v>
                </c:pt>
              </c:strCache>
            </c:strRef>
          </c:tx>
          <c:spPr>
            <a:solidFill>
              <a:srgbClr val="FF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改修前後の比較!$R$51:$R$54</c:f>
              <c:strCache>
                <c:ptCount val="4"/>
                <c:pt idx="0">
                  <c:v>音環境</c:v>
                </c:pt>
                <c:pt idx="1">
                  <c:v>温熱環境</c:v>
                </c:pt>
                <c:pt idx="2">
                  <c:v>光・視環境</c:v>
                </c:pt>
                <c:pt idx="3">
                  <c:v>空気質環境</c:v>
                </c:pt>
              </c:strCache>
            </c:strRef>
          </c:cat>
          <c:val>
            <c:numRef>
              <c:f>改修前後の比較!$S$51:$S$54</c:f>
              <c:numCache>
                <c:formatCode>0.0_ </c:formatCode>
                <c:ptCount val="4"/>
                <c:pt idx="0">
                  <c:v>3</c:v>
                </c:pt>
                <c:pt idx="1">
                  <c:v>3</c:v>
                </c:pt>
                <c:pt idx="2">
                  <c:v>3</c:v>
                </c:pt>
                <c:pt idx="3">
                  <c:v>3</c:v>
                </c:pt>
              </c:numCache>
            </c:numRef>
          </c:val>
        </c:ser>
        <c:ser>
          <c:idx val="1"/>
          <c:order val="1"/>
          <c:tx>
            <c:strRef>
              <c:f>改修前後の比較!$U$46</c:f>
              <c:strCache>
                <c:ptCount val="1"/>
                <c:pt idx="0">
                  <c:v>after</c:v>
                </c:pt>
              </c:strCache>
            </c:strRef>
          </c:tx>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改修前後の比較!$U$51:$U$54</c:f>
              <c:numCache>
                <c:formatCode>0.0_ </c:formatCode>
                <c:ptCount val="4"/>
                <c:pt idx="0">
                  <c:v>3</c:v>
                </c:pt>
                <c:pt idx="1">
                  <c:v>3</c:v>
                </c:pt>
                <c:pt idx="2">
                  <c:v>3</c:v>
                </c:pt>
                <c:pt idx="3">
                  <c:v>3</c:v>
                </c:pt>
              </c:numCache>
            </c:numRef>
          </c:val>
        </c:ser>
        <c:dLbls>
          <c:showLegendKey val="0"/>
          <c:showVal val="1"/>
          <c:showCatName val="0"/>
          <c:showSerName val="0"/>
          <c:showPercent val="0"/>
          <c:showBubbleSize val="0"/>
        </c:dLbls>
        <c:gapWidth val="40"/>
        <c:axId val="124216448"/>
        <c:axId val="124217984"/>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4.5</c:v>
              </c:pt>
            </c:numLit>
          </c:xVal>
          <c:yVal>
            <c:numLit>
              <c:formatCode>General</c:formatCode>
              <c:ptCount val="2"/>
              <c:pt idx="0">
                <c:v>3</c:v>
              </c:pt>
              <c:pt idx="1">
                <c:v>3</c:v>
              </c:pt>
            </c:numLit>
          </c:yVal>
          <c:smooth val="0"/>
        </c:ser>
        <c:dLbls>
          <c:showLegendKey val="0"/>
          <c:showVal val="1"/>
          <c:showCatName val="0"/>
          <c:showSerName val="0"/>
          <c:showPercent val="0"/>
          <c:showBubbleSize val="0"/>
        </c:dLbls>
        <c:axId val="124216448"/>
        <c:axId val="124217984"/>
      </c:scatterChart>
      <c:catAx>
        <c:axId val="124216448"/>
        <c:scaling>
          <c:orientation val="minMax"/>
        </c:scaling>
        <c:delete val="1"/>
        <c:axPos val="b"/>
        <c:numFmt formatCode="General" sourceLinked="1"/>
        <c:majorTickMark val="out"/>
        <c:minorTickMark val="none"/>
        <c:tickLblPos val="nextTo"/>
        <c:crossAx val="124217984"/>
        <c:crossesAt val="0"/>
        <c:auto val="1"/>
        <c:lblAlgn val="ctr"/>
        <c:lblOffset val="100"/>
        <c:noMultiLvlLbl val="0"/>
      </c:catAx>
      <c:valAx>
        <c:axId val="124217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42164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26444992712619"/>
          <c:y val="6.9230769230769235E-2"/>
          <c:w val="0.781133514765468"/>
          <c:h val="0.75384615384615383"/>
        </c:manualLayout>
      </c:layout>
      <c:areaChart>
        <c:grouping val="standard"/>
        <c:varyColors val="0"/>
        <c:ser>
          <c:idx val="1"/>
          <c:order val="2"/>
          <c:tx>
            <c:strRef>
              <c:f>改修前後の比較!$S$29</c:f>
              <c:strCache>
                <c:ptCount val="1"/>
                <c:pt idx="0">
                  <c:v>S</c:v>
                </c:pt>
              </c:strCache>
            </c:strRef>
          </c:tx>
          <c:spPr>
            <a:pattFill prst="pct70">
              <a:fgClr>
                <a:srgbClr xmlns:mc="http://schemas.openxmlformats.org/markup-compatibility/2006" xmlns:a14="http://schemas.microsoft.com/office/drawing/2010/main" val="3366FF" mc:Ignorable="a14" a14:legacySpreadsheetColorIndex="4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0.28455244071444746"/>
                  <c:y val="-0.29075630930749041"/>
                </c:manualLayout>
              </c:layout>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改修前後の比較!$T$29:$Z$29</c:f>
              <c:numCache>
                <c:formatCode>General</c:formatCode>
                <c:ptCount val="7"/>
                <c:pt idx="0">
                  <c:v>100</c:v>
                </c:pt>
                <c:pt idx="1">
                  <c:v>100</c:v>
                </c:pt>
                <c:pt idx="2">
                  <c:v>100</c:v>
                </c:pt>
                <c:pt idx="3">
                  <c:v>100</c:v>
                </c:pt>
                <c:pt idx="4">
                  <c:v>100</c:v>
                </c:pt>
                <c:pt idx="5">
                  <c:v>100</c:v>
                </c:pt>
                <c:pt idx="6">
                  <c:v>100</c:v>
                </c:pt>
              </c:numCache>
            </c:numRef>
          </c:val>
        </c:ser>
        <c:ser>
          <c:idx val="0"/>
          <c:order val="3"/>
          <c:tx>
            <c:strRef>
              <c:f>改修前後の比較!$S$30</c:f>
              <c:strCache>
                <c:ptCount val="1"/>
                <c:pt idx="0">
                  <c:v>A</c:v>
                </c:pt>
              </c:strCache>
            </c:strRef>
          </c:tx>
          <c:spPr>
            <a:pattFill prst="pct90">
              <a:fgClr>
                <a:srgbClr xmlns:mc="http://schemas.openxmlformats.org/markup-compatibility/2006" xmlns:a14="http://schemas.microsoft.com/office/drawing/2010/main" val="99CCFF" mc:Ignorable="a14" a14:legacySpreadsheetColorIndex="44"/>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3.4552080853410772E-2"/>
                  <c:y val="-0.29075630930749041"/>
                </c:manualLayout>
              </c:layout>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改修前後の比較!$T$30:$Z$30</c:f>
              <c:numCache>
                <c:formatCode>General</c:formatCode>
                <c:ptCount val="7"/>
                <c:pt idx="0">
                  <c:v>50</c:v>
                </c:pt>
                <c:pt idx="1">
                  <c:v>50</c:v>
                </c:pt>
                <c:pt idx="2">
                  <c:v>100</c:v>
                </c:pt>
                <c:pt idx="3">
                  <c:v>100</c:v>
                </c:pt>
                <c:pt idx="4">
                  <c:v>100</c:v>
                </c:pt>
                <c:pt idx="5">
                  <c:v>100</c:v>
                </c:pt>
                <c:pt idx="6">
                  <c:v>100</c:v>
                </c:pt>
              </c:numCache>
            </c:numRef>
          </c:val>
        </c:ser>
        <c:ser>
          <c:idx val="2"/>
          <c:order val="4"/>
          <c:tx>
            <c:strRef>
              <c:f>改修前後の比較!$S$31</c:f>
              <c:strCache>
                <c:ptCount val="1"/>
                <c:pt idx="0">
                  <c:v>B+</c:v>
                </c:pt>
              </c:strCache>
            </c:strRef>
          </c:tx>
          <c:spPr>
            <a:solidFill>
              <a:srgbClr val="FFFFCC"/>
            </a:solidFill>
            <a:ln w="12700">
              <a:solidFill>
                <a:srgbClr val="000000"/>
              </a:solidFill>
              <a:prstDash val="solid"/>
            </a:ln>
          </c:spPr>
          <c:val>
            <c:numRef>
              <c:f>改修前後の比較!$T$31:$Z$31</c:f>
              <c:numCache>
                <c:formatCode>General</c:formatCode>
                <c:ptCount val="7"/>
                <c:pt idx="0">
                  <c:v>0</c:v>
                </c:pt>
                <c:pt idx="1">
                  <c:v>25</c:v>
                </c:pt>
                <c:pt idx="2">
                  <c:v>50</c:v>
                </c:pt>
                <c:pt idx="3">
                  <c:v>75</c:v>
                </c:pt>
                <c:pt idx="4">
                  <c:v>100</c:v>
                </c:pt>
                <c:pt idx="5">
                  <c:v>100</c:v>
                </c:pt>
                <c:pt idx="6">
                  <c:v>100</c:v>
                </c:pt>
              </c:numCache>
            </c:numRef>
          </c:val>
        </c:ser>
        <c:ser>
          <c:idx val="3"/>
          <c:order val="5"/>
          <c:tx>
            <c:strRef>
              <c:f>改修前後の比較!$S$32</c:f>
              <c:strCache>
                <c:ptCount val="1"/>
                <c:pt idx="0">
                  <c:v>B-</c:v>
                </c:pt>
              </c:strCache>
            </c:strRef>
          </c:tx>
          <c:spPr>
            <a:solidFill>
              <a:srgbClr val="FFFFCC"/>
            </a:solidFill>
            <a:ln w="12700">
              <a:solidFill>
                <a:srgbClr val="000000"/>
              </a:solidFill>
              <a:prstDash val="solid"/>
            </a:ln>
          </c:spPr>
          <c:val>
            <c:numRef>
              <c:f>改修前後の比較!$T$32:$Z$32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ser>
          <c:idx val="4"/>
          <c:order val="6"/>
          <c:tx>
            <c:strRef>
              <c:f>改修前後の比較!$S$33</c:f>
              <c:strCache>
                <c:ptCount val="1"/>
                <c:pt idx="0">
                  <c:v>C</c:v>
                </c:pt>
              </c:strCache>
            </c:strRef>
          </c:tx>
          <c:spPr>
            <a:solidFill>
              <a:srgbClr val="FFFFFF"/>
            </a:solidFill>
            <a:ln w="12700">
              <a:solidFill>
                <a:srgbClr val="000000"/>
              </a:solidFill>
              <a:prstDash val="solid"/>
            </a:ln>
          </c:spPr>
          <c:dLbls>
            <c:dLbl>
              <c:idx val="0"/>
              <c:layout>
                <c:manualLayout>
                  <c:x val="0.32488244291196688"/>
                  <c:y val="-3.4986876640419884E-2"/>
                </c:manualLayout>
              </c:layout>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dLbls>
          <c:showLegendKey val="0"/>
          <c:showVal val="0"/>
          <c:showCatName val="0"/>
          <c:showSerName val="0"/>
          <c:showPercent val="0"/>
          <c:showBubbleSize val="0"/>
        </c:dLbls>
        <c:axId val="124470400"/>
        <c:axId val="124472320"/>
      </c:areaChart>
      <c:scatterChart>
        <c:scatterStyle val="lineMarker"/>
        <c:varyColors val="0"/>
        <c:ser>
          <c:idx val="8"/>
          <c:order val="0"/>
          <c:tx>
            <c:strRef>
              <c:f>改修前後の比較!$W$77</c:f>
              <c:strCache>
                <c:ptCount val="1"/>
                <c:pt idx="0">
                  <c:v>改修後</c:v>
                </c:pt>
              </c:strCache>
            </c:strRef>
          </c:tx>
          <c:spPr>
            <a:ln w="38100">
              <a:solidFill>
                <a:srgbClr val="008000"/>
              </a:solidFill>
              <a:prstDash val="solid"/>
            </a:ln>
          </c:spPr>
          <c:marker>
            <c:symbol val="none"/>
          </c:marker>
          <c:dLbls>
            <c:dLbl>
              <c:idx val="1"/>
              <c:layout>
                <c:manualLayout>
                  <c:x val="0.15346137185336406"/>
                  <c:y val="-1.282051282051283E-2"/>
                </c:manualLayout>
              </c:layout>
              <c:spPr>
                <a:noFill/>
                <a:ln w="25400">
                  <a:noFill/>
                </a:ln>
              </c:spPr>
              <c:txPr>
                <a:bodyPr/>
                <a:lstStyle/>
                <a:p>
                  <a:pPr>
                    <a:defRPr sz="10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1" i="0" u="none" strike="noStrike" baseline="0">
                    <a:solidFill>
                      <a:srgbClr val="FF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改修前後の比較!$W$79:$Y$79</c:f>
              <c:numCache>
                <c:formatCode>#,##0_);[Red]\(#,##0\)</c:formatCode>
                <c:ptCount val="3"/>
                <c:pt idx="1">
                  <c:v>32.500000000000007</c:v>
                </c:pt>
                <c:pt idx="2" formatCode="General">
                  <c:v>0</c:v>
                </c:pt>
              </c:numCache>
            </c:numRef>
          </c:xVal>
          <c:yVal>
            <c:numRef>
              <c:f>改修前後の比較!$W$80:$Y$80</c:f>
              <c:numCache>
                <c:formatCode>#,##0_);[Red]\(#,##0\)</c:formatCode>
                <c:ptCount val="3"/>
                <c:pt idx="1">
                  <c:v>50.000000000000014</c:v>
                </c:pt>
                <c:pt idx="2" formatCode="General">
                  <c:v>0</c:v>
                </c:pt>
              </c:numCache>
            </c:numRef>
          </c:yVal>
          <c:smooth val="0"/>
        </c:ser>
        <c:ser>
          <c:idx val="6"/>
          <c:order val="1"/>
          <c:tx>
            <c:strRef>
              <c:f>改修前後の比較!$S$77</c:f>
              <c:strCache>
                <c:ptCount val="1"/>
                <c:pt idx="0">
                  <c:v>改修前</c:v>
                </c:pt>
              </c:strCache>
            </c:strRef>
          </c:tx>
          <c:spPr>
            <a:ln w="38100">
              <a:solidFill>
                <a:srgbClr val="99CC00"/>
              </a:solidFill>
              <a:prstDash val="solid"/>
            </a:ln>
          </c:spPr>
          <c:marker>
            <c:symbol val="none"/>
          </c:marker>
          <c:dLbls>
            <c:dLbl>
              <c:idx val="1"/>
              <c:layout>
                <c:manualLayout>
                  <c:x val="0.16100855557090499"/>
                  <c:y val="-1.6666666666666663E-2"/>
                </c:manualLayout>
              </c:layout>
              <c:spPr>
                <a:noFill/>
                <a:ln w="25400">
                  <a:noFill/>
                </a:ln>
              </c:spPr>
              <c:txPr>
                <a:bodyPr/>
                <a:lstStyle/>
                <a:p>
                  <a:pPr>
                    <a:defRPr sz="1000" b="1" i="0" u="none" strike="noStrike" baseline="0">
                      <a:solidFill>
                        <a:srgbClr val="99CC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1" i="0" u="none" strike="noStrike" baseline="0">
                    <a:solidFill>
                      <a:srgbClr val="99CC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改修前後の比較!$S$79:$U$79</c:f>
              <c:numCache>
                <c:formatCode>#,##0_);[Red]\(#,##0\)</c:formatCode>
                <c:ptCount val="3"/>
                <c:pt idx="1">
                  <c:v>44.999999999999993</c:v>
                </c:pt>
                <c:pt idx="2" formatCode="General">
                  <c:v>0</c:v>
                </c:pt>
              </c:numCache>
            </c:numRef>
          </c:xVal>
          <c:yVal>
            <c:numRef>
              <c:f>改修前後の比較!$S$80:$U$80</c:f>
              <c:numCache>
                <c:formatCode>#,##0_);[Red]\(#,##0\)</c:formatCode>
                <c:ptCount val="3"/>
                <c:pt idx="1">
                  <c:v>50</c:v>
                </c:pt>
                <c:pt idx="2" formatCode="General">
                  <c:v>0</c:v>
                </c:pt>
              </c:numCache>
            </c:numRef>
          </c:yVal>
          <c:smooth val="0"/>
        </c:ser>
        <c:ser>
          <c:idx val="5"/>
          <c:order val="7"/>
          <c:tx>
            <c:strRef>
              <c:f>改修前後の比較!$S$21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bubble3D val="0"/>
            <c:spPr>
              <a:ln w="19050">
                <a:noFill/>
              </a:ln>
            </c:spPr>
          </c:dPt>
          <c:dPt>
            <c:idx val="2"/>
            <c:marker>
              <c:symbol val="diamond"/>
              <c:size val="18"/>
              <c:spPr>
                <a:solidFill>
                  <a:srgbClr val="FFFFFF"/>
                </a:solidFill>
                <a:ln>
                  <a:solidFill>
                    <a:srgbClr val="000000"/>
                  </a:solidFill>
                  <a:prstDash val="solid"/>
                </a:ln>
              </c:spPr>
            </c:marker>
            <c:bubble3D val="0"/>
          </c:dPt>
          <c:dPt>
            <c:idx val="3"/>
            <c:marker>
              <c:symbol val="circle"/>
              <c:size val="6"/>
              <c:spPr>
                <a:solidFill>
                  <a:srgbClr val="99CC00"/>
                </a:solidFill>
                <a:ln>
                  <a:solidFill>
                    <a:srgbClr val="000000"/>
                  </a:solidFill>
                  <a:prstDash val="solid"/>
                </a:ln>
              </c:spPr>
            </c:marker>
            <c:bubble3D val="0"/>
          </c:dPt>
          <c:dLbls>
            <c:dLbl>
              <c:idx val="1"/>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extLst>
            </c:dLbl>
            <c:dLbl>
              <c:idx val="3"/>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改修前後の比較!$R$81:$U$81</c:f>
              <c:numCache>
                <c:formatCode>#,##0_);[Red]\(#,##0\)</c:formatCode>
                <c:ptCount val="4"/>
                <c:pt idx="0" formatCode="General">
                  <c:v>0</c:v>
                </c:pt>
                <c:pt idx="1">
                  <c:v>44.999999999999993</c:v>
                </c:pt>
                <c:pt idx="2">
                  <c:v>44.999999999999993</c:v>
                </c:pt>
                <c:pt idx="3" formatCode="General">
                  <c:v>0.1</c:v>
                </c:pt>
              </c:numCache>
            </c:numRef>
          </c:xVal>
          <c:yVal>
            <c:numRef>
              <c:f>改修前後の比較!$R$82:$U$82</c:f>
              <c:numCache>
                <c:formatCode>General</c:formatCode>
                <c:ptCount val="4"/>
                <c:pt idx="0">
                  <c:v>0</c:v>
                </c:pt>
                <c:pt idx="1">
                  <c:v>0</c:v>
                </c:pt>
                <c:pt idx="2" formatCode="#,##0_);[Red]\(#,##0\)">
                  <c:v>50</c:v>
                </c:pt>
                <c:pt idx="3" formatCode="#,##0_);[Red]\(#,##0\)">
                  <c:v>50</c:v>
                </c:pt>
              </c:numCache>
            </c:numRef>
          </c:yVal>
          <c:smooth val="0"/>
        </c:ser>
        <c:ser>
          <c:idx val="7"/>
          <c:order val="8"/>
          <c:tx>
            <c:strRef>
              <c:f>改修前後の比較!$W$21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bubble3D val="0"/>
            <c:spPr>
              <a:ln w="19050">
                <a:noFill/>
              </a:ln>
            </c:spPr>
          </c:dPt>
          <c:dPt>
            <c:idx val="2"/>
            <c:marker>
              <c:symbol val="diamond"/>
              <c:size val="18"/>
              <c:spPr>
                <a:solidFill>
                  <a:srgbClr val="FFCC99"/>
                </a:solidFill>
                <a:ln>
                  <a:solidFill>
                    <a:srgbClr val="000000"/>
                  </a:solidFill>
                  <a:prstDash val="solid"/>
                </a:ln>
              </c:spPr>
            </c:marker>
            <c:bubble3D val="0"/>
          </c:dPt>
          <c:dPt>
            <c:idx val="3"/>
            <c:marker>
              <c:symbol val="circle"/>
              <c:size val="6"/>
              <c:spPr>
                <a:solidFill>
                  <a:srgbClr val="339966"/>
                </a:solidFill>
                <a:ln>
                  <a:solidFill>
                    <a:srgbClr val="000000"/>
                  </a:solidFill>
                  <a:prstDash val="solid"/>
                </a:ln>
              </c:spPr>
            </c:marker>
            <c:bubble3D val="0"/>
          </c:dPt>
          <c:dLbls>
            <c:dLbl>
              <c:idx val="0"/>
              <c:delete val="1"/>
              <c:extLst>
                <c:ext xmlns:c15="http://schemas.microsoft.com/office/drawing/2012/chart" uri="{CE6537A1-D6FC-4f65-9D91-7224C49458BB}"/>
              </c:extLst>
            </c:dLbl>
            <c:dLbl>
              <c:idx val="1"/>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25"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改修前後の比較!$V$81:$Y$81</c:f>
              <c:numCache>
                <c:formatCode>#,##0_);[Red]\(#,##0\)</c:formatCode>
                <c:ptCount val="4"/>
                <c:pt idx="0" formatCode="General">
                  <c:v>0</c:v>
                </c:pt>
                <c:pt idx="1">
                  <c:v>32.500000000000007</c:v>
                </c:pt>
                <c:pt idx="2">
                  <c:v>32.500000000000007</c:v>
                </c:pt>
                <c:pt idx="3" formatCode="General">
                  <c:v>0.1</c:v>
                </c:pt>
              </c:numCache>
            </c:numRef>
          </c:xVal>
          <c:yVal>
            <c:numRef>
              <c:f>改修前後の比較!$V$82:$Y$82</c:f>
              <c:numCache>
                <c:formatCode>General</c:formatCode>
                <c:ptCount val="4"/>
                <c:pt idx="0">
                  <c:v>0</c:v>
                </c:pt>
                <c:pt idx="1">
                  <c:v>0</c:v>
                </c:pt>
                <c:pt idx="2" formatCode="#,##0_);[Red]\(#,##0\)">
                  <c:v>50.000000000000014</c:v>
                </c:pt>
                <c:pt idx="3" formatCode="#,##0_);[Red]\(#,##0\)">
                  <c:v>50.000000000000014</c:v>
                </c:pt>
              </c:numCache>
            </c:numRef>
          </c:yVal>
          <c:smooth val="0"/>
        </c:ser>
        <c:dLbls>
          <c:showLegendKey val="0"/>
          <c:showVal val="0"/>
          <c:showCatName val="0"/>
          <c:showSerName val="0"/>
          <c:showPercent val="0"/>
          <c:showBubbleSize val="0"/>
        </c:dLbls>
        <c:axId val="124478592"/>
        <c:axId val="124480128"/>
      </c:scatterChart>
      <c:catAx>
        <c:axId val="124470400"/>
        <c:scaling>
          <c:orientation val="minMax"/>
        </c:scaling>
        <c:delete val="0"/>
        <c:axPos val="b"/>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環境負荷　L</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0.3735855940182673"/>
              <c:y val="0.89615384615384619"/>
            </c:manualLayout>
          </c:layout>
          <c:overlay val="0"/>
          <c:spPr>
            <a:noFill/>
            <a:ln w="25400">
              <a:noFill/>
            </a:ln>
          </c:spPr>
        </c:title>
        <c:majorTickMark val="none"/>
        <c:minorTickMark val="none"/>
        <c:tickLblPos val="none"/>
        <c:spPr>
          <a:ln w="3175">
            <a:solidFill>
              <a:srgbClr val="000000"/>
            </a:solidFill>
            <a:prstDash val="solid"/>
          </a:ln>
        </c:spPr>
        <c:crossAx val="124472320"/>
        <c:crossesAt val="0"/>
        <c:auto val="1"/>
        <c:lblAlgn val="ctr"/>
        <c:lblOffset val="100"/>
        <c:tickLblSkip val="1"/>
        <c:tickMarkSkip val="1"/>
        <c:noMultiLvlLbl val="0"/>
      </c:catAx>
      <c:valAx>
        <c:axId val="124472320"/>
        <c:scaling>
          <c:orientation val="minMax"/>
          <c:max val="100"/>
          <c:min val="0"/>
        </c:scaling>
        <c:delete val="0"/>
        <c:axPos val="l"/>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環境品質　Q</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1.8867959293851884E-2"/>
              <c:y val="0.27692307692307694"/>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4470400"/>
        <c:crosses val="autoZero"/>
        <c:crossBetween val="midCat"/>
        <c:majorUnit val="50"/>
        <c:minorUnit val="4"/>
      </c:valAx>
      <c:valAx>
        <c:axId val="12447859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4480128"/>
        <c:crosses val="max"/>
        <c:crossBetween val="midCat"/>
        <c:majorUnit val="50"/>
        <c:minorUnit val="2"/>
      </c:valAx>
      <c:valAx>
        <c:axId val="124480128"/>
        <c:scaling>
          <c:orientation val="minMax"/>
          <c:max val="100"/>
          <c:min val="0"/>
        </c:scaling>
        <c:delete val="0"/>
        <c:axPos val="r"/>
        <c:numFmt formatCode="General" sourceLinked="1"/>
        <c:majorTickMark val="none"/>
        <c:minorTickMark val="none"/>
        <c:tickLblPos val="none"/>
        <c:spPr>
          <a:ln w="3175">
            <a:solidFill>
              <a:srgbClr val="000000"/>
            </a:solidFill>
            <a:prstDash val="solid"/>
          </a:ln>
        </c:spPr>
        <c:crossAx val="124478592"/>
        <c:crosses val="max"/>
        <c:crossBetween val="midCat"/>
        <c:majorUnit val="50"/>
        <c:minorUnit val="2"/>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11406844106463E-2"/>
          <c:y val="8.3334463629335248E-2"/>
          <c:w val="0.93916349809885935"/>
          <c:h val="0.861122790836464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'結果(改修前)'!$S$16</c:f>
              <c:numCache>
                <c:formatCode>#,##0.0;[Red]\-#,##0.0</c:formatCode>
                <c:ptCount val="1"/>
                <c:pt idx="0">
                  <c:v>0.4</c:v>
                </c:pt>
              </c:numCache>
            </c:numRef>
          </c:val>
        </c:ser>
        <c:dLbls>
          <c:showLegendKey val="0"/>
          <c:showVal val="0"/>
          <c:showCatName val="0"/>
          <c:showSerName val="0"/>
          <c:showPercent val="0"/>
          <c:showBubbleSize val="0"/>
        </c:dLbls>
        <c:gapWidth val="50"/>
        <c:overlap val="100"/>
        <c:axId val="114946816"/>
        <c:axId val="114948352"/>
      </c:barChart>
      <c:catAx>
        <c:axId val="114946816"/>
        <c:scaling>
          <c:orientation val="minMax"/>
        </c:scaling>
        <c:delete val="1"/>
        <c:axPos val="l"/>
        <c:numFmt formatCode="General" sourceLinked="1"/>
        <c:majorTickMark val="out"/>
        <c:minorTickMark val="none"/>
        <c:tickLblPos val="nextTo"/>
        <c:crossAx val="114948352"/>
        <c:crosses val="autoZero"/>
        <c:auto val="1"/>
        <c:lblAlgn val="ctr"/>
        <c:lblOffset val="100"/>
        <c:noMultiLvlLbl val="0"/>
      </c:catAx>
      <c:valAx>
        <c:axId val="114948352"/>
        <c:scaling>
          <c:orientation val="minMax"/>
        </c:scaling>
        <c:delete val="1"/>
        <c:axPos val="b"/>
        <c:numFmt formatCode="0%" sourceLinked="1"/>
        <c:majorTickMark val="out"/>
        <c:minorTickMark val="none"/>
        <c:tickLblPos val="nextTo"/>
        <c:crossAx val="11494681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78706021100266E-2"/>
          <c:y val="9.4339622641509441E-2"/>
          <c:w val="0.95082474611907719"/>
          <c:h val="0.84905660377358494"/>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改修前後の比較!$S$16</c:f>
              <c:numCache>
                <c:formatCode>#,##0.0;[Red]\-#,##0.0</c:formatCode>
                <c:ptCount val="1"/>
                <c:pt idx="0">
                  <c:v>0.4</c:v>
                </c:pt>
              </c:numCache>
            </c:numRef>
          </c:val>
        </c:ser>
        <c:dLbls>
          <c:showLegendKey val="0"/>
          <c:showVal val="0"/>
          <c:showCatName val="0"/>
          <c:showSerName val="0"/>
          <c:showPercent val="0"/>
          <c:showBubbleSize val="0"/>
        </c:dLbls>
        <c:gapWidth val="50"/>
        <c:overlap val="100"/>
        <c:axId val="124597376"/>
        <c:axId val="124598912"/>
      </c:barChart>
      <c:catAx>
        <c:axId val="124597376"/>
        <c:scaling>
          <c:orientation val="minMax"/>
        </c:scaling>
        <c:delete val="1"/>
        <c:axPos val="l"/>
        <c:numFmt formatCode="General" sourceLinked="1"/>
        <c:majorTickMark val="out"/>
        <c:minorTickMark val="none"/>
        <c:tickLblPos val="nextTo"/>
        <c:crossAx val="124598912"/>
        <c:crosses val="autoZero"/>
        <c:auto val="1"/>
        <c:lblAlgn val="ctr"/>
        <c:lblOffset val="100"/>
        <c:noMultiLvlLbl val="0"/>
      </c:catAx>
      <c:valAx>
        <c:axId val="124598912"/>
        <c:scaling>
          <c:orientation val="minMax"/>
        </c:scaling>
        <c:delete val="1"/>
        <c:axPos val="b"/>
        <c:numFmt formatCode="0%" sourceLinked="1"/>
        <c:majorTickMark val="out"/>
        <c:minorTickMark val="none"/>
        <c:tickLblPos val="nextTo"/>
        <c:crossAx val="12459737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32432432432434E-2"/>
          <c:y val="0.10869680596983239"/>
          <c:w val="0.9513513513513514"/>
          <c:h val="0.9782712537284915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改修前後の比較!$T$15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改修前後の比較!$T$16</c:f>
              <c:numCache>
                <c:formatCode>#,##0.0;[Red]\-#,##0.0</c:formatCode>
                <c:ptCount val="1"/>
                <c:pt idx="0">
                  <c:v>0.4</c:v>
                </c:pt>
              </c:numCache>
            </c:numRef>
          </c:val>
        </c:ser>
        <c:dLbls>
          <c:showLegendKey val="0"/>
          <c:showVal val="0"/>
          <c:showCatName val="0"/>
          <c:showSerName val="0"/>
          <c:showPercent val="0"/>
          <c:showBubbleSize val="0"/>
        </c:dLbls>
        <c:gapWidth val="50"/>
        <c:overlap val="100"/>
        <c:axId val="124635776"/>
        <c:axId val="124645760"/>
      </c:barChart>
      <c:catAx>
        <c:axId val="124635776"/>
        <c:scaling>
          <c:orientation val="minMax"/>
        </c:scaling>
        <c:delete val="1"/>
        <c:axPos val="l"/>
        <c:numFmt formatCode="General" sourceLinked="1"/>
        <c:majorTickMark val="out"/>
        <c:minorTickMark val="none"/>
        <c:tickLblPos val="nextTo"/>
        <c:crossAx val="124645760"/>
        <c:crosses val="autoZero"/>
        <c:auto val="1"/>
        <c:lblAlgn val="ctr"/>
        <c:lblOffset val="100"/>
        <c:noMultiLvlLbl val="0"/>
      </c:catAx>
      <c:valAx>
        <c:axId val="124645760"/>
        <c:scaling>
          <c:orientation val="minMax"/>
        </c:scaling>
        <c:delete val="1"/>
        <c:axPos val="b"/>
        <c:numFmt formatCode="0%" sourceLinked="1"/>
        <c:majorTickMark val="out"/>
        <c:minorTickMark val="none"/>
        <c:tickLblPos val="nextTo"/>
        <c:crossAx val="12463577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64210376724245"/>
          <c:y val="0.10612244897959183"/>
          <c:w val="0.72015056580603898"/>
          <c:h val="0.71020408163265303"/>
        </c:manualLayout>
      </c:layout>
      <c:areaChart>
        <c:grouping val="standard"/>
        <c:varyColors val="0"/>
        <c:ser>
          <c:idx val="1"/>
          <c:order val="2"/>
          <c:tx>
            <c:strRef>
              <c:f>改修前後の比較!$S$29</c:f>
              <c:strCache>
                <c:ptCount val="1"/>
                <c:pt idx="0">
                  <c:v>S</c:v>
                </c:pt>
              </c:strCache>
            </c:strRef>
          </c:tx>
          <c:spPr>
            <a:pattFill prst="pct70">
              <a:fgClr>
                <a:srgbClr xmlns:mc="http://schemas.openxmlformats.org/markup-compatibility/2006" xmlns:a14="http://schemas.microsoft.com/office/drawing/2010/main" val="339966" mc:Ignorable="a14" a14:legacySpreadsheetColorIndex="57"/>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0.26255019757132725"/>
                  <c:y val="-0.27393175853018376"/>
                </c:manualLayout>
              </c:layout>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改修前後の比較!$T$29:$Z$29</c:f>
              <c:numCache>
                <c:formatCode>General</c:formatCode>
                <c:ptCount val="7"/>
                <c:pt idx="0">
                  <c:v>100</c:v>
                </c:pt>
                <c:pt idx="1">
                  <c:v>100</c:v>
                </c:pt>
                <c:pt idx="2">
                  <c:v>100</c:v>
                </c:pt>
                <c:pt idx="3">
                  <c:v>100</c:v>
                </c:pt>
                <c:pt idx="4">
                  <c:v>100</c:v>
                </c:pt>
                <c:pt idx="5">
                  <c:v>100</c:v>
                </c:pt>
                <c:pt idx="6">
                  <c:v>100</c:v>
                </c:pt>
              </c:numCache>
            </c:numRef>
          </c:val>
        </c:ser>
        <c:ser>
          <c:idx val="0"/>
          <c:order val="3"/>
          <c:tx>
            <c:strRef>
              <c:f>改修前後の比較!$S$30</c:f>
              <c:strCache>
                <c:ptCount val="1"/>
                <c:pt idx="0">
                  <c:v>A</c:v>
                </c:pt>
              </c:strCache>
            </c:strRef>
          </c:tx>
          <c:spPr>
            <a:pattFill prst="pct90">
              <a:fgClr>
                <a:srgbClr xmlns:mc="http://schemas.openxmlformats.org/markup-compatibility/2006" xmlns:a14="http://schemas.microsoft.com/office/drawing/2010/main" val="CCFFCC" mc:Ignorable="a14" a14:legacySpreadsheetColorIndex="4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3.7873172757035223E-2"/>
                  <c:y val="-0.27393175853018376"/>
                </c:manualLayout>
              </c:layout>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改修前後の比較!$T$30:$Z$30</c:f>
              <c:numCache>
                <c:formatCode>General</c:formatCode>
                <c:ptCount val="7"/>
                <c:pt idx="0">
                  <c:v>50</c:v>
                </c:pt>
                <c:pt idx="1">
                  <c:v>50</c:v>
                </c:pt>
                <c:pt idx="2">
                  <c:v>100</c:v>
                </c:pt>
                <c:pt idx="3">
                  <c:v>100</c:v>
                </c:pt>
                <c:pt idx="4">
                  <c:v>100</c:v>
                </c:pt>
                <c:pt idx="5">
                  <c:v>100</c:v>
                </c:pt>
                <c:pt idx="6">
                  <c:v>100</c:v>
                </c:pt>
              </c:numCache>
            </c:numRef>
          </c:val>
        </c:ser>
        <c:ser>
          <c:idx val="2"/>
          <c:order val="4"/>
          <c:tx>
            <c:strRef>
              <c:f>改修前後の比較!$S$31</c:f>
              <c:strCache>
                <c:ptCount val="1"/>
                <c:pt idx="0">
                  <c:v>B+</c:v>
                </c:pt>
              </c:strCache>
            </c:strRef>
          </c:tx>
          <c:spPr>
            <a:solidFill>
              <a:srgbClr val="FFFFCC"/>
            </a:solidFill>
            <a:ln w="12700">
              <a:solidFill>
                <a:srgbClr val="000000"/>
              </a:solidFill>
              <a:prstDash val="solid"/>
            </a:ln>
          </c:spPr>
          <c:val>
            <c:numRef>
              <c:f>改修前後の比較!$T$31:$Z$31</c:f>
              <c:numCache>
                <c:formatCode>General</c:formatCode>
                <c:ptCount val="7"/>
                <c:pt idx="0">
                  <c:v>0</c:v>
                </c:pt>
                <c:pt idx="1">
                  <c:v>25</c:v>
                </c:pt>
                <c:pt idx="2">
                  <c:v>50</c:v>
                </c:pt>
                <c:pt idx="3">
                  <c:v>75</c:v>
                </c:pt>
                <c:pt idx="4">
                  <c:v>100</c:v>
                </c:pt>
                <c:pt idx="5">
                  <c:v>100</c:v>
                </c:pt>
                <c:pt idx="6">
                  <c:v>100</c:v>
                </c:pt>
              </c:numCache>
            </c:numRef>
          </c:val>
        </c:ser>
        <c:ser>
          <c:idx val="3"/>
          <c:order val="5"/>
          <c:tx>
            <c:strRef>
              <c:f>改修前後の比較!$S$32</c:f>
              <c:strCache>
                <c:ptCount val="1"/>
                <c:pt idx="0">
                  <c:v>B-</c:v>
                </c:pt>
              </c:strCache>
            </c:strRef>
          </c:tx>
          <c:spPr>
            <a:solidFill>
              <a:srgbClr val="FFFFCC"/>
            </a:solidFill>
            <a:ln w="12700">
              <a:solidFill>
                <a:srgbClr val="000000"/>
              </a:solidFill>
              <a:prstDash val="solid"/>
            </a:ln>
          </c:spPr>
          <c:val>
            <c:numRef>
              <c:f>改修前後の比較!$T$32:$Z$32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ser>
          <c:idx val="4"/>
          <c:order val="6"/>
          <c:tx>
            <c:strRef>
              <c:f>改修前後の比較!$S$33</c:f>
              <c:strCache>
                <c:ptCount val="1"/>
                <c:pt idx="0">
                  <c:v>C</c:v>
                </c:pt>
              </c:strCache>
            </c:strRef>
          </c:tx>
          <c:spPr>
            <a:solidFill>
              <a:srgbClr val="FFFFFF"/>
            </a:solidFill>
            <a:ln w="12700">
              <a:solidFill>
                <a:srgbClr val="000000"/>
              </a:solidFill>
              <a:prstDash val="solid"/>
            </a:ln>
          </c:spPr>
          <c:dLbls>
            <c:dLbl>
              <c:idx val="0"/>
              <c:layout>
                <c:manualLayout>
                  <c:x val="0.30247570459605067"/>
                  <c:y val="-3.4135733033370919E-2"/>
                </c:manualLayout>
              </c:layout>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dLbls>
          <c:showLegendKey val="0"/>
          <c:showVal val="0"/>
          <c:showCatName val="0"/>
          <c:showSerName val="0"/>
          <c:showPercent val="0"/>
          <c:showBubbleSize val="0"/>
        </c:dLbls>
        <c:axId val="124833152"/>
        <c:axId val="124835328"/>
      </c:areaChart>
      <c:scatterChart>
        <c:scatterStyle val="lineMarker"/>
        <c:varyColors val="0"/>
        <c:ser>
          <c:idx val="8"/>
          <c:order val="0"/>
          <c:tx>
            <c:strRef>
              <c:f>改修前後の比較!$T$13</c:f>
              <c:strCache>
                <c:ptCount val="1"/>
                <c:pt idx="0">
                  <c:v>1.1</c:v>
                </c:pt>
              </c:strCache>
            </c:strRef>
          </c:tx>
          <c:spPr>
            <a:ln w="38100">
              <a:solidFill>
                <a:srgbClr val="008000"/>
              </a:solidFill>
              <a:prstDash val="solid"/>
            </a:ln>
          </c:spPr>
          <c:marker>
            <c:symbol val="none"/>
          </c:marker>
          <c:dLbls>
            <c:dLbl>
              <c:idx val="1"/>
              <c:layout>
                <c:manualLayout>
                  <c:x val="6.2189838210522194E-2"/>
                  <c:y val="-2.8843537414966036E-2"/>
                </c:manualLayout>
              </c:layout>
              <c:spPr>
                <a:noFill/>
                <a:ln w="25400">
                  <a:noFill/>
                </a:ln>
              </c:spPr>
              <c:txPr>
                <a:bodyPr/>
                <a:lstStyle/>
                <a:p>
                  <a:pPr>
                    <a:defRPr sz="1300" b="1" i="0" u="none" strike="noStrike" baseline="0">
                      <a:solidFill>
                        <a:srgbClr val="FF0000"/>
                      </a:solidFill>
                      <a:latin typeface="Arial"/>
                      <a:ea typeface="Arial"/>
                      <a:cs typeface="Arial"/>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300" b="1" i="0" u="none" strike="noStrike" baseline="0">
                    <a:solidFill>
                      <a:srgbClr val="FF0000"/>
                    </a:solidFill>
                    <a:latin typeface="Arial"/>
                    <a:ea typeface="Arial"/>
                    <a:cs typeface="Arial"/>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改修前後の比較!$W$23:$Y$23</c:f>
              <c:numCache>
                <c:formatCode>#,##0_);[Red]\(#,##0\)</c:formatCode>
                <c:ptCount val="3"/>
                <c:pt idx="1">
                  <c:v>42.250000000000007</c:v>
                </c:pt>
                <c:pt idx="2">
                  <c:v>0</c:v>
                </c:pt>
              </c:numCache>
            </c:numRef>
          </c:xVal>
          <c:yVal>
            <c:numRef>
              <c:f>改修前後の比較!$W$24:$Y$24</c:f>
              <c:numCache>
                <c:formatCode>#,##0_);[Red]\(#,##0\)</c:formatCode>
                <c:ptCount val="3"/>
                <c:pt idx="1">
                  <c:v>50.000000000000014</c:v>
                </c:pt>
                <c:pt idx="2">
                  <c:v>0</c:v>
                </c:pt>
              </c:numCache>
            </c:numRef>
          </c:yVal>
          <c:smooth val="0"/>
        </c:ser>
        <c:ser>
          <c:idx val="6"/>
          <c:order val="1"/>
          <c:tx>
            <c:strRef>
              <c:f>改修前後の比較!$S$13</c:f>
              <c:strCache>
                <c:ptCount val="1"/>
                <c:pt idx="0">
                  <c:v>1.0</c:v>
                </c:pt>
              </c:strCache>
            </c:strRef>
          </c:tx>
          <c:spPr>
            <a:ln w="38100">
              <a:solidFill>
                <a:srgbClr val="99CC00"/>
              </a:solidFill>
              <a:prstDash val="solid"/>
            </a:ln>
          </c:spPr>
          <c:marker>
            <c:symbol val="none"/>
          </c:marker>
          <c:dLbls>
            <c:dLbl>
              <c:idx val="1"/>
              <c:layout>
                <c:manualLayout>
                  <c:x val="1.9901280996591844E-2"/>
                  <c:y val="-0.13496598639455781"/>
                </c:manualLayout>
              </c:layout>
              <c:spPr>
                <a:noFill/>
                <a:ln w="25400">
                  <a:noFill/>
                </a:ln>
              </c:spPr>
              <c:txPr>
                <a:bodyPr/>
                <a:lstStyle/>
                <a:p>
                  <a:pPr>
                    <a:defRPr sz="1300" b="1" i="0" u="none" strike="noStrike" baseline="0">
                      <a:solidFill>
                        <a:srgbClr val="99CC00"/>
                      </a:solidFill>
                      <a:latin typeface="Arial"/>
                      <a:ea typeface="Arial"/>
                      <a:cs typeface="Arial"/>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300" b="1" i="0" u="none" strike="noStrike" baseline="0">
                    <a:solidFill>
                      <a:srgbClr val="99CC00"/>
                    </a:solidFill>
                    <a:latin typeface="Arial"/>
                    <a:ea typeface="Arial"/>
                    <a:cs typeface="Arial"/>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改修前後の比較!$S$23:$U$23</c:f>
              <c:numCache>
                <c:formatCode>#,##0_);[Red]\(#,##0\)</c:formatCode>
                <c:ptCount val="3"/>
                <c:pt idx="1">
                  <c:v>47.249999999999993</c:v>
                </c:pt>
                <c:pt idx="2">
                  <c:v>0</c:v>
                </c:pt>
              </c:numCache>
            </c:numRef>
          </c:xVal>
          <c:yVal>
            <c:numRef>
              <c:f>改修前後の比較!$S$24:$U$24</c:f>
              <c:numCache>
                <c:formatCode>#,##0_);[Red]\(#,##0\)</c:formatCode>
                <c:ptCount val="3"/>
                <c:pt idx="1">
                  <c:v>50.421875000000007</c:v>
                </c:pt>
                <c:pt idx="2">
                  <c:v>0</c:v>
                </c:pt>
              </c:numCache>
            </c:numRef>
          </c:yVal>
          <c:smooth val="0"/>
        </c:ser>
        <c:ser>
          <c:idx val="5"/>
          <c:order val="7"/>
          <c:tx>
            <c:strRef>
              <c:f>改修前後の比較!$S$21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bubble3D val="0"/>
            <c:spPr>
              <a:ln w="19050">
                <a:noFill/>
              </a:ln>
            </c:spPr>
          </c:dPt>
          <c:dPt>
            <c:idx val="2"/>
            <c:marker>
              <c:symbol val="triangle"/>
              <c:size val="18"/>
              <c:spPr>
                <a:solidFill>
                  <a:srgbClr val="99CC00"/>
                </a:solidFill>
                <a:ln>
                  <a:solidFill>
                    <a:srgbClr val="000000"/>
                  </a:solidFill>
                  <a:prstDash val="solid"/>
                </a:ln>
              </c:spPr>
            </c:marker>
            <c:bubble3D val="0"/>
          </c:dPt>
          <c:dPt>
            <c:idx val="3"/>
            <c:marker>
              <c:symbol val="circle"/>
              <c:size val="6"/>
              <c:spPr>
                <a:solidFill>
                  <a:srgbClr val="99CC00"/>
                </a:solidFill>
                <a:ln>
                  <a:solidFill>
                    <a:srgbClr val="000000"/>
                  </a:solidFill>
                  <a:prstDash val="solid"/>
                </a:ln>
              </c:spPr>
            </c:marker>
            <c:bubble3D val="0"/>
          </c:dPt>
          <c:dLbls>
            <c:dLbl>
              <c:idx val="1"/>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extLst>
            </c:dLbl>
            <c:dLbl>
              <c:idx val="3"/>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改修前後の比較!$R$25:$U$25</c:f>
              <c:numCache>
                <c:formatCode>#,##0_);[Red]\(#,##0\)</c:formatCode>
                <c:ptCount val="4"/>
                <c:pt idx="0" formatCode="General">
                  <c:v>0</c:v>
                </c:pt>
                <c:pt idx="1">
                  <c:v>47.249999999999993</c:v>
                </c:pt>
                <c:pt idx="2">
                  <c:v>47.249999999999993</c:v>
                </c:pt>
                <c:pt idx="3">
                  <c:v>0.1</c:v>
                </c:pt>
              </c:numCache>
            </c:numRef>
          </c:xVal>
          <c:yVal>
            <c:numRef>
              <c:f>改修前後の比較!$R$26:$U$26</c:f>
              <c:numCache>
                <c:formatCode>#,##0_);[Red]\(#,##0\)</c:formatCode>
                <c:ptCount val="4"/>
                <c:pt idx="0" formatCode="General">
                  <c:v>0</c:v>
                </c:pt>
                <c:pt idx="1">
                  <c:v>0</c:v>
                </c:pt>
                <c:pt idx="2">
                  <c:v>50.421875000000007</c:v>
                </c:pt>
                <c:pt idx="3">
                  <c:v>50.421875000000007</c:v>
                </c:pt>
              </c:numCache>
            </c:numRef>
          </c:yVal>
          <c:smooth val="0"/>
        </c:ser>
        <c:ser>
          <c:idx val="7"/>
          <c:order val="8"/>
          <c:tx>
            <c:strRef>
              <c:f>改修前後の比較!$W$21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bubble3D val="0"/>
            <c:spPr>
              <a:ln w="19050">
                <a:noFill/>
              </a:ln>
            </c:spPr>
          </c:dPt>
          <c:dPt>
            <c:idx val="2"/>
            <c:marker>
              <c:symbol val="triangle"/>
              <c:size val="18"/>
              <c:spPr>
                <a:solidFill>
                  <a:srgbClr val="339966"/>
                </a:solidFill>
                <a:ln>
                  <a:solidFill>
                    <a:srgbClr val="000000"/>
                  </a:solidFill>
                  <a:prstDash val="solid"/>
                </a:ln>
              </c:spPr>
            </c:marker>
            <c:bubble3D val="0"/>
          </c:dPt>
          <c:dPt>
            <c:idx val="3"/>
            <c:marker>
              <c:symbol val="circle"/>
              <c:size val="6"/>
              <c:spPr>
                <a:solidFill>
                  <a:srgbClr val="339966"/>
                </a:solidFill>
                <a:ln>
                  <a:solidFill>
                    <a:srgbClr val="000000"/>
                  </a:solidFill>
                  <a:prstDash val="solid"/>
                </a:ln>
              </c:spPr>
            </c:marker>
            <c:bubble3D val="0"/>
          </c:dPt>
          <c:dLbls>
            <c:dLbl>
              <c:idx val="0"/>
              <c:delete val="1"/>
              <c:extLst>
                <c:ext xmlns:c15="http://schemas.microsoft.com/office/drawing/2012/chart" uri="{CE6537A1-D6FC-4f65-9D91-7224C49458BB}"/>
              </c:extLst>
            </c:dLbl>
            <c:dLbl>
              <c:idx val="1"/>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改修前後の比較!$V$25:$Y$25</c:f>
              <c:numCache>
                <c:formatCode>#,##0_);[Red]\(#,##0\)</c:formatCode>
                <c:ptCount val="4"/>
                <c:pt idx="0" formatCode="General">
                  <c:v>0</c:v>
                </c:pt>
                <c:pt idx="1">
                  <c:v>42.250000000000007</c:v>
                </c:pt>
                <c:pt idx="2">
                  <c:v>42.250000000000007</c:v>
                </c:pt>
                <c:pt idx="3">
                  <c:v>0.1</c:v>
                </c:pt>
              </c:numCache>
            </c:numRef>
          </c:xVal>
          <c:yVal>
            <c:numRef>
              <c:f>改修前後の比較!$V$26:$Y$26</c:f>
              <c:numCache>
                <c:formatCode>#,##0_);[Red]\(#,##0\)</c:formatCode>
                <c:ptCount val="4"/>
                <c:pt idx="0" formatCode="General">
                  <c:v>0</c:v>
                </c:pt>
                <c:pt idx="1">
                  <c:v>0</c:v>
                </c:pt>
                <c:pt idx="2">
                  <c:v>50.000000000000014</c:v>
                </c:pt>
                <c:pt idx="3">
                  <c:v>50.000000000000014</c:v>
                </c:pt>
              </c:numCache>
            </c:numRef>
          </c:yVal>
          <c:smooth val="0"/>
        </c:ser>
        <c:dLbls>
          <c:showLegendKey val="0"/>
          <c:showVal val="0"/>
          <c:showCatName val="0"/>
          <c:showSerName val="0"/>
          <c:showPercent val="0"/>
          <c:showBubbleSize val="0"/>
        </c:dLbls>
        <c:axId val="124837248"/>
        <c:axId val="124859520"/>
      </c:scatterChart>
      <c:catAx>
        <c:axId val="124833152"/>
        <c:scaling>
          <c:orientation val="minMax"/>
        </c:scaling>
        <c:delete val="0"/>
        <c:axPos val="b"/>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環境負荷　</a:t>
                </a:r>
                <a:r>
                  <a:rPr lang="en-US" altLang="ja-JP"/>
                  <a:t>L</a:t>
                </a:r>
              </a:p>
            </c:rich>
          </c:tx>
          <c:layout>
            <c:manualLayout>
              <c:xMode val="edge"/>
              <c:yMode val="edge"/>
              <c:x val="0.38432905843534726"/>
              <c:y val="0.90204081632653066"/>
            </c:manualLayout>
          </c:layout>
          <c:overlay val="0"/>
          <c:spPr>
            <a:noFill/>
            <a:ln w="25400">
              <a:noFill/>
            </a:ln>
          </c:spPr>
        </c:title>
        <c:majorTickMark val="none"/>
        <c:minorTickMark val="none"/>
        <c:tickLblPos val="none"/>
        <c:spPr>
          <a:ln w="3175">
            <a:solidFill>
              <a:srgbClr val="000000"/>
            </a:solidFill>
            <a:prstDash val="solid"/>
          </a:ln>
        </c:spPr>
        <c:crossAx val="124835328"/>
        <c:crossesAt val="0"/>
        <c:auto val="1"/>
        <c:lblAlgn val="ctr"/>
        <c:lblOffset val="100"/>
        <c:tickLblSkip val="1"/>
        <c:tickMarkSkip val="1"/>
        <c:noMultiLvlLbl val="0"/>
      </c:catAx>
      <c:valAx>
        <c:axId val="124835328"/>
        <c:scaling>
          <c:orientation val="minMax"/>
          <c:max val="100"/>
          <c:min val="0"/>
        </c:scaling>
        <c:delete val="0"/>
        <c:axPos val="l"/>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環境品質　</a:t>
                </a:r>
                <a:r>
                  <a:rPr lang="en-US" altLang="ja-JP"/>
                  <a:t>Q</a:t>
                </a:r>
              </a:p>
            </c:rich>
          </c:tx>
          <c:layout>
            <c:manualLayout>
              <c:xMode val="edge"/>
              <c:yMode val="edge"/>
              <c:x val="1.8656750409482878E-2"/>
              <c:y val="0.3142857142857142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24833152"/>
        <c:crosses val="autoZero"/>
        <c:crossBetween val="midCat"/>
        <c:majorUnit val="50"/>
        <c:minorUnit val="4"/>
      </c:valAx>
      <c:valAx>
        <c:axId val="124837248"/>
        <c:scaling>
          <c:orientation val="minMax"/>
          <c:max val="100"/>
          <c:min val="0"/>
        </c:scaling>
        <c:delete val="0"/>
        <c:axPos val="t"/>
        <c:numFmt formatCode="#,##0_);[Red]\(#,##0\)" sourceLinked="1"/>
        <c:majorTickMark val="none"/>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24859520"/>
        <c:crosses val="max"/>
        <c:crossBetween val="midCat"/>
        <c:majorUnit val="50"/>
        <c:minorUnit val="2"/>
      </c:valAx>
      <c:valAx>
        <c:axId val="124859520"/>
        <c:scaling>
          <c:orientation val="minMax"/>
          <c:max val="100"/>
          <c:min val="0"/>
        </c:scaling>
        <c:delete val="0"/>
        <c:axPos val="r"/>
        <c:numFmt formatCode="#,##0_);[Red]\(#,##0\)" sourceLinked="1"/>
        <c:majorTickMark val="none"/>
        <c:minorTickMark val="none"/>
        <c:tickLblPos val="none"/>
        <c:spPr>
          <a:ln w="3175">
            <a:solidFill>
              <a:srgbClr val="000000"/>
            </a:solidFill>
            <a:prstDash val="solid"/>
          </a:ln>
        </c:spPr>
        <c:crossAx val="124837248"/>
        <c:crosses val="max"/>
        <c:crossBetween val="midCat"/>
        <c:majorUnit val="50"/>
        <c:minorUnit val="2"/>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06384260890854"/>
          <c:y val="0.10932475884244373"/>
          <c:w val="0.61708154991377706"/>
          <c:h val="0.72025723472668812"/>
        </c:manualLayout>
      </c:layout>
      <c:radarChart>
        <c:radarStyle val="filled"/>
        <c:varyColors val="0"/>
        <c:ser>
          <c:idx val="0"/>
          <c:order val="0"/>
          <c:tx>
            <c:strRef>
              <c:f>改修前後の比較!$W$8</c:f>
              <c:strCache>
                <c:ptCount val="1"/>
                <c:pt idx="0">
                  <c:v>background</c:v>
                </c:pt>
              </c:strCache>
            </c:strRef>
          </c:tx>
          <c:spPr>
            <a:blipFill dpi="0" rotWithShape="0">
              <a:blip xmlns:r="http://schemas.openxmlformats.org/officeDocument/2006/relationships" r:embed="rId1"/>
              <a:srcRect/>
              <a:stretch>
                <a:fillRect/>
              </a:stretch>
            </a:blip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改修前後の比較!$W$9:$W$14</c:f>
              <c:numCache>
                <c:formatCode>General</c:formatCode>
                <c:ptCount val="6"/>
                <c:pt idx="0">
                  <c:v>5</c:v>
                </c:pt>
                <c:pt idx="1">
                  <c:v>5</c:v>
                </c:pt>
                <c:pt idx="2">
                  <c:v>5</c:v>
                </c:pt>
                <c:pt idx="3">
                  <c:v>5</c:v>
                </c:pt>
                <c:pt idx="4">
                  <c:v>5</c:v>
                </c:pt>
                <c:pt idx="5">
                  <c:v>5</c:v>
                </c:pt>
              </c:numCache>
            </c:numRef>
          </c:val>
        </c:ser>
        <c:ser>
          <c:idx val="1"/>
          <c:order val="1"/>
          <c:tx>
            <c:strRef>
              <c:f>改修前後の比較!$X$8</c:f>
              <c:strCache>
                <c:ptCount val="1"/>
                <c:pt idx="0">
                  <c:v>4</c:v>
                </c:pt>
              </c:strCache>
            </c:strRef>
          </c:tx>
          <c:spPr>
            <a:no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改修前後の比較!$X$9:$X$14</c:f>
              <c:numCache>
                <c:formatCode>General</c:formatCode>
                <c:ptCount val="6"/>
                <c:pt idx="0">
                  <c:v>4</c:v>
                </c:pt>
                <c:pt idx="1">
                  <c:v>4</c:v>
                </c:pt>
                <c:pt idx="2">
                  <c:v>4</c:v>
                </c:pt>
                <c:pt idx="3">
                  <c:v>4</c:v>
                </c:pt>
                <c:pt idx="4">
                  <c:v>4</c:v>
                </c:pt>
                <c:pt idx="5">
                  <c:v>4</c:v>
                </c:pt>
              </c:numCache>
            </c:numRef>
          </c:val>
        </c:ser>
        <c:ser>
          <c:idx val="2"/>
          <c:order val="2"/>
          <c:tx>
            <c:strRef>
              <c:f>改修前後の比較!$Y$8</c:f>
              <c:strCache>
                <c:ptCount val="1"/>
                <c:pt idx="0">
                  <c:v>2</c:v>
                </c:pt>
              </c:strCache>
            </c:strRef>
          </c:tx>
          <c:spPr>
            <a:no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改修前後の比較!$Y$9:$Y$14</c:f>
              <c:numCache>
                <c:formatCode>General</c:formatCode>
                <c:ptCount val="6"/>
                <c:pt idx="0">
                  <c:v>2</c:v>
                </c:pt>
                <c:pt idx="1">
                  <c:v>2</c:v>
                </c:pt>
                <c:pt idx="2">
                  <c:v>2</c:v>
                </c:pt>
                <c:pt idx="3">
                  <c:v>2</c:v>
                </c:pt>
                <c:pt idx="4">
                  <c:v>2</c:v>
                </c:pt>
                <c:pt idx="5">
                  <c:v>2</c:v>
                </c:pt>
              </c:numCache>
            </c:numRef>
          </c:val>
        </c:ser>
        <c:ser>
          <c:idx val="5"/>
          <c:order val="3"/>
          <c:tx>
            <c:strRef>
              <c:f>改修前後の比較!$AA$8</c:f>
              <c:strCache>
                <c:ptCount val="1"/>
                <c:pt idx="0">
                  <c:v>after</c:v>
                </c:pt>
              </c:strCache>
            </c:strRef>
          </c:tx>
          <c:spPr>
            <a:solidFill>
              <a:srgbClr val="99CCFF"/>
            </a:solid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改修前後の比較!$AA$9:$AA$14</c:f>
              <c:numCache>
                <c:formatCode>0.0_ </c:formatCode>
                <c:ptCount val="6"/>
                <c:pt idx="0">
                  <c:v>3</c:v>
                </c:pt>
                <c:pt idx="1">
                  <c:v>3</c:v>
                </c:pt>
                <c:pt idx="2">
                  <c:v>3.1</c:v>
                </c:pt>
                <c:pt idx="3">
                  <c:v>3</c:v>
                </c:pt>
                <c:pt idx="4">
                  <c:v>3.7</c:v>
                </c:pt>
                <c:pt idx="5">
                  <c:v>3</c:v>
                </c:pt>
              </c:numCache>
            </c:numRef>
          </c:val>
        </c:ser>
        <c:ser>
          <c:idx val="3"/>
          <c:order val="4"/>
          <c:tx>
            <c:strRef>
              <c:f>改修前後の比較!$Z$8</c:f>
              <c:strCache>
                <c:ptCount val="1"/>
                <c:pt idx="0">
                  <c:v>before</c:v>
                </c:pt>
              </c:strCache>
            </c:strRef>
          </c:tx>
          <c:spPr>
            <a:solidFill>
              <a:srgbClr val="CCFFFF"/>
            </a:solidFill>
            <a:ln w="12700">
              <a:solidFill>
                <a:srgbClr val="000000"/>
              </a:solidFill>
              <a:prstDash val="sysDash"/>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改修前後の比較!$Z$9:$Z$14</c:f>
              <c:numCache>
                <c:formatCode>0.0_ </c:formatCode>
                <c:ptCount val="6"/>
                <c:pt idx="0">
                  <c:v>3</c:v>
                </c:pt>
                <c:pt idx="1">
                  <c:v>3</c:v>
                </c:pt>
                <c:pt idx="2">
                  <c:v>3.1</c:v>
                </c:pt>
                <c:pt idx="3">
                  <c:v>3</c:v>
                </c:pt>
                <c:pt idx="4">
                  <c:v>3.2</c:v>
                </c:pt>
                <c:pt idx="5">
                  <c:v>3</c:v>
                </c:pt>
              </c:numCache>
            </c:numRef>
          </c:val>
        </c:ser>
        <c:ser>
          <c:idx val="4"/>
          <c:order val="5"/>
          <c:tx>
            <c:strRef>
              <c:f>改修前後の比較!$AB$8</c:f>
              <c:strCache>
                <c:ptCount val="1"/>
                <c:pt idx="0">
                  <c:v>std</c:v>
                </c:pt>
              </c:strCache>
            </c:strRef>
          </c:tx>
          <c:spPr>
            <a:noFill/>
            <a:ln w="12700">
              <a:solidFill>
                <a:srgbClr val="FF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改修前後の比較!$AB$9:$AB$14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124897920"/>
        <c:axId val="124903808"/>
      </c:radarChart>
      <c:catAx>
        <c:axId val="1248979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24903808"/>
        <c:crosses val="autoZero"/>
        <c:auto val="0"/>
        <c:lblAlgn val="ctr"/>
        <c:lblOffset val="100"/>
        <c:noMultiLvlLbl val="0"/>
      </c:catAx>
      <c:valAx>
        <c:axId val="12490380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489792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406084192460629E-2"/>
          <c:y val="0.16"/>
          <c:w val="0.88614075587087104"/>
          <c:h val="0.98"/>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改修前後の比較!$R$36</c:f>
              <c:strCache>
                <c:ptCount val="1"/>
                <c:pt idx="0">
                  <c:v>Rank(green star)</c:v>
                </c:pt>
              </c:strCache>
            </c:strRef>
          </c:cat>
          <c:val>
            <c:numRef>
              <c:f>改修前後の比較!$T$36</c:f>
              <c:numCache>
                <c:formatCode>General</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改修前後の比較!$R$36</c:f>
              <c:strCache>
                <c:ptCount val="1"/>
                <c:pt idx="0">
                  <c:v>Rank(green star)</c:v>
                </c:pt>
              </c:strCache>
            </c:strRef>
          </c:cat>
          <c:val>
            <c:numRef>
              <c:f>改修前後の比較!$T$37</c:f>
              <c:numCache>
                <c:formatCode>General</c:formatCode>
                <c:ptCount val="1"/>
                <c:pt idx="0">
                  <c:v>0.6</c:v>
                </c:pt>
              </c:numCache>
            </c:numRef>
          </c:val>
        </c:ser>
        <c:dLbls>
          <c:showLegendKey val="0"/>
          <c:showVal val="0"/>
          <c:showCatName val="0"/>
          <c:showSerName val="0"/>
          <c:showPercent val="0"/>
          <c:showBubbleSize val="0"/>
        </c:dLbls>
        <c:gapWidth val="50"/>
        <c:overlap val="100"/>
        <c:axId val="125006592"/>
        <c:axId val="125008128"/>
      </c:barChart>
      <c:catAx>
        <c:axId val="125006592"/>
        <c:scaling>
          <c:orientation val="minMax"/>
        </c:scaling>
        <c:delete val="1"/>
        <c:axPos val="l"/>
        <c:numFmt formatCode="General" sourceLinked="1"/>
        <c:majorTickMark val="out"/>
        <c:minorTickMark val="none"/>
        <c:tickLblPos val="nextTo"/>
        <c:crossAx val="125008128"/>
        <c:crosses val="autoZero"/>
        <c:auto val="1"/>
        <c:lblAlgn val="ctr"/>
        <c:lblOffset val="100"/>
        <c:noMultiLvlLbl val="0"/>
      </c:catAx>
      <c:valAx>
        <c:axId val="125008128"/>
        <c:scaling>
          <c:orientation val="minMax"/>
        </c:scaling>
        <c:delete val="1"/>
        <c:axPos val="b"/>
        <c:numFmt formatCode="0%" sourceLinked="1"/>
        <c:majorTickMark val="out"/>
        <c:minorTickMark val="none"/>
        <c:tickLblPos val="nextTo"/>
        <c:crossAx val="12500659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113300492610835E-2"/>
          <c:y val="0.1"/>
          <c:w val="0.89162561576354682"/>
          <c:h val="0.9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改修前後の比較!$R$36</c:f>
              <c:strCache>
                <c:ptCount val="1"/>
                <c:pt idx="0">
                  <c:v>Rank(green star)</c:v>
                </c:pt>
              </c:strCache>
            </c:strRef>
          </c:cat>
          <c:val>
            <c:numRef>
              <c:f>改修前後の比較!$S$36</c:f>
              <c:numCache>
                <c:formatCode>General</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改修前後の比較!$R$36</c:f>
              <c:strCache>
                <c:ptCount val="1"/>
                <c:pt idx="0">
                  <c:v>Rank(green star)</c:v>
                </c:pt>
              </c:strCache>
            </c:strRef>
          </c:cat>
          <c:val>
            <c:numRef>
              <c:f>改修前後の比較!$S$37</c:f>
              <c:numCache>
                <c:formatCode>General</c:formatCode>
                <c:ptCount val="1"/>
                <c:pt idx="0">
                  <c:v>0.6</c:v>
                </c:pt>
              </c:numCache>
            </c:numRef>
          </c:val>
        </c:ser>
        <c:dLbls>
          <c:showLegendKey val="0"/>
          <c:showVal val="0"/>
          <c:showCatName val="0"/>
          <c:showSerName val="0"/>
          <c:showPercent val="0"/>
          <c:showBubbleSize val="0"/>
        </c:dLbls>
        <c:gapWidth val="50"/>
        <c:overlap val="100"/>
        <c:axId val="125041280"/>
        <c:axId val="125051264"/>
      </c:barChart>
      <c:catAx>
        <c:axId val="125041280"/>
        <c:scaling>
          <c:orientation val="minMax"/>
        </c:scaling>
        <c:delete val="1"/>
        <c:axPos val="l"/>
        <c:numFmt formatCode="General" sourceLinked="1"/>
        <c:majorTickMark val="out"/>
        <c:minorTickMark val="none"/>
        <c:tickLblPos val="nextTo"/>
        <c:crossAx val="125051264"/>
        <c:crosses val="autoZero"/>
        <c:auto val="1"/>
        <c:lblAlgn val="ctr"/>
        <c:lblOffset val="100"/>
        <c:noMultiLvlLbl val="0"/>
      </c:catAx>
      <c:valAx>
        <c:axId val="125051264"/>
        <c:scaling>
          <c:orientation val="minMax"/>
        </c:scaling>
        <c:delete val="1"/>
        <c:axPos val="b"/>
        <c:numFmt formatCode="0%" sourceLinked="1"/>
        <c:majorTickMark val="out"/>
        <c:minorTickMark val="none"/>
        <c:tickLblPos val="nextTo"/>
        <c:crossAx val="12504128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545575607190179E-2"/>
          <c:y val="0.12834258110842744"/>
          <c:w val="0.89545653288470539"/>
          <c:h val="0.67379855081924411"/>
        </c:manualLayout>
      </c:layout>
      <c:barChart>
        <c:barDir val="bar"/>
        <c:grouping val="stacked"/>
        <c:varyColors val="0"/>
        <c:ser>
          <c:idx val="4"/>
          <c:order val="0"/>
          <c:tx>
            <c:strRef>
              <c:f>改修前後の比較!$S$40</c:f>
              <c:strCache>
                <c:ptCount val="1"/>
                <c:pt idx="0">
                  <c:v>オンサイト</c:v>
                </c:pt>
              </c:strCache>
            </c:strRef>
          </c:tx>
          <c:spPr>
            <a:solidFill>
              <a:srgbClr val="969696"/>
            </a:solidFill>
            <a:ln w="12700">
              <a:solidFill>
                <a:srgbClr val="000000"/>
              </a:solidFill>
              <a:prstDash val="solid"/>
            </a:ln>
          </c:spPr>
          <c:invertIfNegative val="0"/>
          <c:cat>
            <c:strRef>
              <c:f>改修前後の比較!$R$41:$R$44</c:f>
              <c:strCache>
                <c:ptCount val="4"/>
                <c:pt idx="0">
                  <c:v>Ref</c:v>
                </c:pt>
                <c:pt idx="1">
                  <c:v>Subjest1</c:v>
                </c:pt>
                <c:pt idx="2">
                  <c:v>Subjest2</c:v>
                </c:pt>
                <c:pt idx="3">
                  <c:v>Subjest3</c:v>
                </c:pt>
              </c:strCache>
            </c:strRef>
          </c:cat>
          <c:val>
            <c:numRef>
              <c:f>改修前後の比較!$S$41:$S$44</c:f>
              <c:numCache>
                <c:formatCode>#,##0_);[Red]\(#,##0\)</c:formatCode>
                <c:ptCount val="4"/>
                <c:pt idx="0">
                  <c:v>135.70970836065572</c:v>
                </c:pt>
                <c:pt idx="1">
                  <c:v>125.75910891278687</c:v>
                </c:pt>
              </c:numCache>
            </c:numRef>
          </c:val>
        </c:ser>
        <c:ser>
          <c:idx val="5"/>
          <c:order val="1"/>
          <c:tx>
            <c:strRef>
              <c:f>改修前後の比較!$T$40</c:f>
              <c:strCache>
                <c:ptCount val="1"/>
                <c:pt idx="0">
                  <c:v>オフサイト</c:v>
                </c:pt>
              </c:strCache>
            </c:strRef>
          </c:tx>
          <c:spPr>
            <a:pattFill prst="pct6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改修前後の比較!$R$41:$R$44</c:f>
              <c:strCache>
                <c:ptCount val="4"/>
                <c:pt idx="0">
                  <c:v>Ref</c:v>
                </c:pt>
                <c:pt idx="1">
                  <c:v>Subjest1</c:v>
                </c:pt>
                <c:pt idx="2">
                  <c:v>Subjest2</c:v>
                </c:pt>
                <c:pt idx="3">
                  <c:v>Subjest3</c:v>
                </c:pt>
              </c:strCache>
            </c:strRef>
          </c:cat>
          <c:val>
            <c:numRef>
              <c:f>改修前後の比較!$T$41:$T$44</c:f>
              <c:numCache>
                <c:formatCode>General</c:formatCode>
                <c:ptCount val="4"/>
                <c:pt idx="2">
                  <c:v>135.70970836065572</c:v>
                </c:pt>
                <c:pt idx="3">
                  <c:v>125.75910891278687</c:v>
                </c:pt>
              </c:numCache>
            </c:numRef>
          </c:val>
        </c:ser>
        <c:dLbls>
          <c:showLegendKey val="0"/>
          <c:showVal val="0"/>
          <c:showCatName val="0"/>
          <c:showSerName val="0"/>
          <c:showPercent val="0"/>
          <c:showBubbleSize val="0"/>
        </c:dLbls>
        <c:gapWidth val="50"/>
        <c:overlap val="100"/>
        <c:axId val="125092224"/>
        <c:axId val="125093760"/>
      </c:barChart>
      <c:catAx>
        <c:axId val="125092224"/>
        <c:scaling>
          <c:orientation val="maxMin"/>
        </c:scaling>
        <c:delete val="1"/>
        <c:axPos val="l"/>
        <c:numFmt formatCode="General" sourceLinked="1"/>
        <c:majorTickMark val="out"/>
        <c:minorTickMark val="none"/>
        <c:tickLblPos val="nextTo"/>
        <c:crossAx val="125093760"/>
        <c:crosses val="autoZero"/>
        <c:auto val="1"/>
        <c:lblAlgn val="ctr"/>
        <c:lblOffset val="100"/>
        <c:noMultiLvlLbl val="0"/>
      </c:catAx>
      <c:valAx>
        <c:axId val="125093760"/>
        <c:scaling>
          <c:orientation val="minMax"/>
        </c:scaling>
        <c:delete val="0"/>
        <c:axPos val="b"/>
        <c:numFmt formatCode="0_ "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5092224"/>
        <c:crosses val="max"/>
        <c:crossBetween val="between"/>
      </c:valAx>
      <c:spPr>
        <a:noFill/>
        <a:ln w="3175">
          <a:solidFill>
            <a:srgbClr val="000000"/>
          </a:solidFill>
          <a:prstDash val="solid"/>
        </a:ln>
      </c:spPr>
    </c:plotArea>
    <c:legend>
      <c:legendPos val="r"/>
      <c:layout>
        <c:manualLayout>
          <c:xMode val="edge"/>
          <c:yMode val="edge"/>
          <c:x val="7.7272898776852755E-2"/>
          <c:y val="2.6738037730922384E-2"/>
          <c:w val="0.83182002800965027"/>
          <c:h val="0.10695215092368954"/>
        </c:manualLayout>
      </c:layout>
      <c:overlay val="0"/>
      <c:spPr>
        <a:no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2"/>
          <c:tx>
            <c:strRef>
              <c:f>'結果(改修前)'!$S$29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'結果(改修前)'!$T$29:$Z$29</c:f>
              <c:numCache>
                <c:formatCode>General</c:formatCode>
                <c:ptCount val="7"/>
                <c:pt idx="0">
                  <c:v>100</c:v>
                </c:pt>
                <c:pt idx="1">
                  <c:v>100</c:v>
                </c:pt>
                <c:pt idx="2">
                  <c:v>100</c:v>
                </c:pt>
                <c:pt idx="3">
                  <c:v>100</c:v>
                </c:pt>
                <c:pt idx="4">
                  <c:v>100</c:v>
                </c:pt>
                <c:pt idx="5">
                  <c:v>100</c:v>
                </c:pt>
                <c:pt idx="6">
                  <c:v>100</c:v>
                </c:pt>
              </c:numCache>
            </c:numRef>
          </c:val>
        </c:ser>
        <c:ser>
          <c:idx val="3"/>
          <c:order val="3"/>
          <c:tx>
            <c:strRef>
              <c:f>'結果(改修前)'!$S$30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'結果(改修前)'!$T$30:$Z$30</c:f>
              <c:numCache>
                <c:formatCode>General</c:formatCode>
                <c:ptCount val="7"/>
                <c:pt idx="0">
                  <c:v>50</c:v>
                </c:pt>
                <c:pt idx="1">
                  <c:v>50</c:v>
                </c:pt>
                <c:pt idx="2">
                  <c:v>100</c:v>
                </c:pt>
                <c:pt idx="3">
                  <c:v>100</c:v>
                </c:pt>
                <c:pt idx="4">
                  <c:v>100</c:v>
                </c:pt>
                <c:pt idx="5">
                  <c:v>100</c:v>
                </c:pt>
                <c:pt idx="6">
                  <c:v>100</c:v>
                </c:pt>
              </c:numCache>
            </c:numRef>
          </c:val>
        </c:ser>
        <c:ser>
          <c:idx val="2"/>
          <c:order val="4"/>
          <c:tx>
            <c:strRef>
              <c:f>'結果(改修前)'!$S$31</c:f>
              <c:strCache>
                <c:ptCount val="1"/>
                <c:pt idx="0">
                  <c:v>B+</c:v>
                </c:pt>
              </c:strCache>
            </c:strRef>
          </c:tx>
          <c:spPr>
            <a:solidFill>
              <a:srgbClr val="FFFFCC"/>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'結果(改修前)'!$T$31:$Z$31</c:f>
              <c:numCache>
                <c:formatCode>General</c:formatCode>
                <c:ptCount val="7"/>
                <c:pt idx="0">
                  <c:v>0</c:v>
                </c:pt>
                <c:pt idx="1">
                  <c:v>25</c:v>
                </c:pt>
                <c:pt idx="2">
                  <c:v>50</c:v>
                </c:pt>
                <c:pt idx="3">
                  <c:v>75</c:v>
                </c:pt>
                <c:pt idx="4">
                  <c:v>100</c:v>
                </c:pt>
                <c:pt idx="5">
                  <c:v>100</c:v>
                </c:pt>
                <c:pt idx="6">
                  <c:v>100</c:v>
                </c:pt>
              </c:numCache>
            </c:numRef>
          </c:val>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6"/>
          <c:tx>
            <c:strRef>
              <c:f>'結果(改修前)'!$S$32</c:f>
              <c:strCache>
                <c:ptCount val="1"/>
                <c:pt idx="0">
                  <c:v>B</c:v>
                </c:pt>
              </c:strCache>
            </c:strRef>
          </c:tx>
          <c:spPr>
            <a:no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115031040"/>
        <c:axId val="11503692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ser>
        <c:ser>
          <c:idx val="5"/>
          <c:order val="1"/>
          <c:tx>
            <c:strRef>
              <c:f>'結果(改修前)'!$S$13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'結果(改修前)'!$S$23:$U$23</c:f>
              <c:numCache>
                <c:formatCode>#,##0_);[Red]\(#,##0\)</c:formatCode>
                <c:ptCount val="3"/>
                <c:pt idx="1">
                  <c:v>47.249999999999993</c:v>
                </c:pt>
                <c:pt idx="2">
                  <c:v>0</c:v>
                </c:pt>
              </c:numCache>
            </c:numRef>
          </c:xVal>
          <c:yVal>
            <c:numRef>
              <c:f>'結果(改修前)'!$S$24:$U$24</c:f>
              <c:numCache>
                <c:formatCode>#,##0_);[Red]\(#,##0\)</c:formatCode>
                <c:ptCount val="3"/>
                <c:pt idx="1">
                  <c:v>50.421875000000007</c:v>
                </c:pt>
                <c:pt idx="2">
                  <c:v>0</c:v>
                </c:pt>
              </c:numCache>
            </c:numRef>
          </c:yVal>
          <c:smooth val="0"/>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'結果(改修前)'!$R$25:$U$25</c:f>
              <c:numCache>
                <c:formatCode>General</c:formatCode>
                <c:ptCount val="4"/>
                <c:pt idx="0">
                  <c:v>0</c:v>
                </c:pt>
                <c:pt idx="1">
                  <c:v>47.249999999999993</c:v>
                </c:pt>
                <c:pt idx="2" formatCode="#,##0_);[Red]\(#,##0\)">
                  <c:v>47.249999999999993</c:v>
                </c:pt>
                <c:pt idx="3" formatCode="#,##0_);[Red]\(#,##0\)">
                  <c:v>0.1</c:v>
                </c:pt>
              </c:numCache>
            </c:numRef>
          </c:xVal>
          <c:yVal>
            <c:numRef>
              <c:f>'結果(改修前)'!$R$26:$U$26</c:f>
              <c:numCache>
                <c:formatCode>General</c:formatCode>
                <c:ptCount val="4"/>
                <c:pt idx="0">
                  <c:v>0</c:v>
                </c:pt>
                <c:pt idx="1">
                  <c:v>0</c:v>
                </c:pt>
                <c:pt idx="2" formatCode="#,##0_);[Red]\(#,##0\)">
                  <c:v>50.421875000000007</c:v>
                </c:pt>
                <c:pt idx="3" formatCode="#,##0_);[Red]\(#,##0\)">
                  <c:v>50.421875000000007</c:v>
                </c:pt>
              </c:numCache>
            </c:numRef>
          </c:yVal>
          <c:smooth val="0"/>
        </c:ser>
        <c:dLbls>
          <c:showLegendKey val="0"/>
          <c:showVal val="0"/>
          <c:showCatName val="0"/>
          <c:showSerName val="0"/>
          <c:showPercent val="0"/>
          <c:showBubbleSize val="0"/>
        </c:dLbls>
        <c:axId val="115038464"/>
        <c:axId val="115048448"/>
      </c:scatterChart>
      <c:catAx>
        <c:axId val="115031040"/>
        <c:scaling>
          <c:orientation val="minMax"/>
        </c:scaling>
        <c:delete val="0"/>
        <c:axPos val="b"/>
        <c:numFmt formatCode="#,##0_);[Red]\(#,##0\)" sourceLinked="1"/>
        <c:majorTickMark val="none"/>
        <c:minorTickMark val="none"/>
        <c:tickLblPos val="none"/>
        <c:spPr>
          <a:ln w="3175">
            <a:solidFill>
              <a:srgbClr val="000000"/>
            </a:solidFill>
            <a:prstDash val="solid"/>
          </a:ln>
        </c:spPr>
        <c:crossAx val="115036928"/>
        <c:crosses val="autoZero"/>
        <c:auto val="0"/>
        <c:lblAlgn val="ctr"/>
        <c:lblOffset val="100"/>
        <c:tickLblSkip val="50"/>
        <c:tickMarkSkip val="50"/>
        <c:noMultiLvlLbl val="0"/>
      </c:catAx>
      <c:valAx>
        <c:axId val="11503692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5031040"/>
        <c:crosses val="autoZero"/>
        <c:crossBetween val="midCat"/>
        <c:majorUnit val="50"/>
      </c:valAx>
      <c:valAx>
        <c:axId val="11503846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5048448"/>
        <c:crosses val="max"/>
        <c:crossBetween val="midCat"/>
        <c:majorUnit val="50"/>
      </c:valAx>
      <c:valAx>
        <c:axId val="11504844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1503846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'結果(改修前)'!$R$35</c:f>
              <c:strCache>
                <c:ptCount val="1"/>
                <c:pt idx="0">
                  <c:v>Rank(green star)</c:v>
                </c:pt>
              </c:strCache>
            </c:strRef>
          </c:cat>
          <c:val>
            <c:numRef>
              <c:f>'結果(改修前)'!$S$35</c:f>
              <c:numCache>
                <c:formatCode>#,##0.0;[Red]\-#,##0.0</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'結果(改修前)'!$R$35</c:f>
              <c:strCache>
                <c:ptCount val="1"/>
                <c:pt idx="0">
                  <c:v>Rank(green star)</c:v>
                </c:pt>
              </c:strCache>
            </c:strRef>
          </c:cat>
          <c:val>
            <c:numRef>
              <c:f>'結果(改修前)'!$S$36</c:f>
              <c:numCache>
                <c:formatCode>#,##0.0;[Red]\-#,##0.0</c:formatCode>
                <c:ptCount val="1"/>
                <c:pt idx="0">
                  <c:v>0.6</c:v>
                </c:pt>
              </c:numCache>
            </c:numRef>
          </c:val>
        </c:ser>
        <c:dLbls>
          <c:showLegendKey val="0"/>
          <c:showVal val="0"/>
          <c:showCatName val="0"/>
          <c:showSerName val="0"/>
          <c:showPercent val="0"/>
          <c:showBubbleSize val="0"/>
        </c:dLbls>
        <c:gapWidth val="50"/>
        <c:overlap val="100"/>
        <c:axId val="115299072"/>
        <c:axId val="115300608"/>
      </c:barChart>
      <c:catAx>
        <c:axId val="115299072"/>
        <c:scaling>
          <c:orientation val="minMax"/>
        </c:scaling>
        <c:delete val="1"/>
        <c:axPos val="l"/>
        <c:numFmt formatCode="General" sourceLinked="1"/>
        <c:majorTickMark val="out"/>
        <c:minorTickMark val="none"/>
        <c:tickLblPos val="nextTo"/>
        <c:crossAx val="115300608"/>
        <c:crosses val="autoZero"/>
        <c:auto val="1"/>
        <c:lblAlgn val="ctr"/>
        <c:lblOffset val="100"/>
        <c:noMultiLvlLbl val="0"/>
      </c:catAx>
      <c:valAx>
        <c:axId val="115300608"/>
        <c:scaling>
          <c:orientation val="minMax"/>
        </c:scaling>
        <c:delete val="1"/>
        <c:axPos val="b"/>
        <c:numFmt formatCode="0%" sourceLinked="1"/>
        <c:majorTickMark val="out"/>
        <c:minorTickMark val="none"/>
        <c:tickLblPos val="nextTo"/>
        <c:crossAx val="1152990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'スコア（重点項目）（改修前）'!$W$10</c:f>
              <c:strCache>
                <c:ptCount val="1"/>
                <c:pt idx="0">
                  <c:v>総合評価
結果</c:v>
                </c:pt>
              </c:strCache>
            </c:strRef>
          </c:cat>
          <c:val>
            <c:numRef>
              <c:f>'スコア（重点項目）（改修前）'!$W$13</c:f>
              <c:numCache>
                <c:formatCode>#,##0.0_);[Red]\(#,##0.0\)</c:formatCode>
                <c:ptCount val="1"/>
                <c:pt idx="0">
                  <c:v>0.6</c:v>
                </c:pt>
              </c:numCache>
            </c:numRef>
          </c:val>
        </c:ser>
        <c:ser>
          <c:idx val="1"/>
          <c:order val="1"/>
          <c:spPr>
            <a:noFill/>
            <a:ln w="25400">
              <a:noFill/>
            </a:ln>
          </c:spPr>
          <c:invertIfNegative val="0"/>
          <c:cat>
            <c:strRef>
              <c:f>'スコア（重点項目）（改修前）'!$W$10</c:f>
              <c:strCache>
                <c:ptCount val="1"/>
                <c:pt idx="0">
                  <c:v>総合評価
結果</c:v>
                </c:pt>
              </c:strCache>
            </c:strRef>
          </c:cat>
          <c:val>
            <c:numRef>
              <c:f>'スコア（重点項目）（改修前）'!$W$14</c:f>
              <c:numCache>
                <c:formatCode>#,##0.0_);[Red]\(#,##0.0\)</c:formatCode>
                <c:ptCount val="1"/>
                <c:pt idx="0">
                  <c:v>0.4</c:v>
                </c:pt>
              </c:numCache>
            </c:numRef>
          </c:val>
        </c:ser>
        <c:dLbls>
          <c:showLegendKey val="0"/>
          <c:showVal val="0"/>
          <c:showCatName val="0"/>
          <c:showSerName val="0"/>
          <c:showPercent val="0"/>
          <c:showBubbleSize val="0"/>
        </c:dLbls>
        <c:gapWidth val="50"/>
        <c:overlap val="100"/>
        <c:axId val="115325184"/>
        <c:axId val="115335168"/>
      </c:barChart>
      <c:catAx>
        <c:axId val="115325184"/>
        <c:scaling>
          <c:orientation val="minMax"/>
        </c:scaling>
        <c:delete val="1"/>
        <c:axPos val="l"/>
        <c:majorTickMark val="out"/>
        <c:minorTickMark val="none"/>
        <c:tickLblPos val="nextTo"/>
        <c:crossAx val="115335168"/>
        <c:crosses val="autoZero"/>
        <c:auto val="1"/>
        <c:lblAlgn val="ctr"/>
        <c:lblOffset val="100"/>
        <c:noMultiLvlLbl val="0"/>
      </c:catAx>
      <c:valAx>
        <c:axId val="115335168"/>
        <c:scaling>
          <c:orientation val="minMax"/>
        </c:scaling>
        <c:delete val="1"/>
        <c:axPos val="b"/>
        <c:numFmt formatCode="0%" sourceLinked="1"/>
        <c:majorTickMark val="out"/>
        <c:minorTickMark val="none"/>
        <c:tickLblPos val="nextTo"/>
        <c:crossAx val="11532518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3333817742151123E-2"/>
          <c:w val="0.91639871382636651"/>
          <c:h val="0.7261946974673169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'結果(改修後)'!$X$59:$X$61</c:f>
              <c:strCache>
                <c:ptCount val="3"/>
                <c:pt idx="0">
                  <c:v>地球温暖化への配慮</c:v>
                </c:pt>
                <c:pt idx="1">
                  <c:v>地域環境への配慮</c:v>
                </c:pt>
                <c:pt idx="2">
                  <c:v>周辺環境への配慮</c:v>
                </c:pt>
              </c:strCache>
            </c:strRef>
          </c:cat>
          <c:val>
            <c:numRef>
              <c:f>'結果(改修後)'!$Y$59:$Y$61</c:f>
              <c:numCache>
                <c:formatCode>0.0_ </c:formatCode>
                <c:ptCount val="3"/>
                <c:pt idx="0">
                  <c:v>3.3</c:v>
                </c:pt>
                <c:pt idx="1">
                  <c:v>3</c:v>
                </c:pt>
                <c:pt idx="2">
                  <c:v>3</c:v>
                </c:pt>
              </c:numCache>
            </c:numRef>
          </c:val>
        </c:ser>
        <c:dLbls>
          <c:showLegendKey val="0"/>
          <c:showVal val="1"/>
          <c:showCatName val="0"/>
          <c:showSerName val="0"/>
          <c:showPercent val="0"/>
          <c:showBubbleSize val="0"/>
        </c:dLbls>
        <c:gapWidth val="70"/>
        <c:axId val="116181248"/>
        <c:axId val="112398336"/>
      </c:barChart>
      <c:catAx>
        <c:axId val="116181248"/>
        <c:scaling>
          <c:orientation val="minMax"/>
        </c:scaling>
        <c:delete val="0"/>
        <c:axPos val="b"/>
        <c:numFmt formatCode="General" sourceLinked="1"/>
        <c:majorTickMark val="none"/>
        <c:minorTickMark val="none"/>
        <c:tickLblPos val="none"/>
        <c:spPr>
          <a:ln w="3175">
            <a:solidFill>
              <a:srgbClr val="000000"/>
            </a:solidFill>
            <a:prstDash val="solid"/>
          </a:ln>
        </c:spPr>
        <c:crossAx val="112398336"/>
        <c:crossesAt val="0"/>
        <c:auto val="1"/>
        <c:lblAlgn val="ctr"/>
        <c:lblOffset val="100"/>
        <c:tickMarkSkip val="1"/>
        <c:noMultiLvlLbl val="0"/>
      </c:catAx>
      <c:valAx>
        <c:axId val="1123983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1812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image" Target="../media/image7.emf"/><Relationship Id="rId18" Type="http://schemas.openxmlformats.org/officeDocument/2006/relationships/chart" Target="../charts/chart41.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image" Target="../media/image14.png"/><Relationship Id="rId17" Type="http://schemas.openxmlformats.org/officeDocument/2006/relationships/chart" Target="../charts/chart40.xml"/><Relationship Id="rId2" Type="http://schemas.openxmlformats.org/officeDocument/2006/relationships/chart" Target="../charts/chart27.xml"/><Relationship Id="rId16" Type="http://schemas.openxmlformats.org/officeDocument/2006/relationships/chart" Target="../charts/chart39.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38.xml"/><Relationship Id="rId10" Type="http://schemas.openxmlformats.org/officeDocument/2006/relationships/chart" Target="../charts/chart35.xml"/><Relationship Id="rId19" Type="http://schemas.openxmlformats.org/officeDocument/2006/relationships/chart" Target="../charts/chart42.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5" Type="http://schemas.openxmlformats.org/officeDocument/2006/relationships/image" Target="../media/image14.png"/><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4.png"/><Relationship Id="rId1" Type="http://schemas.openxmlformats.org/officeDocument/2006/relationships/image" Target="../media/image7.emf"/><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7.emf"/><Relationship Id="rId18" Type="http://schemas.openxmlformats.org/officeDocument/2006/relationships/chart" Target="../charts/chart24.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image" Target="../media/image14.png"/><Relationship Id="rId17" Type="http://schemas.openxmlformats.org/officeDocument/2006/relationships/chart" Target="../charts/chart23.xml"/><Relationship Id="rId2" Type="http://schemas.openxmlformats.org/officeDocument/2006/relationships/chart" Target="../charts/chart10.xml"/><Relationship Id="rId16" Type="http://schemas.openxmlformats.org/officeDocument/2006/relationships/chart" Target="../charts/chart22.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1.xml"/><Relationship Id="rId10" Type="http://schemas.openxmlformats.org/officeDocument/2006/relationships/chart" Target="../charts/chart18.xml"/><Relationship Id="rId19" Type="http://schemas.openxmlformats.org/officeDocument/2006/relationships/chart" Target="../charts/chart25.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0.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3.emf"/><Relationship Id="rId4"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3.emf"/><Relationship Id="rId4"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1143000</xdr:colOff>
      <xdr:row>0</xdr:row>
      <xdr:rowOff>85725</xdr:rowOff>
    </xdr:from>
    <xdr:to>
      <xdr:col>6</xdr:col>
      <xdr:colOff>933450</xdr:colOff>
      <xdr:row>2</xdr:row>
      <xdr:rowOff>333375</xdr:rowOff>
    </xdr:to>
    <xdr:pic>
      <xdr:nvPicPr>
        <xdr:cNvPr id="3" name="Picture 50"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85725"/>
          <a:ext cx="437197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66675</xdr:colOff>
      <xdr:row>0</xdr:row>
      <xdr:rowOff>104775</xdr:rowOff>
    </xdr:from>
    <xdr:to>
      <xdr:col>8</xdr:col>
      <xdr:colOff>1019175</xdr:colOff>
      <xdr:row>2</xdr:row>
      <xdr:rowOff>342900</xdr:rowOff>
    </xdr:to>
    <xdr:sp macro="" textlink="">
      <xdr:nvSpPr>
        <xdr:cNvPr id="4" name="Text Box 51"/>
        <xdr:cNvSpPr txBox="1">
          <a:spLocks noChangeArrowheads="1"/>
        </xdr:cNvSpPr>
      </xdr:nvSpPr>
      <xdr:spPr bwMode="auto">
        <a:xfrm>
          <a:off x="5810250" y="104775"/>
          <a:ext cx="197167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《改修》</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0.09963</cdr:x>
      <cdr:y>0.62711</cdr:y>
    </cdr:from>
    <cdr:to>
      <cdr:x>0.25274</cdr:x>
      <cdr:y>0.76033</cdr:y>
    </cdr:to>
    <cdr:sp macro="" textlink="'結果(改修後)'!$T$59">
      <cdr:nvSpPr>
        <cdr:cNvPr id="7169" name="Text Box 1"/>
        <cdr:cNvSpPr txBox="1">
          <a:spLocks xmlns:a="http://schemas.openxmlformats.org/drawingml/2006/main" noChangeArrowheads="1" noTextEdit="1"/>
        </cdr:cNvSpPr>
      </cdr:nvSpPr>
      <cdr:spPr bwMode="auto">
        <a:xfrm xmlns:a="http://schemas.openxmlformats.org/drawingml/2006/main">
          <a:off x="325834" y="1024588"/>
          <a:ext cx="495848"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153647C-A9FD-4CDA-B7BC-0A4DA1CC3ADF}" type="TxLink">
            <a:rPr lang="ja-JP" altLang="en-US"/>
            <a:pPr algn="ctr" rtl="0">
              <a:defRPr sz="1000"/>
            </a:pPr>
            <a:t> </a:t>
          </a:fld>
          <a:endParaRPr lang="ja-JP" altLang="en-US"/>
        </a:p>
      </cdr:txBody>
    </cdr:sp>
  </cdr:relSizeAnchor>
  <cdr:relSizeAnchor xmlns:cdr="http://schemas.openxmlformats.org/drawingml/2006/chartDrawing">
    <cdr:from>
      <cdr:x>0.32529</cdr:x>
      <cdr:y>0.62711</cdr:y>
    </cdr:from>
    <cdr:to>
      <cdr:x>0.48132</cdr:x>
      <cdr:y>0.76033</cdr:y>
    </cdr:to>
    <cdr:sp macro="" textlink="'結果(改修後)'!$T$60">
      <cdr:nvSpPr>
        <cdr:cNvPr id="7170" name="Text Box 2"/>
        <cdr:cNvSpPr txBox="1">
          <a:spLocks xmlns:a="http://schemas.openxmlformats.org/drawingml/2006/main" noChangeArrowheads="1" noTextEdit="1"/>
        </cdr:cNvSpPr>
      </cdr:nvSpPr>
      <cdr:spPr bwMode="auto">
        <a:xfrm xmlns:a="http://schemas.openxmlformats.org/drawingml/2006/main">
          <a:off x="1056640" y="1024588"/>
          <a:ext cx="505277"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081E5F59-0245-4822-8665-22CBA9E5F855}" type="TxLink">
            <a:rPr lang="ja-JP" altLang="en-US"/>
            <a:pPr algn="ctr" rtl="0">
              <a:defRPr sz="1000"/>
            </a:pPr>
            <a:t> </a:t>
          </a:fld>
          <a:endParaRPr lang="ja-JP" altLang="en-US"/>
        </a:p>
      </cdr:txBody>
    </cdr:sp>
  </cdr:relSizeAnchor>
  <cdr:relSizeAnchor xmlns:cdr="http://schemas.openxmlformats.org/drawingml/2006/chartDrawing">
    <cdr:from>
      <cdr:x>0.55751</cdr:x>
      <cdr:y>0.62711</cdr:y>
    </cdr:from>
    <cdr:to>
      <cdr:x>0.71256</cdr:x>
      <cdr:y>0.76033</cdr:y>
    </cdr:to>
    <cdr:sp macro="" textlink="'結果(改修後)'!$T$61">
      <cdr:nvSpPr>
        <cdr:cNvPr id="7171" name="Text Box 3"/>
        <cdr:cNvSpPr txBox="1">
          <a:spLocks xmlns:a="http://schemas.openxmlformats.org/drawingml/2006/main" noChangeArrowheads="1" noTextEdit="1"/>
        </cdr:cNvSpPr>
      </cdr:nvSpPr>
      <cdr:spPr bwMode="auto">
        <a:xfrm xmlns:a="http://schemas.openxmlformats.org/drawingml/2006/main">
          <a:off x="1808663" y="1024588"/>
          <a:ext cx="502134"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4AAD8DB-073F-401C-802A-3300C69287B9}" type="TxLink">
            <a:rPr lang="ja-JP" altLang="en-US"/>
            <a:pPr algn="ctr" rtl="0">
              <a:defRPr sz="1000"/>
            </a:pPr>
            <a:t> </a:t>
          </a:fld>
          <a:endParaRPr lang="ja-JP" altLang="en-US"/>
        </a:p>
      </cdr:txBody>
    </cdr:sp>
  </cdr:relSizeAnchor>
  <cdr:relSizeAnchor xmlns:cdr="http://schemas.openxmlformats.org/drawingml/2006/chartDrawing">
    <cdr:from>
      <cdr:x>0.78875</cdr:x>
      <cdr:y>0.62711</cdr:y>
    </cdr:from>
    <cdr:to>
      <cdr:x>0.94744</cdr:x>
      <cdr:y>0.76033</cdr:y>
    </cdr:to>
    <cdr:sp macro="" textlink="'結果(改修後)'!$T$62">
      <cdr:nvSpPr>
        <cdr:cNvPr id="7172" name="Text Box 4"/>
        <cdr:cNvSpPr txBox="1">
          <a:spLocks xmlns:a="http://schemas.openxmlformats.org/drawingml/2006/main" noChangeArrowheads="1" noTextEdit="1"/>
        </cdr:cNvSpPr>
      </cdr:nvSpPr>
      <cdr:spPr bwMode="auto">
        <a:xfrm xmlns:a="http://schemas.openxmlformats.org/drawingml/2006/main">
          <a:off x="2557542" y="1024588"/>
          <a:ext cx="513921"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77A3699-7530-42DC-B9E8-89D17819C715}" type="TxLink">
            <a:rPr lang="ja-JP" altLang="en-US"/>
            <a:pPr algn="ctr" rtl="0">
              <a:defRPr sz="1000"/>
            </a:pPr>
            <a:t> </a:t>
          </a:fld>
          <a:endParaRPr lang="ja-JP" altLang="en-US"/>
        </a:p>
      </cdr:txBody>
    </cdr:sp>
  </cdr:relSizeAnchor>
  <cdr:relSizeAnchor xmlns:cdr="http://schemas.openxmlformats.org/drawingml/2006/chartDrawing">
    <cdr:from>
      <cdr:x>0.06469</cdr:x>
      <cdr:y>0.43857</cdr:y>
    </cdr:from>
    <cdr:to>
      <cdr:x>0.98238</cdr:x>
      <cdr:y>0.43857</cdr:y>
    </cdr:to>
    <cdr:sp macro="" textlink="">
      <cdr:nvSpPr>
        <cdr:cNvPr id="7173" name="Line 5"/>
        <cdr:cNvSpPr>
          <a:spLocks xmlns:a="http://schemas.openxmlformats.org/drawingml/2006/main" noChangeShapeType="1"/>
        </cdr:cNvSpPr>
      </cdr:nvSpPr>
      <cdr:spPr bwMode="auto">
        <a:xfrm xmlns:a="http://schemas.openxmlformats.org/drawingml/2006/main" flipV="1">
          <a:off x="212677" y="717500"/>
          <a:ext cx="297194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0.11226</cdr:x>
      <cdr:y>0.62974</cdr:y>
    </cdr:from>
    <cdr:to>
      <cdr:x>0.25381</cdr:x>
      <cdr:y>0.76652</cdr:y>
    </cdr:to>
    <cdr:sp macro="" textlink="'結果(改修後)'!$T$48">
      <cdr:nvSpPr>
        <cdr:cNvPr id="8193"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D1CD1D1E-4895-489C-B755-87A6F0C9E5B2}" type="TxLink">
            <a:rPr lang="ja-JP" altLang="en-US"/>
            <a:pPr algn="ctr" rtl="0">
              <a:defRPr sz="1000"/>
            </a:pPr>
            <a:t> </a:t>
          </a:fld>
          <a:endParaRPr lang="ja-JP" altLang="en-US"/>
        </a:p>
      </cdr:txBody>
    </cdr:sp>
  </cdr:relSizeAnchor>
  <cdr:relSizeAnchor xmlns:cdr="http://schemas.openxmlformats.org/drawingml/2006/chartDrawing">
    <cdr:from>
      <cdr:x>0.33951</cdr:x>
      <cdr:y>0.62974</cdr:y>
    </cdr:from>
    <cdr:to>
      <cdr:x>0.48665</cdr:x>
      <cdr:y>0.76652</cdr:y>
    </cdr:to>
    <cdr:sp macro="" textlink="'結果(改修後)'!$T$49">
      <cdr:nvSpPr>
        <cdr:cNvPr id="8194"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0A5962B1-D2BC-4AC8-B9E6-5A13213241A8}" type="TxLink">
            <a:rPr lang="ja-JP" altLang="en-US"/>
            <a:pPr algn="ctr" rtl="0">
              <a:defRPr sz="1000"/>
            </a:pPr>
            <a:t> </a:t>
          </a:fld>
          <a:endParaRPr lang="ja-JP" altLang="en-US"/>
        </a:p>
      </cdr:txBody>
    </cdr:sp>
  </cdr:relSizeAnchor>
  <cdr:relSizeAnchor xmlns:cdr="http://schemas.openxmlformats.org/drawingml/2006/chartDrawing">
    <cdr:from>
      <cdr:x>0.5624</cdr:x>
      <cdr:y>0.62974</cdr:y>
    </cdr:from>
    <cdr:to>
      <cdr:x>0.72022</cdr:x>
      <cdr:y>0.76652</cdr:y>
    </cdr:to>
    <cdr:sp macro="" textlink="'結果(改修後)'!$T$50">
      <cdr:nvSpPr>
        <cdr:cNvPr id="8195"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5BEA40F-27CA-445C-8201-6BDE43AF9DE5}" type="TxLink">
            <a:rPr lang="ja-JP" altLang="en-US"/>
            <a:pPr algn="ctr" rtl="0">
              <a:defRPr sz="1000"/>
            </a:pPr>
            <a:t> </a:t>
          </a:fld>
          <a:endParaRPr lang="ja-JP" altLang="en-US"/>
        </a:p>
      </cdr:txBody>
    </cdr:sp>
  </cdr:relSizeAnchor>
  <cdr:relSizeAnchor xmlns:cdr="http://schemas.openxmlformats.org/drawingml/2006/chartDrawing">
    <cdr:from>
      <cdr:x>0.79233</cdr:x>
      <cdr:y>0.62974</cdr:y>
    </cdr:from>
    <cdr:to>
      <cdr:x>0.93388</cdr:x>
      <cdr:y>0.76652</cdr:y>
    </cdr:to>
    <cdr:sp macro="" textlink="'結果(改修後)'!$T$51">
      <cdr:nvSpPr>
        <cdr:cNvPr id="8196"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B00C9FC-A018-4E75-B3B2-5EC174198D84}" type="TxLink">
            <a:rPr lang="ja-JP" altLang="en-US"/>
            <a:pPr algn="ctr" rtl="0">
              <a:defRPr sz="1000"/>
            </a:pPr>
            <a:t> </a:t>
          </a:fld>
          <a:endParaRPr lang="ja-JP" altLang="en-US"/>
        </a:p>
      </cdr:txBody>
    </cdr:sp>
  </cdr:relSizeAnchor>
  <cdr:relSizeAnchor xmlns:cdr="http://schemas.openxmlformats.org/drawingml/2006/chartDrawing">
    <cdr:from>
      <cdr:x>0.07972</cdr:x>
      <cdr:y>0.44007</cdr:y>
    </cdr:from>
    <cdr:to>
      <cdr:x>0.98098</cdr:x>
      <cdr:y>0.44007</cdr:y>
    </cdr:to>
    <cdr:sp macro="" textlink="">
      <cdr:nvSpPr>
        <cdr:cNvPr id="8197" name="Line 5"/>
        <cdr:cNvSpPr>
          <a:spLocks xmlns:a="http://schemas.openxmlformats.org/drawingml/2006/main" noChangeShapeType="1"/>
        </cdr:cNvSpPr>
      </cdr:nvSpPr>
      <cdr:spPr bwMode="auto">
        <a:xfrm xmlns:a="http://schemas.openxmlformats.org/drawingml/2006/main">
          <a:off x="266667" y="703179"/>
          <a:ext cx="2978811"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0.13062</cdr:x>
      <cdr:y>0.61615</cdr:y>
    </cdr:from>
    <cdr:to>
      <cdr:x>0.29422</cdr:x>
      <cdr:y>0.75064</cdr:y>
    </cdr:to>
    <cdr:sp macro="" textlink="'結果(改修後)'!$Z$48">
      <cdr:nvSpPr>
        <cdr:cNvPr id="9217" name="Text Box 1"/>
        <cdr:cNvSpPr txBox="1">
          <a:spLocks xmlns:a="http://schemas.openxmlformats.org/drawingml/2006/main" noChangeArrowheads="1" noTextEdit="1"/>
        </cdr:cNvSpPr>
      </cdr:nvSpPr>
      <cdr:spPr bwMode="auto">
        <a:xfrm xmlns:a="http://schemas.openxmlformats.org/drawingml/2006/main">
          <a:off x="411245" y="989136"/>
          <a:ext cx="511135" cy="21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CFE6820-487C-45FC-83CB-9AA87142C2C7}" type="TxLink">
            <a:rPr lang="ja-JP" altLang="en-US"/>
            <a:pPr algn="ctr" rtl="0">
              <a:defRPr sz="1000"/>
            </a:pPr>
            <a:t> </a:t>
          </a:fld>
          <a:endParaRPr lang="ja-JP" altLang="en-US"/>
        </a:p>
      </cdr:txBody>
    </cdr:sp>
  </cdr:relSizeAnchor>
  <cdr:relSizeAnchor xmlns:cdr="http://schemas.openxmlformats.org/drawingml/2006/chartDrawing">
    <cdr:from>
      <cdr:x>0.43771</cdr:x>
      <cdr:y>0.61615</cdr:y>
    </cdr:from>
    <cdr:to>
      <cdr:x>0.59501</cdr:x>
      <cdr:y>0.75064</cdr:y>
    </cdr:to>
    <cdr:sp macro="" textlink="'結果(改修後)'!$Z$49">
      <cdr:nvSpPr>
        <cdr:cNvPr id="9218" name="Text Box 2"/>
        <cdr:cNvSpPr txBox="1">
          <a:spLocks xmlns:a="http://schemas.openxmlformats.org/drawingml/2006/main" noChangeArrowheads="1" noTextEdit="1"/>
        </cdr:cNvSpPr>
      </cdr:nvSpPr>
      <cdr:spPr bwMode="auto">
        <a:xfrm xmlns:a="http://schemas.openxmlformats.org/drawingml/2006/main">
          <a:off x="1370665" y="989136"/>
          <a:ext cx="491447" cy="21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EE5439E-ECF0-4CA8-8D9B-CB69D7232C73}" type="TxLink">
            <a:rPr lang="ja-JP" altLang="en-US"/>
            <a:pPr algn="ctr" rtl="0">
              <a:defRPr sz="1000"/>
            </a:pPr>
            <a:t> </a:t>
          </a:fld>
          <a:endParaRPr lang="ja-JP" altLang="en-US"/>
        </a:p>
      </cdr:txBody>
    </cdr:sp>
  </cdr:relSizeAnchor>
  <cdr:relSizeAnchor xmlns:cdr="http://schemas.openxmlformats.org/drawingml/2006/chartDrawing">
    <cdr:from>
      <cdr:x>0.7322</cdr:x>
      <cdr:y>0.63378</cdr:y>
    </cdr:from>
    <cdr:to>
      <cdr:x>0.91471</cdr:x>
      <cdr:y>0.76851</cdr:y>
    </cdr:to>
    <cdr:sp macro="" textlink="'結果(改修後)'!$Z$50">
      <cdr:nvSpPr>
        <cdr:cNvPr id="9219" name="Text Box 3"/>
        <cdr:cNvSpPr txBox="1">
          <a:spLocks xmlns:a="http://schemas.openxmlformats.org/drawingml/2006/main" noChangeArrowheads="1" noTextEdit="1"/>
        </cdr:cNvSpPr>
      </cdr:nvSpPr>
      <cdr:spPr bwMode="auto">
        <a:xfrm xmlns:a="http://schemas.openxmlformats.org/drawingml/2006/main">
          <a:off x="2290709" y="1017354"/>
          <a:ext cx="570199" cy="215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7CA6A1F-B5BC-4A95-9058-1D75947301D0}" type="TxLink">
            <a:rPr lang="ja-JP" altLang="en-US"/>
            <a:pPr algn="ctr" rtl="0">
              <a:defRPr sz="1000"/>
            </a:pPr>
            <a:t> </a:t>
          </a:fld>
          <a:endParaRPr lang="ja-JP" altLang="en-US"/>
        </a:p>
      </cdr:txBody>
    </cdr:sp>
  </cdr:relSizeAnchor>
  <cdr:relSizeAnchor xmlns:cdr="http://schemas.openxmlformats.org/drawingml/2006/chartDrawing">
    <cdr:from>
      <cdr:x>0.06711</cdr:x>
      <cdr:y>0.43746</cdr:y>
    </cdr:from>
    <cdr:to>
      <cdr:x>0.97555</cdr:x>
      <cdr:y>0.43746</cdr:y>
    </cdr:to>
    <cdr:sp macro="" textlink="">
      <cdr:nvSpPr>
        <cdr:cNvPr id="9220" name="Line 4"/>
        <cdr:cNvSpPr>
          <a:spLocks xmlns:a="http://schemas.openxmlformats.org/drawingml/2006/main" noChangeShapeType="1"/>
        </cdr:cNvSpPr>
      </cdr:nvSpPr>
      <cdr:spPr bwMode="auto">
        <a:xfrm xmlns:a="http://schemas.openxmlformats.org/drawingml/2006/main">
          <a:off x="212849" y="703196"/>
          <a:ext cx="2838126"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0.13121</cdr:x>
      <cdr:y>0.62856</cdr:y>
    </cdr:from>
    <cdr:to>
      <cdr:x>0.31391</cdr:x>
      <cdr:y>0.76629</cdr:y>
    </cdr:to>
    <cdr:sp macro="" textlink="'結果(改修後)'!$W$48">
      <cdr:nvSpPr>
        <cdr:cNvPr id="11265"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FEA88FDB-5617-49B9-ADFB-8A8F2E0C2522}" type="TxLink">
            <a:rPr lang="ja-JP" altLang="en-US"/>
            <a:pPr algn="ctr" rtl="0">
              <a:defRPr sz="1000"/>
            </a:pPr>
            <a:t> </a:t>
          </a:fld>
          <a:endParaRPr lang="ja-JP" altLang="en-US"/>
        </a:p>
      </cdr:txBody>
    </cdr:sp>
  </cdr:relSizeAnchor>
  <cdr:relSizeAnchor xmlns:cdr="http://schemas.openxmlformats.org/drawingml/2006/chartDrawing">
    <cdr:from>
      <cdr:x>0.43902</cdr:x>
      <cdr:y>0.63444</cdr:y>
    </cdr:from>
    <cdr:to>
      <cdr:x>0.61809</cdr:x>
      <cdr:y>0.77216</cdr:y>
    </cdr:to>
    <cdr:sp macro="" textlink="'結果(改修後)'!$W$49">
      <cdr:nvSpPr>
        <cdr:cNvPr id="11266"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4AB4D36-3D0F-4AC7-8099-F17451774E85}" type="TxLink">
            <a:rPr lang="ja-JP" altLang="en-US"/>
            <a:pPr algn="ctr" rtl="0">
              <a:defRPr sz="1000"/>
            </a:pPr>
            <a:t> </a:t>
          </a:fld>
          <a:endParaRPr lang="ja-JP" altLang="en-US"/>
        </a:p>
      </cdr:txBody>
    </cdr:sp>
  </cdr:relSizeAnchor>
  <cdr:relSizeAnchor xmlns:cdr="http://schemas.openxmlformats.org/drawingml/2006/chartDrawing">
    <cdr:from>
      <cdr:x>0.73691</cdr:x>
      <cdr:y>0.63444</cdr:y>
    </cdr:from>
    <cdr:to>
      <cdr:x>0.90678</cdr:x>
      <cdr:y>0.77216</cdr:y>
    </cdr:to>
    <cdr:sp macro="" textlink="'結果(改修後)'!$W$50">
      <cdr:nvSpPr>
        <cdr:cNvPr id="11267"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2CA6922-E2C3-4B36-8D66-86CD20C269A2}" type="TxLink">
            <a:rPr lang="ja-JP" altLang="en-US"/>
            <a:pPr algn="ctr" rtl="0">
              <a:defRPr sz="1000"/>
            </a:pPr>
            <a:t> </a:t>
          </a:fld>
          <a:endParaRPr lang="ja-JP" altLang="en-US"/>
        </a:p>
      </cdr:txBody>
    </cdr:sp>
  </cdr:relSizeAnchor>
  <cdr:relSizeAnchor xmlns:cdr="http://schemas.openxmlformats.org/drawingml/2006/chartDrawing">
    <cdr:from>
      <cdr:x>0.06588</cdr:x>
      <cdr:y>0.44759</cdr:y>
    </cdr:from>
    <cdr:to>
      <cdr:x>0.98083</cdr:x>
      <cdr:y>0.44759</cdr:y>
    </cdr:to>
    <cdr:sp macro="" textlink="">
      <cdr:nvSpPr>
        <cdr:cNvPr id="11268"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0.88215</cdr:y>
    </cdr:from>
    <cdr:to>
      <cdr:x>0.86057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5.xml><?xml version="1.0" encoding="utf-8"?>
<c:userShapes xmlns:c="http://schemas.openxmlformats.org/drawingml/2006/chart">
  <cdr:relSizeAnchor xmlns:cdr="http://schemas.openxmlformats.org/drawingml/2006/chartDrawing">
    <cdr:from>
      <cdr:x>0.77873</cdr:x>
      <cdr:y>0.16069</cdr:y>
    </cdr:from>
    <cdr:to>
      <cdr:x>0.97089</cdr:x>
      <cdr:y>0.31197</cdr:y>
    </cdr:to>
    <cdr:sp macro="" textlink="'結果(改修後)'!$X$39">
      <cdr:nvSpPr>
        <cdr:cNvPr id="66568" name="Text Box 8"/>
        <cdr:cNvSpPr txBox="1">
          <a:spLocks xmlns:a="http://schemas.openxmlformats.org/drawingml/2006/main" noChangeArrowheads="1" noTextEdit="1"/>
        </cdr:cNvSpPr>
      </cdr:nvSpPr>
      <cdr:spPr bwMode="auto">
        <a:xfrm xmlns:a="http://schemas.openxmlformats.org/drawingml/2006/main">
          <a:off x="1953959" y="269494"/>
          <a:ext cx="481363" cy="2507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1D3A3D4-1FE3-400C-9EFD-F508AF46AEA2}"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0.31055</cdr:y>
    </cdr:from>
    <cdr:to>
      <cdr:x>0.97329</cdr:x>
      <cdr:y>0.46112</cdr:y>
    </cdr:to>
    <cdr:sp macro="" textlink="'結果(改修後)'!$X$40">
      <cdr:nvSpPr>
        <cdr:cNvPr id="66569" name="Text Box 9"/>
        <cdr:cNvSpPr txBox="1">
          <a:spLocks xmlns:a="http://schemas.openxmlformats.org/drawingml/2006/main" noChangeArrowheads="1" noTextEdit="1"/>
        </cdr:cNvSpPr>
      </cdr:nvSpPr>
      <cdr:spPr bwMode="auto">
        <a:xfrm xmlns:a="http://schemas.openxmlformats.org/drawingml/2006/main">
          <a:off x="2043123" y="517868"/>
          <a:ext cx="398223" cy="2495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1C2DD32-3DB5-4655-9F0B-E429B7A6DB77}"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0.49434</cdr:y>
    </cdr:from>
    <cdr:to>
      <cdr:x>0.97329</cdr:x>
      <cdr:y>0.64491</cdr:y>
    </cdr:to>
    <cdr:sp macro="" textlink="'結果(改修後)'!$X$41">
      <cdr:nvSpPr>
        <cdr:cNvPr id="66570" name="Text Box 10"/>
        <cdr:cNvSpPr txBox="1">
          <a:spLocks xmlns:a="http://schemas.openxmlformats.org/drawingml/2006/main" noChangeArrowheads="1" noTextEdit="1"/>
        </cdr:cNvSpPr>
      </cdr:nvSpPr>
      <cdr:spPr bwMode="auto">
        <a:xfrm xmlns:a="http://schemas.openxmlformats.org/drawingml/2006/main">
          <a:off x="2043123" y="822477"/>
          <a:ext cx="398223" cy="2495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35B5E67B-ADE1-450A-8BBD-616B523DC15C}"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0.67814</cdr:y>
    </cdr:from>
    <cdr:to>
      <cdr:x>0.97329</cdr:x>
      <cdr:y>0.82871</cdr:y>
    </cdr:to>
    <cdr:sp macro="" textlink="'結果(改修後)'!$X$42">
      <cdr:nvSpPr>
        <cdr:cNvPr id="66571" name="Text Box 11"/>
        <cdr:cNvSpPr txBox="1">
          <a:spLocks xmlns:a="http://schemas.openxmlformats.org/drawingml/2006/main" noChangeArrowheads="1" noTextEdit="1"/>
        </cdr:cNvSpPr>
      </cdr:nvSpPr>
      <cdr:spPr bwMode="auto">
        <a:xfrm xmlns:a="http://schemas.openxmlformats.org/drawingml/2006/main">
          <a:off x="2043123" y="1127087"/>
          <a:ext cx="398223" cy="2495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49CB09B9-636C-470C-B436-EE60BC1B09A1}"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47625</xdr:colOff>
      <xdr:row>92</xdr:row>
      <xdr:rowOff>66675</xdr:rowOff>
    </xdr:from>
    <xdr:to>
      <xdr:col>15</xdr:col>
      <xdr:colOff>0</xdr:colOff>
      <xdr:row>96</xdr:row>
      <xdr:rowOff>104775</xdr:rowOff>
    </xdr:to>
    <xdr:sp macro="" textlink="">
      <xdr:nvSpPr>
        <xdr:cNvPr id="15390" name="Text Box 141"/>
        <xdr:cNvSpPr txBox="1">
          <a:spLocks noChangeArrowheads="1"/>
        </xdr:cNvSpPr>
      </xdr:nvSpPr>
      <xdr:spPr bwMode="auto">
        <a:xfrm>
          <a:off x="47625" y="14573250"/>
          <a:ext cx="10125075" cy="762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114300</xdr:colOff>
      <xdr:row>52</xdr:row>
      <xdr:rowOff>85725</xdr:rowOff>
    </xdr:from>
    <xdr:to>
      <xdr:col>14</xdr:col>
      <xdr:colOff>619125</xdr:colOff>
      <xdr:row>60</xdr:row>
      <xdr:rowOff>114300</xdr:rowOff>
    </xdr:to>
    <xdr:graphicFrame macro="">
      <xdr:nvGraphicFramePr>
        <xdr:cNvPr id="15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257175</xdr:colOff>
      <xdr:row>52</xdr:row>
      <xdr:rowOff>76200</xdr:rowOff>
    </xdr:from>
    <xdr:to>
      <xdr:col>10</xdr:col>
      <xdr:colOff>771525</xdr:colOff>
      <xdr:row>60</xdr:row>
      <xdr:rowOff>114300</xdr:rowOff>
    </xdr:to>
    <xdr:graphicFrame macro="">
      <xdr:nvGraphicFramePr>
        <xdr:cNvPr id="153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52</xdr:row>
      <xdr:rowOff>76200</xdr:rowOff>
    </xdr:from>
    <xdr:to>
      <xdr:col>6</xdr:col>
      <xdr:colOff>428625</xdr:colOff>
      <xdr:row>60</xdr:row>
      <xdr:rowOff>123825</xdr:rowOff>
    </xdr:to>
    <xdr:graphicFrame macro="">
      <xdr:nvGraphicFramePr>
        <xdr:cNvPr id="153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41</xdr:row>
      <xdr:rowOff>66675</xdr:rowOff>
    </xdr:from>
    <xdr:to>
      <xdr:col>6</xdr:col>
      <xdr:colOff>447675</xdr:colOff>
      <xdr:row>49</xdr:row>
      <xdr:rowOff>123825</xdr:rowOff>
    </xdr:to>
    <xdr:graphicFrame macro="">
      <xdr:nvGraphicFramePr>
        <xdr:cNvPr id="153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41</xdr:row>
      <xdr:rowOff>76200</xdr:rowOff>
    </xdr:from>
    <xdr:to>
      <xdr:col>14</xdr:col>
      <xdr:colOff>619125</xdr:colOff>
      <xdr:row>49</xdr:row>
      <xdr:rowOff>142875</xdr:rowOff>
    </xdr:to>
    <xdr:graphicFrame macro="">
      <xdr:nvGraphicFramePr>
        <xdr:cNvPr id="153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590550</xdr:colOff>
      <xdr:row>59</xdr:row>
      <xdr:rowOff>47625</xdr:rowOff>
    </xdr:from>
    <xdr:to>
      <xdr:col>8</xdr:col>
      <xdr:colOff>161925</xdr:colOff>
      <xdr:row>60</xdr:row>
      <xdr:rowOff>123825</xdr:rowOff>
    </xdr:to>
    <xdr:sp macro="" textlink="">
      <xdr:nvSpPr>
        <xdr:cNvPr id="15366" name="Text Box 7"/>
        <xdr:cNvSpPr txBox="1">
          <a:spLocks noChangeArrowheads="1"/>
        </xdr:cNvSpPr>
      </xdr:nvSpPr>
      <xdr:spPr bwMode="auto">
        <a:xfrm>
          <a:off x="3952875" y="11163300"/>
          <a:ext cx="5524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771525</xdr:colOff>
      <xdr:row>21</xdr:row>
      <xdr:rowOff>180975</xdr:rowOff>
    </xdr:from>
    <xdr:to>
      <xdr:col>16</xdr:col>
      <xdr:colOff>19050</xdr:colOff>
      <xdr:row>37</xdr:row>
      <xdr:rowOff>85725</xdr:rowOff>
    </xdr:to>
    <xdr:graphicFrame macro="">
      <xdr:nvGraphicFramePr>
        <xdr:cNvPr id="1536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276225</xdr:colOff>
      <xdr:row>41</xdr:row>
      <xdr:rowOff>76200</xdr:rowOff>
    </xdr:from>
    <xdr:to>
      <xdr:col>10</xdr:col>
      <xdr:colOff>790575</xdr:colOff>
      <xdr:row>49</xdr:row>
      <xdr:rowOff>133350</xdr:rowOff>
    </xdr:to>
    <xdr:graphicFrame macro="">
      <xdr:nvGraphicFramePr>
        <xdr:cNvPr id="1536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123825</xdr:colOff>
      <xdr:row>25</xdr:row>
      <xdr:rowOff>123825</xdr:rowOff>
    </xdr:from>
    <xdr:to>
      <xdr:col>6</xdr:col>
      <xdr:colOff>104775</xdr:colOff>
      <xdr:row>38</xdr:row>
      <xdr:rowOff>66675</xdr:rowOff>
    </xdr:to>
    <xdr:graphicFrame macro="">
      <xdr:nvGraphicFramePr>
        <xdr:cNvPr id="1536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180975</xdr:colOff>
      <xdr:row>48</xdr:row>
      <xdr:rowOff>95250</xdr:rowOff>
    </xdr:from>
    <xdr:to>
      <xdr:col>2</xdr:col>
      <xdr:colOff>666750</xdr:colOff>
      <xdr:row>49</xdr:row>
      <xdr:rowOff>47625</xdr:rowOff>
    </xdr:to>
    <xdr:sp macro="" textlink="">
      <xdr:nvSpPr>
        <xdr:cNvPr id="15370" name="Text Box 20"/>
        <xdr:cNvSpPr txBox="1">
          <a:spLocks noChangeArrowheads="1"/>
        </xdr:cNvSpPr>
      </xdr:nvSpPr>
      <xdr:spPr bwMode="auto">
        <a:xfrm>
          <a:off x="400050" y="9039225"/>
          <a:ext cx="485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657225</xdr:colOff>
      <xdr:row>48</xdr:row>
      <xdr:rowOff>95250</xdr:rowOff>
    </xdr:from>
    <xdr:to>
      <xdr:col>8</xdr:col>
      <xdr:colOff>180975</xdr:colOff>
      <xdr:row>49</xdr:row>
      <xdr:rowOff>47625</xdr:rowOff>
    </xdr:to>
    <xdr:sp macro="" textlink="">
      <xdr:nvSpPr>
        <xdr:cNvPr id="15371" name="Text Box 21"/>
        <xdr:cNvSpPr txBox="1">
          <a:spLocks noChangeArrowheads="1"/>
        </xdr:cNvSpPr>
      </xdr:nvSpPr>
      <xdr:spPr bwMode="auto">
        <a:xfrm>
          <a:off x="4019550" y="9039225"/>
          <a:ext cx="5048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571500</xdr:colOff>
      <xdr:row>48</xdr:row>
      <xdr:rowOff>104775</xdr:rowOff>
    </xdr:from>
    <xdr:ext cx="410369" cy="133370"/>
    <xdr:sp macro="" textlink="">
      <xdr:nvSpPr>
        <xdr:cNvPr id="5142" name="Text Box 22"/>
        <xdr:cNvSpPr txBox="1">
          <a:spLocks noChangeArrowheads="1"/>
        </xdr:cNvSpPr>
      </xdr:nvSpPr>
      <xdr:spPr bwMode="auto">
        <a:xfrm>
          <a:off x="7286625" y="9048750"/>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485775</xdr:colOff>
      <xdr:row>59</xdr:row>
      <xdr:rowOff>47625</xdr:rowOff>
    </xdr:from>
    <xdr:to>
      <xdr:col>9</xdr:col>
      <xdr:colOff>647700</xdr:colOff>
      <xdr:row>60</xdr:row>
      <xdr:rowOff>123825</xdr:rowOff>
    </xdr:to>
    <xdr:sp macro="" textlink="">
      <xdr:nvSpPr>
        <xdr:cNvPr id="15373" name="Text Box 104"/>
        <xdr:cNvSpPr txBox="1">
          <a:spLocks noChangeArrowheads="1"/>
        </xdr:cNvSpPr>
      </xdr:nvSpPr>
      <xdr:spPr bwMode="auto">
        <a:xfrm>
          <a:off x="4829175" y="11163300"/>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47625</xdr:colOff>
      <xdr:row>48</xdr:row>
      <xdr:rowOff>47625</xdr:rowOff>
    </xdr:from>
    <xdr:to>
      <xdr:col>9</xdr:col>
      <xdr:colOff>542925</xdr:colOff>
      <xdr:row>49</xdr:row>
      <xdr:rowOff>123825</xdr:rowOff>
    </xdr:to>
    <xdr:sp macro="" textlink="">
      <xdr:nvSpPr>
        <xdr:cNvPr id="15374" name="Text Box 107"/>
        <xdr:cNvSpPr txBox="1">
          <a:spLocks noChangeArrowheads="1"/>
        </xdr:cNvSpPr>
      </xdr:nvSpPr>
      <xdr:spPr bwMode="auto">
        <a:xfrm>
          <a:off x="4933950" y="8991600"/>
          <a:ext cx="495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28575</xdr:colOff>
      <xdr:row>48</xdr:row>
      <xdr:rowOff>47625</xdr:rowOff>
    </xdr:from>
    <xdr:to>
      <xdr:col>10</xdr:col>
      <xdr:colOff>533400</xdr:colOff>
      <xdr:row>49</xdr:row>
      <xdr:rowOff>123825</xdr:rowOff>
    </xdr:to>
    <xdr:sp macro="" textlink="">
      <xdr:nvSpPr>
        <xdr:cNvPr id="15375" name="Text Box 108"/>
        <xdr:cNvSpPr txBox="1">
          <a:spLocks noChangeArrowheads="1"/>
        </xdr:cNvSpPr>
      </xdr:nvSpPr>
      <xdr:spPr bwMode="auto">
        <a:xfrm>
          <a:off x="5838825" y="8991600"/>
          <a:ext cx="5048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495300</xdr:colOff>
      <xdr:row>48</xdr:row>
      <xdr:rowOff>47625</xdr:rowOff>
    </xdr:from>
    <xdr:to>
      <xdr:col>13</xdr:col>
      <xdr:colOff>142875</xdr:colOff>
      <xdr:row>49</xdr:row>
      <xdr:rowOff>123825</xdr:rowOff>
    </xdr:to>
    <xdr:sp macro="" textlink="">
      <xdr:nvSpPr>
        <xdr:cNvPr id="15376" name="Text Box 109"/>
        <xdr:cNvSpPr txBox="1">
          <a:spLocks noChangeArrowheads="1"/>
        </xdr:cNvSpPr>
      </xdr:nvSpPr>
      <xdr:spPr bwMode="auto">
        <a:xfrm>
          <a:off x="8029575" y="8991600"/>
          <a:ext cx="552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523875</xdr:colOff>
      <xdr:row>48</xdr:row>
      <xdr:rowOff>47625</xdr:rowOff>
    </xdr:from>
    <xdr:to>
      <xdr:col>14</xdr:col>
      <xdr:colOff>342900</xdr:colOff>
      <xdr:row>49</xdr:row>
      <xdr:rowOff>123825</xdr:rowOff>
    </xdr:to>
    <xdr:sp macro="" textlink="">
      <xdr:nvSpPr>
        <xdr:cNvPr id="15377" name="Text Box 110"/>
        <xdr:cNvSpPr txBox="1">
          <a:spLocks noChangeArrowheads="1"/>
        </xdr:cNvSpPr>
      </xdr:nvSpPr>
      <xdr:spPr bwMode="auto">
        <a:xfrm>
          <a:off x="8963025" y="8991600"/>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666750</xdr:colOff>
      <xdr:row>21</xdr:row>
      <xdr:rowOff>180975</xdr:rowOff>
    </xdr:from>
    <xdr:to>
      <xdr:col>6</xdr:col>
      <xdr:colOff>466725</xdr:colOff>
      <xdr:row>25</xdr:row>
      <xdr:rowOff>9525</xdr:rowOff>
    </xdr:to>
    <xdr:graphicFrame macro="">
      <xdr:nvGraphicFramePr>
        <xdr:cNvPr id="1537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24</xdr:row>
      <xdr:rowOff>123825</xdr:rowOff>
    </xdr:from>
    <xdr:to>
      <xdr:col>7</xdr:col>
      <xdr:colOff>133350</xdr:colOff>
      <xdr:row>25</xdr:row>
      <xdr:rowOff>152400</xdr:rowOff>
    </xdr:to>
    <xdr:sp macro="" textlink="">
      <xdr:nvSpPr>
        <xdr:cNvPr id="15379" name="Text Box 129"/>
        <xdr:cNvSpPr txBox="1">
          <a:spLocks noChangeArrowheads="1"/>
        </xdr:cNvSpPr>
      </xdr:nvSpPr>
      <xdr:spPr bwMode="auto">
        <a:xfrm>
          <a:off x="257175" y="4410075"/>
          <a:ext cx="3238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twoCellAnchor>
  <xdr:oneCellAnchor>
    <xdr:from>
      <xdr:col>13</xdr:col>
      <xdr:colOff>276225</xdr:colOff>
      <xdr:row>40</xdr:row>
      <xdr:rowOff>180975</xdr:rowOff>
    </xdr:from>
    <xdr:ext cx="779957" cy="201850"/>
    <xdr:sp macro="" textlink="">
      <xdr:nvSpPr>
        <xdr:cNvPr id="5255" name="Text Box 135"/>
        <xdr:cNvSpPr txBox="1">
          <a:spLocks noChangeArrowheads="1"/>
        </xdr:cNvSpPr>
      </xdr:nvSpPr>
      <xdr:spPr bwMode="auto">
        <a:xfrm>
          <a:off x="8715375" y="76009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228600</xdr:colOff>
      <xdr:row>51</xdr:row>
      <xdr:rowOff>180975</xdr:rowOff>
    </xdr:from>
    <xdr:ext cx="845040" cy="201850"/>
    <xdr:sp macro="" textlink="">
      <xdr:nvSpPr>
        <xdr:cNvPr id="5256" name="Text Box 136"/>
        <xdr:cNvSpPr txBox="1">
          <a:spLocks noChangeArrowheads="1"/>
        </xdr:cNvSpPr>
      </xdr:nvSpPr>
      <xdr:spPr bwMode="auto">
        <a:xfrm>
          <a:off x="8667750" y="97345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171450</xdr:rowOff>
    </xdr:from>
    <xdr:ext cx="845040" cy="201850"/>
    <xdr:sp macro="" textlink="">
      <xdr:nvSpPr>
        <xdr:cNvPr id="5257" name="Text Box 137"/>
        <xdr:cNvSpPr txBox="1">
          <a:spLocks noChangeArrowheads="1"/>
        </xdr:cNvSpPr>
      </xdr:nvSpPr>
      <xdr:spPr bwMode="auto">
        <a:xfrm>
          <a:off x="4838700" y="97250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19050</xdr:colOff>
      <xdr:row>40</xdr:row>
      <xdr:rowOff>171450</xdr:rowOff>
    </xdr:from>
    <xdr:ext cx="779957" cy="201850"/>
    <xdr:sp macro="" textlink="">
      <xdr:nvSpPr>
        <xdr:cNvPr id="5258" name="Text Box 138"/>
        <xdr:cNvSpPr txBox="1">
          <a:spLocks noChangeArrowheads="1"/>
        </xdr:cNvSpPr>
      </xdr:nvSpPr>
      <xdr:spPr bwMode="auto">
        <a:xfrm>
          <a:off x="4905375" y="75914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304800</xdr:colOff>
      <xdr:row>40</xdr:row>
      <xdr:rowOff>171450</xdr:rowOff>
    </xdr:from>
    <xdr:ext cx="779957" cy="201850"/>
    <xdr:sp macro="" textlink="">
      <xdr:nvSpPr>
        <xdr:cNvPr id="5259" name="Text Box 139"/>
        <xdr:cNvSpPr txBox="1">
          <a:spLocks noChangeArrowheads="1"/>
        </xdr:cNvSpPr>
      </xdr:nvSpPr>
      <xdr:spPr bwMode="auto">
        <a:xfrm>
          <a:off x="1952625" y="75914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219075</xdr:colOff>
      <xdr:row>51</xdr:row>
      <xdr:rowOff>180975</xdr:rowOff>
    </xdr:from>
    <xdr:ext cx="845040" cy="201850"/>
    <xdr:sp macro="" textlink="">
      <xdr:nvSpPr>
        <xdr:cNvPr id="5260" name="Text Box 140"/>
        <xdr:cNvSpPr txBox="1">
          <a:spLocks noChangeArrowheads="1"/>
        </xdr:cNvSpPr>
      </xdr:nvSpPr>
      <xdr:spPr bwMode="auto">
        <a:xfrm>
          <a:off x="1866900" y="97345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895350</xdr:colOff>
      <xdr:row>48</xdr:row>
      <xdr:rowOff>104775</xdr:rowOff>
    </xdr:from>
    <xdr:to>
      <xdr:col>4</xdr:col>
      <xdr:colOff>38100</xdr:colOff>
      <xdr:row>49</xdr:row>
      <xdr:rowOff>28575</xdr:rowOff>
    </xdr:to>
    <xdr:sp macro="" textlink="">
      <xdr:nvSpPr>
        <xdr:cNvPr id="15391" name="Text Box 142"/>
        <xdr:cNvSpPr txBox="1">
          <a:spLocks noChangeArrowheads="1"/>
        </xdr:cNvSpPr>
      </xdr:nvSpPr>
      <xdr:spPr bwMode="auto">
        <a:xfrm>
          <a:off x="1114425" y="9048750"/>
          <a:ext cx="571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276225</xdr:colOff>
      <xdr:row>48</xdr:row>
      <xdr:rowOff>104775</xdr:rowOff>
    </xdr:from>
    <xdr:ext cx="660117" cy="133370"/>
    <xdr:sp macro="" textlink="">
      <xdr:nvSpPr>
        <xdr:cNvPr id="5263" name="Text Box 143"/>
        <xdr:cNvSpPr txBox="1">
          <a:spLocks noChangeArrowheads="1"/>
        </xdr:cNvSpPr>
      </xdr:nvSpPr>
      <xdr:spPr bwMode="auto">
        <a:xfrm>
          <a:off x="1924050" y="904875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133350</xdr:colOff>
      <xdr:row>48</xdr:row>
      <xdr:rowOff>95250</xdr:rowOff>
    </xdr:from>
    <xdr:to>
      <xdr:col>6</xdr:col>
      <xdr:colOff>361950</xdr:colOff>
      <xdr:row>49</xdr:row>
      <xdr:rowOff>47625</xdr:rowOff>
    </xdr:to>
    <xdr:sp macro="" textlink="">
      <xdr:nvSpPr>
        <xdr:cNvPr id="15393" name="Text Box 144"/>
        <xdr:cNvSpPr txBox="1">
          <a:spLocks noChangeArrowheads="1"/>
        </xdr:cNvSpPr>
      </xdr:nvSpPr>
      <xdr:spPr bwMode="auto">
        <a:xfrm>
          <a:off x="2524125" y="9039225"/>
          <a:ext cx="704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838200</xdr:colOff>
      <xdr:row>59</xdr:row>
      <xdr:rowOff>47625</xdr:rowOff>
    </xdr:from>
    <xdr:to>
      <xdr:col>10</xdr:col>
      <xdr:colOff>619125</xdr:colOff>
      <xdr:row>60</xdr:row>
      <xdr:rowOff>123825</xdr:rowOff>
    </xdr:to>
    <xdr:sp macro="" textlink="">
      <xdr:nvSpPr>
        <xdr:cNvPr id="15394" name="Text Box 145"/>
        <xdr:cNvSpPr txBox="1">
          <a:spLocks noChangeArrowheads="1"/>
        </xdr:cNvSpPr>
      </xdr:nvSpPr>
      <xdr:spPr bwMode="auto">
        <a:xfrm>
          <a:off x="5724525" y="11163300"/>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142875</xdr:colOff>
      <xdr:row>59</xdr:row>
      <xdr:rowOff>47625</xdr:rowOff>
    </xdr:from>
    <xdr:to>
      <xdr:col>2</xdr:col>
      <xdr:colOff>647700</xdr:colOff>
      <xdr:row>60</xdr:row>
      <xdr:rowOff>123825</xdr:rowOff>
    </xdr:to>
    <xdr:sp macro="" textlink="">
      <xdr:nvSpPr>
        <xdr:cNvPr id="15395" name="Text Box 23"/>
        <xdr:cNvSpPr txBox="1">
          <a:spLocks noChangeArrowheads="1"/>
        </xdr:cNvSpPr>
      </xdr:nvSpPr>
      <xdr:spPr bwMode="auto">
        <a:xfrm>
          <a:off x="361950" y="11163300"/>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885825</xdr:colOff>
      <xdr:row>59</xdr:row>
      <xdr:rowOff>47625</xdr:rowOff>
    </xdr:from>
    <xdr:to>
      <xdr:col>4</xdr:col>
      <xdr:colOff>19050</xdr:colOff>
      <xdr:row>60</xdr:row>
      <xdr:rowOff>123825</xdr:rowOff>
    </xdr:to>
    <xdr:sp macro="" textlink="">
      <xdr:nvSpPr>
        <xdr:cNvPr id="15396" name="Text Box 101"/>
        <xdr:cNvSpPr txBox="1">
          <a:spLocks noChangeArrowheads="1"/>
        </xdr:cNvSpPr>
      </xdr:nvSpPr>
      <xdr:spPr bwMode="auto">
        <a:xfrm>
          <a:off x="1104900" y="11163300"/>
          <a:ext cx="561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152400</xdr:colOff>
      <xdr:row>59</xdr:row>
      <xdr:rowOff>47625</xdr:rowOff>
    </xdr:from>
    <xdr:to>
      <xdr:col>5</xdr:col>
      <xdr:colOff>76200</xdr:colOff>
      <xdr:row>60</xdr:row>
      <xdr:rowOff>114300</xdr:rowOff>
    </xdr:to>
    <xdr:sp macro="" textlink="">
      <xdr:nvSpPr>
        <xdr:cNvPr id="15397" name="Text Box 102"/>
        <xdr:cNvSpPr txBox="1">
          <a:spLocks noChangeArrowheads="1"/>
        </xdr:cNvSpPr>
      </xdr:nvSpPr>
      <xdr:spPr bwMode="auto">
        <a:xfrm>
          <a:off x="1800225" y="11163300"/>
          <a:ext cx="666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295275</xdr:colOff>
      <xdr:row>59</xdr:row>
      <xdr:rowOff>47625</xdr:rowOff>
    </xdr:from>
    <xdr:to>
      <xdr:col>6</xdr:col>
      <xdr:colOff>219075</xdr:colOff>
      <xdr:row>60</xdr:row>
      <xdr:rowOff>114300</xdr:rowOff>
    </xdr:to>
    <xdr:sp macro="" textlink="">
      <xdr:nvSpPr>
        <xdr:cNvPr id="15398" name="Text Box 103"/>
        <xdr:cNvSpPr txBox="1">
          <a:spLocks noChangeArrowheads="1"/>
        </xdr:cNvSpPr>
      </xdr:nvSpPr>
      <xdr:spPr bwMode="auto">
        <a:xfrm>
          <a:off x="2686050" y="11163300"/>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419100</xdr:colOff>
      <xdr:row>59</xdr:row>
      <xdr:rowOff>38100</xdr:rowOff>
    </xdr:from>
    <xdr:to>
      <xdr:col>12</xdr:col>
      <xdr:colOff>219075</xdr:colOff>
      <xdr:row>60</xdr:row>
      <xdr:rowOff>114300</xdr:rowOff>
    </xdr:to>
    <xdr:sp macro="" textlink="">
      <xdr:nvSpPr>
        <xdr:cNvPr id="15399" name="Text Box 148"/>
        <xdr:cNvSpPr txBox="1">
          <a:spLocks noChangeArrowheads="1"/>
        </xdr:cNvSpPr>
      </xdr:nvSpPr>
      <xdr:spPr bwMode="auto">
        <a:xfrm>
          <a:off x="7134225" y="11153775"/>
          <a:ext cx="6191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409575</xdr:colOff>
      <xdr:row>59</xdr:row>
      <xdr:rowOff>38100</xdr:rowOff>
    </xdr:from>
    <xdr:to>
      <xdr:col>13</xdr:col>
      <xdr:colOff>219075</xdr:colOff>
      <xdr:row>60</xdr:row>
      <xdr:rowOff>114300</xdr:rowOff>
    </xdr:to>
    <xdr:sp macro="" textlink="">
      <xdr:nvSpPr>
        <xdr:cNvPr id="15400" name="Text Box 149"/>
        <xdr:cNvSpPr txBox="1">
          <a:spLocks noChangeArrowheads="1"/>
        </xdr:cNvSpPr>
      </xdr:nvSpPr>
      <xdr:spPr bwMode="auto">
        <a:xfrm>
          <a:off x="7943850" y="1115377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428625</xdr:colOff>
      <xdr:row>59</xdr:row>
      <xdr:rowOff>38100</xdr:rowOff>
    </xdr:from>
    <xdr:to>
      <xdr:col>14</xdr:col>
      <xdr:colOff>476250</xdr:colOff>
      <xdr:row>60</xdr:row>
      <xdr:rowOff>114300</xdr:rowOff>
    </xdr:to>
    <xdr:sp macro="" textlink="">
      <xdr:nvSpPr>
        <xdr:cNvPr id="15401" name="Text Box 150"/>
        <xdr:cNvSpPr txBox="1">
          <a:spLocks noChangeArrowheads="1"/>
        </xdr:cNvSpPr>
      </xdr:nvSpPr>
      <xdr:spPr bwMode="auto">
        <a:xfrm>
          <a:off x="8867775" y="11153775"/>
          <a:ext cx="914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1</xdr:col>
      <xdr:colOff>0</xdr:colOff>
      <xdr:row>22</xdr:row>
      <xdr:rowOff>180975</xdr:rowOff>
    </xdr:from>
    <xdr:ext cx="561975" cy="247650"/>
    <xdr:sp macro="" textlink="">
      <xdr:nvSpPr>
        <xdr:cNvPr id="15405" name="Text Box 45"/>
        <xdr:cNvSpPr txBox="1">
          <a:spLocks noChangeArrowheads="1"/>
        </xdr:cNvSpPr>
      </xdr:nvSpPr>
      <xdr:spPr bwMode="auto">
        <a:xfrm>
          <a:off x="57150" y="4086225"/>
          <a:ext cx="5619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ja-JP" altLang="en-US" sz="1300" b="1" i="0" u="none" strike="noStrike" baseline="0">
              <a:solidFill>
                <a:srgbClr val="000000"/>
              </a:solidFill>
              <a:latin typeface="Arial"/>
              <a:cs typeface="Arial"/>
            </a:rPr>
            <a:t>BEE = </a:t>
          </a:r>
        </a:p>
      </xdr:txBody>
    </xdr:sp>
    <xdr:clientData/>
  </xdr:oneCellAnchor>
  <xdr:oneCellAnchor>
    <xdr:from>
      <xdr:col>10</xdr:col>
      <xdr:colOff>76200</xdr:colOff>
      <xdr:row>34</xdr:row>
      <xdr:rowOff>19050</xdr:rowOff>
    </xdr:from>
    <xdr:ext cx="800100" cy="171450"/>
    <xdr:sp macro="" textlink="">
      <xdr:nvSpPr>
        <xdr:cNvPr id="15409" name="Text Box 134"/>
        <xdr:cNvSpPr txBox="1">
          <a:spLocks noChangeArrowheads="1"/>
        </xdr:cNvSpPr>
      </xdr:nvSpPr>
      <xdr:spPr bwMode="auto">
        <a:xfrm>
          <a:off x="5886450" y="6210300"/>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123825</xdr:colOff>
      <xdr:row>24</xdr:row>
      <xdr:rowOff>152400</xdr:rowOff>
    </xdr:from>
    <xdr:ext cx="3114675" cy="152400"/>
    <xdr:sp macro="" textlink="">
      <xdr:nvSpPr>
        <xdr:cNvPr id="15410" name="Text Box 129"/>
        <xdr:cNvSpPr txBox="1">
          <a:spLocks noChangeArrowheads="1"/>
        </xdr:cNvSpPr>
      </xdr:nvSpPr>
      <xdr:spPr bwMode="auto">
        <a:xfrm>
          <a:off x="3486150" y="4438650"/>
          <a:ext cx="31146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419100</xdr:colOff>
      <xdr:row>21</xdr:row>
      <xdr:rowOff>152400</xdr:rowOff>
    </xdr:from>
    <xdr:to>
      <xdr:col>10</xdr:col>
      <xdr:colOff>485775</xdr:colOff>
      <xdr:row>25</xdr:row>
      <xdr:rowOff>104775</xdr:rowOff>
    </xdr:to>
    <xdr:graphicFrame macro="">
      <xdr:nvGraphicFramePr>
        <xdr:cNvPr id="15411"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27</xdr:row>
      <xdr:rowOff>0</xdr:rowOff>
    </xdr:from>
    <xdr:to>
      <xdr:col>7</xdr:col>
      <xdr:colOff>942975</xdr:colOff>
      <xdr:row>28</xdr:row>
      <xdr:rowOff>38100</xdr:rowOff>
    </xdr:to>
    <xdr:sp macro="" textlink="">
      <xdr:nvSpPr>
        <xdr:cNvPr id="15412" name="Text Box 131"/>
        <xdr:cNvSpPr txBox="1">
          <a:spLocks noChangeArrowheads="1"/>
        </xdr:cNvSpPr>
      </xdr:nvSpPr>
      <xdr:spPr bwMode="auto">
        <a:xfrm>
          <a:off x="3400425" y="4857750"/>
          <a:ext cx="904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28575</xdr:colOff>
      <xdr:row>28</xdr:row>
      <xdr:rowOff>114300</xdr:rowOff>
    </xdr:from>
    <xdr:to>
      <xdr:col>8</xdr:col>
      <xdr:colOff>28575</xdr:colOff>
      <xdr:row>29</xdr:row>
      <xdr:rowOff>152400</xdr:rowOff>
    </xdr:to>
    <xdr:sp macro="" textlink="">
      <xdr:nvSpPr>
        <xdr:cNvPr id="15413" name="Text Box 131"/>
        <xdr:cNvSpPr txBox="1">
          <a:spLocks noChangeArrowheads="1"/>
        </xdr:cNvSpPr>
      </xdr:nvSpPr>
      <xdr:spPr bwMode="auto">
        <a:xfrm>
          <a:off x="3390900" y="5162550"/>
          <a:ext cx="981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0</xdr:rowOff>
    </xdr:from>
    <xdr:to>
      <xdr:col>8</xdr:col>
      <xdr:colOff>19050</xdr:colOff>
      <xdr:row>31</xdr:row>
      <xdr:rowOff>104775</xdr:rowOff>
    </xdr:to>
    <xdr:sp macro="" textlink="">
      <xdr:nvSpPr>
        <xdr:cNvPr id="15414" name="Text Box 131"/>
        <xdr:cNvSpPr txBox="1">
          <a:spLocks noChangeArrowheads="1"/>
        </xdr:cNvSpPr>
      </xdr:nvSpPr>
      <xdr:spPr bwMode="auto">
        <a:xfrm>
          <a:off x="3381375" y="5429250"/>
          <a:ext cx="9810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③上記+②以外の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895350</xdr:colOff>
      <xdr:row>25</xdr:row>
      <xdr:rowOff>180975</xdr:rowOff>
    </xdr:from>
    <xdr:to>
      <xdr:col>11</xdr:col>
      <xdr:colOff>19050</xdr:colOff>
      <xdr:row>34</xdr:row>
      <xdr:rowOff>161925</xdr:rowOff>
    </xdr:to>
    <xdr:graphicFrame macro="">
      <xdr:nvGraphicFramePr>
        <xdr:cNvPr id="15418"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9525</xdr:colOff>
      <xdr:row>31</xdr:row>
      <xdr:rowOff>142875</xdr:rowOff>
    </xdr:from>
    <xdr:to>
      <xdr:col>8</xdr:col>
      <xdr:colOff>314325</xdr:colOff>
      <xdr:row>33</xdr:row>
      <xdr:rowOff>57150</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editAs="oneCell">
    <xdr:from>
      <xdr:col>1</xdr:col>
      <xdr:colOff>12700</xdr:colOff>
      <xdr:row>0</xdr:row>
      <xdr:rowOff>63500</xdr:rowOff>
    </xdr:from>
    <xdr:to>
      <xdr:col>9</xdr:col>
      <xdr:colOff>508000</xdr:colOff>
      <xdr:row>3</xdr:row>
      <xdr:rowOff>228600</xdr:rowOff>
    </xdr:to>
    <xdr:pic>
      <xdr:nvPicPr>
        <xdr:cNvPr id="51" name="Picture 91" descr="CASBEE熊本ロゴ（Quarter）（背景透過版）（余白無トリミング）"/>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200" y="63500"/>
          <a:ext cx="5334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495300</xdr:colOff>
      <xdr:row>0</xdr:row>
      <xdr:rowOff>38100</xdr:rowOff>
    </xdr:from>
    <xdr:to>
      <xdr:col>12</xdr:col>
      <xdr:colOff>9525</xdr:colOff>
      <xdr:row>5</xdr:row>
      <xdr:rowOff>57150</xdr:rowOff>
    </xdr:to>
    <xdr:sp macro="" textlink="">
      <xdr:nvSpPr>
        <xdr:cNvPr id="54" name="Text Box 92"/>
        <xdr:cNvSpPr txBox="1">
          <a:spLocks noChangeArrowheads="1"/>
        </xdr:cNvSpPr>
      </xdr:nvSpPr>
      <xdr:spPr bwMode="auto">
        <a:xfrm>
          <a:off x="5397500" y="38100"/>
          <a:ext cx="2168525" cy="99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500"/>
            </a:lnSpc>
            <a:defRPr sz="1000"/>
          </a:pPr>
          <a:r>
            <a:rPr lang="ja-JP" altLang="en-US" sz="2400" b="0" i="0" u="none" strike="noStrike" baseline="0">
              <a:solidFill>
                <a:srgbClr val="000000"/>
              </a:solidFill>
              <a:latin typeface="ＭＳ Ｐゴシック"/>
              <a:ea typeface="ＭＳ Ｐゴシック"/>
            </a:rPr>
            <a:t>（改修前）</a:t>
          </a:r>
        </a:p>
      </xdr:txBody>
    </xdr:sp>
    <xdr:clientData/>
  </xdr:twoCellAnchor>
  <xdr:twoCellAnchor>
    <xdr:from>
      <xdr:col>11</xdr:col>
      <xdr:colOff>304800</xdr:colOff>
      <xdr:row>1</xdr:row>
      <xdr:rowOff>63500</xdr:rowOff>
    </xdr:from>
    <xdr:to>
      <xdr:col>15</xdr:col>
      <xdr:colOff>0</xdr:colOff>
      <xdr:row>3</xdr:row>
      <xdr:rowOff>200025</xdr:rowOff>
    </xdr:to>
    <xdr:sp macro="" textlink="">
      <xdr:nvSpPr>
        <xdr:cNvPr id="55" name="Text Box 90"/>
        <xdr:cNvSpPr txBox="1">
          <a:spLocks noChangeArrowheads="1"/>
        </xdr:cNvSpPr>
      </xdr:nvSpPr>
      <xdr:spPr bwMode="auto">
        <a:xfrm>
          <a:off x="7035800" y="139700"/>
          <a:ext cx="3149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15</xdr:col>
          <xdr:colOff>0</xdr:colOff>
          <xdr:row>17</xdr:row>
          <xdr:rowOff>0</xdr:rowOff>
        </xdr:to>
        <xdr:pic>
          <xdr:nvPicPr>
            <xdr:cNvPr id="56" name="Picture 52"/>
            <xdr:cNvPicPr>
              <a:picLocks noChangeAspect="1" noChangeArrowheads="1"/>
              <a:extLst>
                <a:ext uri="{84589F7E-364E-4C9E-8A38-B11213B215E9}">
                  <a14:cameraTool cellRange="外観図!$A$2" spid="_x0000_s199707"/>
                </a:ext>
              </a:extLst>
            </xdr:cNvPicPr>
          </xdr:nvPicPr>
          <xdr:blipFill>
            <a:blip xmlns:r="http://schemas.openxmlformats.org/officeDocument/2006/relationships" r:embed="rId13"/>
            <a:srcRect/>
            <a:stretch>
              <a:fillRect/>
            </a:stretch>
          </xdr:blipFill>
          <xdr:spPr bwMode="auto">
            <a:xfrm>
              <a:off x="6731000" y="1282700"/>
              <a:ext cx="3454400" cy="22860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oneCellAnchor>
    <xdr:from>
      <xdr:col>9</xdr:col>
      <xdr:colOff>720725</xdr:colOff>
      <xdr:row>64</xdr:row>
      <xdr:rowOff>0</xdr:rowOff>
    </xdr:from>
    <xdr:ext cx="567271" cy="201850"/>
    <xdr:sp macro="" textlink="">
      <xdr:nvSpPr>
        <xdr:cNvPr id="58" name="Text Box 140"/>
        <xdr:cNvSpPr txBox="1">
          <a:spLocks noChangeArrowheads="1"/>
        </xdr:cNvSpPr>
      </xdr:nvSpPr>
      <xdr:spPr bwMode="auto">
        <a:xfrm>
          <a:off x="5607050" y="11944350"/>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oneCellAnchor>
    <xdr:from>
      <xdr:col>9</xdr:col>
      <xdr:colOff>854075</xdr:colOff>
      <xdr:row>67</xdr:row>
      <xdr:rowOff>180975</xdr:rowOff>
    </xdr:from>
    <xdr:ext cx="518155" cy="185179"/>
    <xdr:sp macro="" textlink="">
      <xdr:nvSpPr>
        <xdr:cNvPr id="59" name="Text Box 140"/>
        <xdr:cNvSpPr txBox="1">
          <a:spLocks noChangeArrowheads="1"/>
        </xdr:cNvSpPr>
      </xdr:nvSpPr>
      <xdr:spPr bwMode="auto">
        <a:xfrm>
          <a:off x="5740400" y="136112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835025</xdr:colOff>
      <xdr:row>66</xdr:row>
      <xdr:rowOff>6350</xdr:rowOff>
    </xdr:from>
    <xdr:ext cx="518155" cy="185179"/>
    <xdr:sp macro="" textlink="">
      <xdr:nvSpPr>
        <xdr:cNvPr id="60" name="Text Box 140"/>
        <xdr:cNvSpPr txBox="1">
          <a:spLocks noChangeArrowheads="1"/>
        </xdr:cNvSpPr>
      </xdr:nvSpPr>
      <xdr:spPr bwMode="auto">
        <a:xfrm>
          <a:off x="5721350" y="127984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695325</xdr:colOff>
      <xdr:row>66</xdr:row>
      <xdr:rowOff>6350</xdr:rowOff>
    </xdr:from>
    <xdr:ext cx="518155" cy="185179"/>
    <xdr:sp macro="" textlink="">
      <xdr:nvSpPr>
        <xdr:cNvPr id="61" name="Text Box 140"/>
        <xdr:cNvSpPr txBox="1">
          <a:spLocks noChangeArrowheads="1"/>
        </xdr:cNvSpPr>
      </xdr:nvSpPr>
      <xdr:spPr bwMode="auto">
        <a:xfrm>
          <a:off x="2343150" y="127984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733425</xdr:colOff>
      <xdr:row>67</xdr:row>
      <xdr:rowOff>180975</xdr:rowOff>
    </xdr:from>
    <xdr:ext cx="518155" cy="185179"/>
    <xdr:sp macro="" textlink="">
      <xdr:nvSpPr>
        <xdr:cNvPr id="62" name="Text Box 140"/>
        <xdr:cNvSpPr txBox="1">
          <a:spLocks noChangeArrowheads="1"/>
        </xdr:cNvSpPr>
      </xdr:nvSpPr>
      <xdr:spPr bwMode="auto">
        <a:xfrm>
          <a:off x="2381250" y="136112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47625</xdr:colOff>
      <xdr:row>65</xdr:row>
      <xdr:rowOff>114300</xdr:rowOff>
    </xdr:from>
    <xdr:to>
      <xdr:col>6</xdr:col>
      <xdr:colOff>314325</xdr:colOff>
      <xdr:row>67</xdr:row>
      <xdr:rowOff>171450</xdr:rowOff>
    </xdr:to>
    <xdr:graphicFrame macro="">
      <xdr:nvGraphicFramePr>
        <xdr:cNvPr id="63"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76200</xdr:colOff>
      <xdr:row>65</xdr:row>
      <xdr:rowOff>114300</xdr:rowOff>
    </xdr:from>
    <xdr:to>
      <xdr:col>10</xdr:col>
      <xdr:colOff>695325</xdr:colOff>
      <xdr:row>67</xdr:row>
      <xdr:rowOff>161925</xdr:rowOff>
    </xdr:to>
    <xdr:graphicFrame macro="">
      <xdr:nvGraphicFramePr>
        <xdr:cNvPr id="64"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704850</xdr:colOff>
      <xdr:row>62</xdr:row>
      <xdr:rowOff>114300</xdr:rowOff>
    </xdr:from>
    <xdr:to>
      <xdr:col>9</xdr:col>
      <xdr:colOff>504825</xdr:colOff>
      <xdr:row>66</xdr:row>
      <xdr:rowOff>57150</xdr:rowOff>
    </xdr:to>
    <xdr:graphicFrame macro="">
      <xdr:nvGraphicFramePr>
        <xdr:cNvPr id="65"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50800</xdr:colOff>
      <xdr:row>67</xdr:row>
      <xdr:rowOff>88900</xdr:rowOff>
    </xdr:from>
    <xdr:to>
      <xdr:col>6</xdr:col>
      <xdr:colOff>336550</xdr:colOff>
      <xdr:row>69</xdr:row>
      <xdr:rowOff>57150</xdr:rowOff>
    </xdr:to>
    <xdr:graphicFrame macro="">
      <xdr:nvGraphicFramePr>
        <xdr:cNvPr id="66"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88900</xdr:colOff>
      <xdr:row>67</xdr:row>
      <xdr:rowOff>127000</xdr:rowOff>
    </xdr:from>
    <xdr:to>
      <xdr:col>10</xdr:col>
      <xdr:colOff>736600</xdr:colOff>
      <xdr:row>92</xdr:row>
      <xdr:rowOff>12700</xdr:rowOff>
    </xdr:to>
    <xdr:graphicFrame macro="">
      <xdr:nvGraphicFramePr>
        <xdr:cNvPr id="67"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101600</xdr:colOff>
      <xdr:row>63</xdr:row>
      <xdr:rowOff>0</xdr:rowOff>
    </xdr:from>
    <xdr:to>
      <xdr:col>14</xdr:col>
      <xdr:colOff>803275</xdr:colOff>
      <xdr:row>68</xdr:row>
      <xdr:rowOff>777875</xdr:rowOff>
    </xdr:to>
    <xdr:graphicFrame macro="">
      <xdr:nvGraphicFramePr>
        <xdr:cNvPr id="68"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結果(改修前)'!$Z$59">
      <cdr:nvSpPr>
        <cdr:cNvPr id="16385"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B1CA0A3-53E7-4281-8EA1-6B5F2A864BBB}" type="TxLink">
            <a:rPr lang="ja-JP" altLang="en-US" sz="1100" b="0" i="0" u="none" strike="noStrike" baseline="0">
              <a:solidFill>
                <a:srgbClr val="000000"/>
              </a:solidFill>
              <a:latin typeface="Arial"/>
              <a:cs typeface="Arial"/>
            </a:rPr>
            <a:pPr algn="ctr" rtl="0">
              <a:defRPr sz="1000"/>
            </a:pPr>
            <a:t> </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0.43772</cdr:x>
      <cdr:y>0.63313</cdr:y>
    </cdr:from>
    <cdr:to>
      <cdr:x>0.6122</cdr:x>
      <cdr:y>0.76955</cdr:y>
    </cdr:to>
    <cdr:sp macro="" textlink="'結果(改修前)'!$Z$60">
      <cdr:nvSpPr>
        <cdr:cNvPr id="16386"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9433C6B-B588-4597-A3DE-1673EBE704DC}" type="TxLink">
            <a:rPr lang="ja-JP" altLang="en-US"/>
            <a:pPr algn="ctr" rtl="0">
              <a:defRPr sz="1000"/>
            </a:pPr>
            <a:t> </a:t>
          </a:fld>
          <a:endParaRPr lang="ja-JP" altLang="en-US"/>
        </a:p>
      </cdr:txBody>
    </cdr:sp>
  </cdr:relSizeAnchor>
  <cdr:relSizeAnchor xmlns:cdr="http://schemas.openxmlformats.org/drawingml/2006/chartDrawing">
    <cdr:from>
      <cdr:x>0.74063</cdr:x>
      <cdr:y>0.63313</cdr:y>
    </cdr:from>
    <cdr:to>
      <cdr:x>0.9139</cdr:x>
      <cdr:y>0.76955</cdr:y>
    </cdr:to>
    <cdr:sp macro="" textlink="'結果(改修前)'!$Z$61">
      <cdr:nvSpPr>
        <cdr:cNvPr id="16387"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EC0373C-95EF-4DF3-AB9C-3CCB59B8B651}" type="TxLink">
            <a:rPr lang="ja-JP" altLang="en-US"/>
            <a:pPr algn="ctr" rtl="0">
              <a:defRPr sz="1000"/>
            </a:pPr>
            <a:t> </a:t>
          </a:fld>
          <a:endParaRPr lang="ja-JP" altLang="en-US"/>
        </a:p>
      </cdr:txBody>
    </cdr:sp>
  </cdr:relSizeAnchor>
  <cdr:relSizeAnchor xmlns:cdr="http://schemas.openxmlformats.org/drawingml/2006/chartDrawing">
    <cdr:from>
      <cdr:x>0.06453</cdr:x>
      <cdr:y>0.44543</cdr:y>
    </cdr:from>
    <cdr:to>
      <cdr:x>0.98175</cdr:x>
      <cdr:y>0.44543</cdr:y>
    </cdr:to>
    <cdr:sp macro="" textlink="">
      <cdr:nvSpPr>
        <cdr:cNvPr id="16388" name="Line 4"/>
        <cdr:cNvSpPr>
          <a:spLocks xmlns:a="http://schemas.openxmlformats.org/drawingml/2006/main" noChangeShapeType="1"/>
        </cdr:cNvSpPr>
      </cdr:nvSpPr>
      <cdr:spPr bwMode="auto">
        <a:xfrm xmlns:a="http://schemas.openxmlformats.org/drawingml/2006/main">
          <a:off x="203552" y="720198"/>
          <a:ext cx="2848118"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結果(改修前)'!$W$59">
      <cdr:nvSpPr>
        <cdr:cNvPr id="17409"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779286D9-BFCF-4138-B0DB-67E74FDCEF32}" type="TxLink">
            <a:rPr lang="ja-JP" altLang="en-US"/>
            <a:pPr algn="ctr" rtl="0">
              <a:defRPr sz="1000"/>
            </a:pPr>
            <a:t> </a:t>
          </a:fld>
          <a:endParaRPr lang="ja-JP" altLang="en-US"/>
        </a:p>
      </cdr:txBody>
    </cdr:sp>
  </cdr:relSizeAnchor>
  <cdr:relSizeAnchor xmlns:cdr="http://schemas.openxmlformats.org/drawingml/2006/chartDrawing">
    <cdr:from>
      <cdr:x>0.43539</cdr:x>
      <cdr:y>0.63506</cdr:y>
    </cdr:from>
    <cdr:to>
      <cdr:x>0.60599</cdr:x>
      <cdr:y>0.77035</cdr:y>
    </cdr:to>
    <cdr:sp macro="" textlink="'結果(改修前)'!$W$60">
      <cdr:nvSpPr>
        <cdr:cNvPr id="17410"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227AB838-B143-44B7-B7BC-FA84AD92F051}" type="TxLink">
            <a:rPr lang="ja-JP" altLang="en-US"/>
            <a:pPr algn="ctr" rtl="0">
              <a:defRPr sz="1000"/>
            </a:pPr>
            <a:t> </a:t>
          </a:fld>
          <a:endParaRPr lang="ja-JP" altLang="en-US"/>
        </a:p>
      </cdr:txBody>
    </cdr:sp>
  </cdr:relSizeAnchor>
  <cdr:relSizeAnchor xmlns:cdr="http://schemas.openxmlformats.org/drawingml/2006/chartDrawing">
    <cdr:from>
      <cdr:x>0.74392</cdr:x>
      <cdr:y>0.63506</cdr:y>
    </cdr:from>
    <cdr:to>
      <cdr:x>0.90702</cdr:x>
      <cdr:y>0.77035</cdr:y>
    </cdr:to>
    <cdr:sp macro="" textlink="'結果(改修前)'!$W$61">
      <cdr:nvSpPr>
        <cdr:cNvPr id="17411"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E002A9A-13AA-4F58-99B5-937DAD47D537}" type="TxLink">
            <a:rPr lang="ja-JP" altLang="en-US"/>
            <a:pPr algn="ctr" rtl="0">
              <a:defRPr sz="1000"/>
            </a:pPr>
            <a:t> </a:t>
          </a:fld>
          <a:endParaRPr lang="ja-JP" altLang="en-US"/>
        </a:p>
      </cdr:txBody>
    </cdr:sp>
  </cdr:relSizeAnchor>
  <cdr:relSizeAnchor xmlns:cdr="http://schemas.openxmlformats.org/drawingml/2006/chartDrawing">
    <cdr:from>
      <cdr:x>0.07362</cdr:x>
      <cdr:y>0.44847</cdr:y>
    </cdr:from>
    <cdr:to>
      <cdr:x>0.97889</cdr:x>
      <cdr:y>0.44847</cdr:y>
    </cdr:to>
    <cdr:sp macro="" textlink="">
      <cdr:nvSpPr>
        <cdr:cNvPr id="17412"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0.09963</cdr:x>
      <cdr:y>0.63158</cdr:y>
    </cdr:from>
    <cdr:to>
      <cdr:x>0.25347</cdr:x>
      <cdr:y>0.76598</cdr:y>
    </cdr:to>
    <cdr:sp macro="" textlink="'結果(改修前)'!$T$59">
      <cdr:nvSpPr>
        <cdr:cNvPr id="18433" name="Text Box 1"/>
        <cdr:cNvSpPr txBox="1">
          <a:spLocks xmlns:a="http://schemas.openxmlformats.org/drawingml/2006/main" noChangeArrowheads="1" noTextEdit="1"/>
        </cdr:cNvSpPr>
      </cdr:nvSpPr>
      <cdr:spPr bwMode="auto">
        <a:xfrm xmlns:a="http://schemas.openxmlformats.org/drawingml/2006/main">
          <a:off x="325834" y="1031873"/>
          <a:ext cx="498206"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1185D7F4-236B-4DDA-B989-9F820F11BDE7}" type="TxLink">
            <a:rPr lang="ja-JP" altLang="en-US"/>
            <a:pPr algn="ctr" rtl="0">
              <a:defRPr sz="1000"/>
            </a:pPr>
            <a:t> </a:t>
          </a:fld>
          <a:endParaRPr lang="ja-JP" altLang="en-US"/>
        </a:p>
      </cdr:txBody>
    </cdr:sp>
  </cdr:relSizeAnchor>
  <cdr:relSizeAnchor xmlns:cdr="http://schemas.openxmlformats.org/drawingml/2006/chartDrawing">
    <cdr:from>
      <cdr:x>0.32602</cdr:x>
      <cdr:y>0.63158</cdr:y>
    </cdr:from>
    <cdr:to>
      <cdr:x>0.48253</cdr:x>
      <cdr:y>0.76598</cdr:y>
    </cdr:to>
    <cdr:sp macro="" textlink="'結果(改修前)'!$T$60">
      <cdr:nvSpPr>
        <cdr:cNvPr id="18434" name="Text Box 2"/>
        <cdr:cNvSpPr txBox="1">
          <a:spLocks xmlns:a="http://schemas.openxmlformats.org/drawingml/2006/main" noChangeArrowheads="1" noTextEdit="1"/>
        </cdr:cNvSpPr>
      </cdr:nvSpPr>
      <cdr:spPr bwMode="auto">
        <a:xfrm xmlns:a="http://schemas.openxmlformats.org/drawingml/2006/main">
          <a:off x="1058997" y="1031873"/>
          <a:ext cx="506850"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65F26830-ECA9-46A6-961F-314FB15BD5DF}" type="TxLink">
            <a:rPr lang="ja-JP" altLang="en-US"/>
            <a:pPr algn="ctr" rtl="0">
              <a:defRPr sz="1000"/>
            </a:pPr>
            <a:t> </a:t>
          </a:fld>
          <a:endParaRPr lang="ja-JP" altLang="en-US"/>
        </a:p>
      </cdr:txBody>
    </cdr:sp>
  </cdr:relSizeAnchor>
  <cdr:relSizeAnchor xmlns:cdr="http://schemas.openxmlformats.org/drawingml/2006/chartDrawing">
    <cdr:from>
      <cdr:x>0.55896</cdr:x>
      <cdr:y>0.63158</cdr:y>
    </cdr:from>
    <cdr:to>
      <cdr:x>0.71474</cdr:x>
      <cdr:y>0.76598</cdr:y>
    </cdr:to>
    <cdr:sp macro="" textlink="'結果(改修前)'!$T$61">
      <cdr:nvSpPr>
        <cdr:cNvPr id="18435" name="Text Box 3"/>
        <cdr:cNvSpPr txBox="1">
          <a:spLocks xmlns:a="http://schemas.openxmlformats.org/drawingml/2006/main" noChangeArrowheads="1" noTextEdit="1"/>
        </cdr:cNvSpPr>
      </cdr:nvSpPr>
      <cdr:spPr bwMode="auto">
        <a:xfrm xmlns:a="http://schemas.openxmlformats.org/drawingml/2006/main">
          <a:off x="1813377" y="1031873"/>
          <a:ext cx="504492"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5866447-A76E-40C3-BB26-93318624F576}" type="TxLink">
            <a:rPr lang="ja-JP" altLang="en-US"/>
            <a:pPr algn="ctr" rtl="0">
              <a:defRPr sz="1000"/>
            </a:pPr>
            <a:t> </a:t>
          </a:fld>
          <a:endParaRPr lang="ja-JP" altLang="en-US"/>
        </a:p>
      </cdr:txBody>
    </cdr:sp>
  </cdr:relSizeAnchor>
  <cdr:relSizeAnchor xmlns:cdr="http://schemas.openxmlformats.org/drawingml/2006/chartDrawing">
    <cdr:from>
      <cdr:x>0.79093</cdr:x>
      <cdr:y>0.63158</cdr:y>
    </cdr:from>
    <cdr:to>
      <cdr:x>0.95035</cdr:x>
      <cdr:y>0.76598</cdr:y>
    </cdr:to>
    <cdr:sp macro="" textlink="'結果(改修前)'!$T$62">
      <cdr:nvSpPr>
        <cdr:cNvPr id="18436" name="Text Box 4"/>
        <cdr:cNvSpPr txBox="1">
          <a:spLocks xmlns:a="http://schemas.openxmlformats.org/drawingml/2006/main" noChangeArrowheads="1" noTextEdit="1"/>
        </cdr:cNvSpPr>
      </cdr:nvSpPr>
      <cdr:spPr bwMode="auto">
        <a:xfrm xmlns:a="http://schemas.openxmlformats.org/drawingml/2006/main">
          <a:off x="2564614" y="1031873"/>
          <a:ext cx="516279"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E982D91-77ED-408D-9829-E650A4CACCAF}" type="TxLink">
            <a:rPr lang="ja-JP" altLang="en-US"/>
            <a:pPr algn="ctr" rtl="0">
              <a:defRPr sz="1000"/>
            </a:pPr>
            <a:t> </a:t>
          </a:fld>
          <a:endParaRPr lang="ja-JP" altLang="en-US"/>
        </a:p>
      </cdr:txBody>
    </cdr:sp>
  </cdr:relSizeAnchor>
  <cdr:relSizeAnchor xmlns:cdr="http://schemas.openxmlformats.org/drawingml/2006/chartDrawing">
    <cdr:from>
      <cdr:x>0.06469</cdr:x>
      <cdr:y>0.44163</cdr:y>
    </cdr:from>
    <cdr:to>
      <cdr:x>0.98529</cdr:x>
      <cdr:y>0.44163</cdr:y>
    </cdr:to>
    <cdr:sp macro="" textlink="">
      <cdr:nvSpPr>
        <cdr:cNvPr id="18437" name="Line 5"/>
        <cdr:cNvSpPr>
          <a:spLocks xmlns:a="http://schemas.openxmlformats.org/drawingml/2006/main" noChangeShapeType="1"/>
        </cdr:cNvSpPr>
      </cdr:nvSpPr>
      <cdr:spPr bwMode="auto">
        <a:xfrm xmlns:a="http://schemas.openxmlformats.org/drawingml/2006/main" flipV="1">
          <a:off x="212677" y="722484"/>
          <a:ext cx="298137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132097" name="Option Button 1" hidden="1">
              <a:extLst>
                <a:ext uri="{63B3BB69-23CF-44E3-9099-C40C66FF867C}">
                  <a14:compatExt spid="_x0000_s13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132098" name="Option Button 2" hidden="1">
              <a:extLst>
                <a:ext uri="{63B3BB69-23CF-44E3-9099-C40C66FF867C}">
                  <a14:compatExt spid="_x0000_s13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132099" name="Option Button 3" hidden="1">
              <a:extLst>
                <a:ext uri="{63B3BB69-23CF-44E3-9099-C40C66FF867C}">
                  <a14:compatExt spid="_x0000_s13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132100" name="Option Button 4" hidden="1">
              <a:extLst>
                <a:ext uri="{63B3BB69-23CF-44E3-9099-C40C66FF867C}">
                  <a14:compatExt spid="_x0000_s13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132101" name="Option Button 5" hidden="1">
              <a:extLst>
                <a:ext uri="{63B3BB69-23CF-44E3-9099-C40C66FF867C}">
                  <a14:compatExt spid="_x0000_s132101"/>
                </a:ext>
              </a:extLst>
            </xdr:cNvPr>
            <xdr:cNvSpPr/>
          </xdr:nvSpPr>
          <xdr:spPr>
            <a:xfrm>
              <a:off x="0" y="0"/>
              <a:ext cx="0" cy="0"/>
            </a:xfrm>
            <a:prstGeom prst="rect">
              <a:avLst/>
            </a:prstGeom>
          </xdr:spPr>
        </xdr:sp>
        <xdr:clientData/>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0.11224</cdr:x>
      <cdr:y>0.62952</cdr:y>
    </cdr:from>
    <cdr:to>
      <cdr:x>0.25376</cdr:x>
      <cdr:y>0.76626</cdr:y>
    </cdr:to>
    <cdr:sp macro="" textlink="'結果(改修前)'!$T$48">
      <cdr:nvSpPr>
        <cdr:cNvPr id="19457"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80A492D0-41DB-4627-912C-C4A00C84260A}" type="TxLink">
            <a:rPr lang="ja-JP" altLang="en-US"/>
            <a:pPr algn="ctr" rtl="0">
              <a:defRPr sz="1000"/>
            </a:pPr>
            <a:t> </a:t>
          </a:fld>
          <a:endParaRPr lang="ja-JP" altLang="en-US"/>
        </a:p>
      </cdr:txBody>
    </cdr:sp>
  </cdr:relSizeAnchor>
  <cdr:relSizeAnchor xmlns:cdr="http://schemas.openxmlformats.org/drawingml/2006/chartDrawing">
    <cdr:from>
      <cdr:x>0.33946</cdr:x>
      <cdr:y>0.62952</cdr:y>
    </cdr:from>
    <cdr:to>
      <cdr:x>0.48657</cdr:x>
      <cdr:y>0.76626</cdr:y>
    </cdr:to>
    <cdr:sp macro="" textlink="'結果(改修前)'!$T$49">
      <cdr:nvSpPr>
        <cdr:cNvPr id="19458"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32F5244-910E-4EBA-9327-C3C7F6184A5C}" type="TxLink">
            <a:rPr lang="ja-JP" altLang="en-US"/>
            <a:pPr algn="ctr" rtl="0">
              <a:defRPr sz="1000"/>
            </a:pPr>
            <a:t> </a:t>
          </a:fld>
          <a:endParaRPr lang="ja-JP" altLang="en-US"/>
        </a:p>
      </cdr:txBody>
    </cdr:sp>
  </cdr:relSizeAnchor>
  <cdr:relSizeAnchor xmlns:cdr="http://schemas.openxmlformats.org/drawingml/2006/chartDrawing">
    <cdr:from>
      <cdr:x>0.56231</cdr:x>
      <cdr:y>0.62952</cdr:y>
    </cdr:from>
    <cdr:to>
      <cdr:x>0.7201</cdr:x>
      <cdr:y>0.76626</cdr:y>
    </cdr:to>
    <cdr:sp macro="" textlink="'結果(改修前)'!$T$50">
      <cdr:nvSpPr>
        <cdr:cNvPr id="19459"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2DA33A22-64C7-4103-8544-D9AB3DE5A5D2}" type="TxLink">
            <a:rPr lang="ja-JP" altLang="en-US"/>
            <a:pPr algn="ctr" rtl="0">
              <a:defRPr sz="1000"/>
            </a:pPr>
            <a:t> </a:t>
          </a:fld>
          <a:endParaRPr lang="ja-JP" altLang="en-US"/>
        </a:p>
      </cdr:txBody>
    </cdr:sp>
  </cdr:relSizeAnchor>
  <cdr:relSizeAnchor xmlns:cdr="http://schemas.openxmlformats.org/drawingml/2006/chartDrawing">
    <cdr:from>
      <cdr:x>0.79219</cdr:x>
      <cdr:y>0.62952</cdr:y>
    </cdr:from>
    <cdr:to>
      <cdr:x>0.93372</cdr:x>
      <cdr:y>0.76626</cdr:y>
    </cdr:to>
    <cdr:sp macro="" textlink="'結果(改修前)'!$T$51">
      <cdr:nvSpPr>
        <cdr:cNvPr id="19460"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6B7C0445-F2EF-40BD-B41C-2135419F9F7B}" type="TxLink">
            <a:rPr lang="ja-JP" altLang="en-US"/>
            <a:pPr algn="ctr" rtl="0">
              <a:defRPr sz="1000"/>
            </a:pPr>
            <a:t> </a:t>
          </a:fld>
          <a:endParaRPr lang="ja-JP" altLang="en-US"/>
        </a:p>
      </cdr:txBody>
    </cdr:sp>
  </cdr:relSizeAnchor>
  <cdr:relSizeAnchor xmlns:cdr="http://schemas.openxmlformats.org/drawingml/2006/chartDrawing">
    <cdr:from>
      <cdr:x>0.07947</cdr:x>
      <cdr:y>0.43992</cdr:y>
    </cdr:from>
    <cdr:to>
      <cdr:x>0.98082</cdr:x>
      <cdr:y>0.43992</cdr:y>
    </cdr:to>
    <cdr:sp macro="" textlink="">
      <cdr:nvSpPr>
        <cdr:cNvPr id="19461"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0.13062</cdr:x>
      <cdr:y>0.62062</cdr:y>
    </cdr:from>
    <cdr:to>
      <cdr:x>0.29422</cdr:x>
      <cdr:y>0.75628</cdr:y>
    </cdr:to>
    <cdr:sp macro="" textlink="'結果(改修前)'!$Z$48">
      <cdr:nvSpPr>
        <cdr:cNvPr id="20481" name="Text Box 1"/>
        <cdr:cNvSpPr txBox="1">
          <a:spLocks xmlns:a="http://schemas.openxmlformats.org/drawingml/2006/main" noChangeArrowheads="1" noTextEdit="1"/>
        </cdr:cNvSpPr>
      </cdr:nvSpPr>
      <cdr:spPr bwMode="auto">
        <a:xfrm xmlns:a="http://schemas.openxmlformats.org/drawingml/2006/main">
          <a:off x="411245" y="996285"/>
          <a:ext cx="511135"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B893CD96-D42F-4318-9550-457CC9C748F1}" type="TxLink">
            <a:rPr lang="ja-JP" altLang="en-US"/>
            <a:pPr algn="ctr" rtl="0">
              <a:defRPr sz="1000"/>
            </a:pPr>
            <a:t> </a:t>
          </a:fld>
          <a:endParaRPr lang="ja-JP" altLang="en-US"/>
        </a:p>
      </cdr:txBody>
    </cdr:sp>
  </cdr:relSizeAnchor>
  <cdr:relSizeAnchor xmlns:cdr="http://schemas.openxmlformats.org/drawingml/2006/chartDrawing">
    <cdr:from>
      <cdr:x>0.43771</cdr:x>
      <cdr:y>0.62062</cdr:y>
    </cdr:from>
    <cdr:to>
      <cdr:x>0.59501</cdr:x>
      <cdr:y>0.75628</cdr:y>
    </cdr:to>
    <cdr:sp macro="" textlink="'結果(改修前)'!$Z$49">
      <cdr:nvSpPr>
        <cdr:cNvPr id="20482" name="Text Box 2"/>
        <cdr:cNvSpPr txBox="1">
          <a:spLocks xmlns:a="http://schemas.openxmlformats.org/drawingml/2006/main" noChangeArrowheads="1" noTextEdit="1"/>
        </cdr:cNvSpPr>
      </cdr:nvSpPr>
      <cdr:spPr bwMode="auto">
        <a:xfrm xmlns:a="http://schemas.openxmlformats.org/drawingml/2006/main">
          <a:off x="1370665" y="996285"/>
          <a:ext cx="491447"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0B1607F-B65C-411E-B496-8546D69F122C}" type="TxLink">
            <a:rPr lang="ja-JP" altLang="en-US"/>
            <a:pPr algn="ctr" rtl="0">
              <a:defRPr sz="1000"/>
            </a:pPr>
            <a:t> </a:t>
          </a:fld>
          <a:endParaRPr lang="ja-JP" altLang="en-US"/>
        </a:p>
      </cdr:txBody>
    </cdr:sp>
  </cdr:relSizeAnchor>
  <cdr:relSizeAnchor xmlns:cdr="http://schemas.openxmlformats.org/drawingml/2006/chartDrawing">
    <cdr:from>
      <cdr:x>0.7322</cdr:x>
      <cdr:y>0.63849</cdr:y>
    </cdr:from>
    <cdr:to>
      <cdr:x>0.91471</cdr:x>
      <cdr:y>0.77415</cdr:y>
    </cdr:to>
    <cdr:sp macro="" textlink="'結果(改修前)'!$Z$50">
      <cdr:nvSpPr>
        <cdr:cNvPr id="20483" name="Text Box 3"/>
        <cdr:cNvSpPr txBox="1">
          <a:spLocks xmlns:a="http://schemas.openxmlformats.org/drawingml/2006/main" noChangeArrowheads="1" noTextEdit="1"/>
        </cdr:cNvSpPr>
      </cdr:nvSpPr>
      <cdr:spPr bwMode="auto">
        <a:xfrm xmlns:a="http://schemas.openxmlformats.org/drawingml/2006/main">
          <a:off x="2290709" y="1024879"/>
          <a:ext cx="570199"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96966EB-D1A4-496D-A039-3F81080841C9}" type="TxLink">
            <a:rPr lang="ja-JP" altLang="en-US"/>
            <a:pPr algn="ctr" rtl="0">
              <a:defRPr sz="1000"/>
            </a:pPr>
            <a:t> </a:t>
          </a:fld>
          <a:endParaRPr lang="ja-JP" altLang="en-US"/>
        </a:p>
      </cdr:txBody>
    </cdr:sp>
  </cdr:relSizeAnchor>
  <cdr:relSizeAnchor xmlns:cdr="http://schemas.openxmlformats.org/drawingml/2006/chartDrawing">
    <cdr:from>
      <cdr:x>0.06711</cdr:x>
      <cdr:y>0.44051</cdr:y>
    </cdr:from>
    <cdr:to>
      <cdr:x>0.97555</cdr:x>
      <cdr:y>0.44051</cdr:y>
    </cdr:to>
    <cdr:sp macro="" textlink="">
      <cdr:nvSpPr>
        <cdr:cNvPr id="20484" name="Line 4"/>
        <cdr:cNvSpPr>
          <a:spLocks xmlns:a="http://schemas.openxmlformats.org/drawingml/2006/main" noChangeShapeType="1"/>
        </cdr:cNvSpPr>
      </cdr:nvSpPr>
      <cdr:spPr bwMode="auto">
        <a:xfrm xmlns:a="http://schemas.openxmlformats.org/drawingml/2006/main">
          <a:off x="212849" y="708087"/>
          <a:ext cx="2838126"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0.13121</cdr:x>
      <cdr:y>0.62835</cdr:y>
    </cdr:from>
    <cdr:to>
      <cdr:x>0.31391</cdr:x>
      <cdr:y>0.76603</cdr:y>
    </cdr:to>
    <cdr:sp macro="" textlink="'結果(改修前)'!$W$48">
      <cdr:nvSpPr>
        <cdr:cNvPr id="22529"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B8B21D1-7EB2-485E-ADE6-6DB636B7244E}" type="TxLink">
            <a:rPr lang="ja-JP" altLang="en-US"/>
            <a:pPr algn="ctr" rtl="0">
              <a:defRPr sz="1000"/>
            </a:pPr>
            <a:t> </a:t>
          </a:fld>
          <a:endParaRPr lang="ja-JP" altLang="en-US"/>
        </a:p>
      </cdr:txBody>
    </cdr:sp>
  </cdr:relSizeAnchor>
  <cdr:relSizeAnchor xmlns:cdr="http://schemas.openxmlformats.org/drawingml/2006/chartDrawing">
    <cdr:from>
      <cdr:x>0.43902</cdr:x>
      <cdr:y>0.63422</cdr:y>
    </cdr:from>
    <cdr:to>
      <cdr:x>0.61809</cdr:x>
      <cdr:y>0.7719</cdr:y>
    </cdr:to>
    <cdr:sp macro="" textlink="'結果(改修前)'!$W$49">
      <cdr:nvSpPr>
        <cdr:cNvPr id="22530"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8E053E0F-7F74-468E-8CE6-B3A38E5D1358}" type="TxLink">
            <a:rPr lang="ja-JP" altLang="en-US"/>
            <a:pPr algn="ctr" rtl="0">
              <a:defRPr sz="1000"/>
            </a:pPr>
            <a:t> </a:t>
          </a:fld>
          <a:endParaRPr lang="ja-JP" altLang="en-US"/>
        </a:p>
      </cdr:txBody>
    </cdr:sp>
  </cdr:relSizeAnchor>
  <cdr:relSizeAnchor xmlns:cdr="http://schemas.openxmlformats.org/drawingml/2006/chartDrawing">
    <cdr:from>
      <cdr:x>0.73691</cdr:x>
      <cdr:y>0.63422</cdr:y>
    </cdr:from>
    <cdr:to>
      <cdr:x>0.90678</cdr:x>
      <cdr:y>0.7719</cdr:y>
    </cdr:to>
    <cdr:sp macro="" textlink="'結果(改修前)'!$W$50">
      <cdr:nvSpPr>
        <cdr:cNvPr id="22531"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967E46D5-C61A-49A4-8002-4A5821489E2F}" type="TxLink">
            <a:rPr lang="ja-JP" altLang="en-US"/>
            <a:pPr algn="ctr" rtl="0">
              <a:defRPr sz="1000"/>
            </a:pPr>
            <a:t> </a:t>
          </a:fld>
          <a:endParaRPr lang="ja-JP" altLang="en-US"/>
        </a:p>
      </cdr:txBody>
    </cdr:sp>
  </cdr:relSizeAnchor>
  <cdr:relSizeAnchor xmlns:cdr="http://schemas.openxmlformats.org/drawingml/2006/chartDrawing">
    <cdr:from>
      <cdr:x>0.06588</cdr:x>
      <cdr:y>0.44743</cdr:y>
    </cdr:from>
    <cdr:to>
      <cdr:x>0.98083</cdr:x>
      <cdr:y>0.44743</cdr:y>
    </cdr:to>
    <cdr:sp macro="" textlink="">
      <cdr:nvSpPr>
        <cdr:cNvPr id="22532"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0.88143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0.90475</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0.76583</cdr:x>
      <cdr:y>0.65154</cdr:y>
    </cdr:from>
    <cdr:to>
      <cdr:x>0.86118</cdr:x>
      <cdr:y>0.79885</cdr:y>
    </cdr:to>
    <cdr:sp macro="" textlink="">
      <cdr:nvSpPr>
        <cdr:cNvPr id="23559" name="Text Box 7"/>
        <cdr:cNvSpPr txBox="1">
          <a:spLocks xmlns:a="http://schemas.openxmlformats.org/drawingml/2006/main" noChangeArrowheads="1"/>
        </cdr:cNvSpPr>
      </cdr:nvSpPr>
      <cdr:spPr bwMode="auto">
        <a:xfrm xmlns:a="http://schemas.openxmlformats.org/drawingml/2006/main">
          <a:off x="2148605" y="1587492"/>
          <a:ext cx="267129" cy="3582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0.88773</cdr:x>
      <cdr:y>0.43489</cdr:y>
    </cdr:from>
    <cdr:to>
      <cdr:x>0.98285</cdr:x>
      <cdr:y>0.52102</cdr:y>
    </cdr:to>
    <cdr:sp macro="" textlink="">
      <cdr:nvSpPr>
        <cdr:cNvPr id="23561"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4.xml><?xml version="1.0" encoding="utf-8"?>
<c:userShapes xmlns:c="http://schemas.openxmlformats.org/drawingml/2006/chart">
  <cdr:relSizeAnchor xmlns:cdr="http://schemas.openxmlformats.org/drawingml/2006/chartDrawing">
    <cdr:from>
      <cdr:x>0.67118</cdr:x>
      <cdr:y>0.13958</cdr:y>
    </cdr:from>
    <cdr:to>
      <cdr:x>0.97772</cdr:x>
      <cdr:y>0.24579</cdr:y>
    </cdr:to>
    <cdr:sp macro="" textlink="'結果(改修前)'!$X$39">
      <cdr:nvSpPr>
        <cdr:cNvPr id="70657" name="Text Box 1"/>
        <cdr:cNvSpPr txBox="1">
          <a:spLocks xmlns:a="http://schemas.openxmlformats.org/drawingml/2006/main" noChangeArrowheads="1" noTextEdit="1"/>
        </cdr:cNvSpPr>
      </cdr:nvSpPr>
      <cdr:spPr bwMode="auto">
        <a:xfrm xmlns:a="http://schemas.openxmlformats.org/drawingml/2006/main">
          <a:off x="1671745" y="241150"/>
          <a:ext cx="762060"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A22ED58-3DEA-4A42-BD2F-76C23BCB7E12}" type="TxLink">
            <a:rPr lang="ja-JP" altLang="en-US" sz="800" b="1" i="0" u="none" strike="noStrike" baseline="0">
              <a:solidFill>
                <a:srgbClr val="000000"/>
              </a:solidFill>
              <a:latin typeface="Arial"/>
              <a:cs typeface="Arial"/>
            </a:rPr>
            <a:pPr algn="r" rtl="0">
              <a:defRPr sz="1000"/>
            </a:pPr>
            <a:t>100%</a:t>
          </a:fld>
          <a:endParaRPr lang="ja-JP" altLang="en-US" sz="800" b="1" i="0" u="none" strike="noStrike" baseline="0">
            <a:solidFill>
              <a:srgbClr val="000000"/>
            </a:solidFill>
            <a:latin typeface="Arial"/>
            <a:cs typeface="Arial"/>
          </a:endParaRPr>
        </a:p>
      </cdr:txBody>
    </cdr:sp>
  </cdr:relSizeAnchor>
  <cdr:relSizeAnchor xmlns:cdr="http://schemas.openxmlformats.org/drawingml/2006/chartDrawing">
    <cdr:from>
      <cdr:x>0.6945</cdr:x>
      <cdr:y>0.30716</cdr:y>
    </cdr:from>
    <cdr:to>
      <cdr:x>0.97796</cdr:x>
      <cdr:y>0.41338</cdr:y>
    </cdr:to>
    <cdr:sp macro="" textlink="'結果(改修前)'!$X$40">
      <cdr:nvSpPr>
        <cdr:cNvPr id="70658" name="Text Box 2"/>
        <cdr:cNvSpPr txBox="1">
          <a:spLocks xmlns:a="http://schemas.openxmlformats.org/drawingml/2006/main" noChangeArrowheads="1" noTextEdit="1"/>
        </cdr:cNvSpPr>
      </cdr:nvSpPr>
      <cdr:spPr bwMode="auto">
        <a:xfrm xmlns:a="http://schemas.openxmlformats.org/drawingml/2006/main">
          <a:off x="1729722" y="526876"/>
          <a:ext cx="704681"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29D8C558-B540-494C-8E29-4CCDF7E7CA77}"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0.67118</cdr:x>
      <cdr:y>0.66475</cdr:y>
    </cdr:from>
    <cdr:to>
      <cdr:x>0.97772</cdr:x>
      <cdr:y>0.77097</cdr:y>
    </cdr:to>
    <cdr:sp macro="" textlink="'結果(改修前)'!$X$42">
      <cdr:nvSpPr>
        <cdr:cNvPr id="70659" name="Text Box 3"/>
        <cdr:cNvSpPr txBox="1">
          <a:spLocks xmlns:a="http://schemas.openxmlformats.org/drawingml/2006/main" noChangeArrowheads="1" noTextEdit="1"/>
        </cdr:cNvSpPr>
      </cdr:nvSpPr>
      <cdr:spPr bwMode="auto">
        <a:xfrm xmlns:a="http://schemas.openxmlformats.org/drawingml/2006/main">
          <a:off x="1671745" y="1136560"/>
          <a:ext cx="762060"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D941814-12F0-43E4-8B57-564742CA54B9}"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0.61059</cdr:x>
      <cdr:y>0.46908</cdr:y>
    </cdr:from>
    <cdr:to>
      <cdr:x>0.97459</cdr:x>
      <cdr:y>0.62345</cdr:y>
    </cdr:to>
    <cdr:sp macro="" textlink="'結果(改修前)'!$X$41">
      <cdr:nvSpPr>
        <cdr:cNvPr id="70662" name="Text Box 6"/>
        <cdr:cNvSpPr txBox="1">
          <a:spLocks xmlns:a="http://schemas.openxmlformats.org/drawingml/2006/main" noChangeArrowheads="1" noTextEdit="1"/>
        </cdr:cNvSpPr>
      </cdr:nvSpPr>
      <cdr:spPr bwMode="auto">
        <a:xfrm xmlns:a="http://schemas.openxmlformats.org/drawingml/2006/main">
          <a:off x="1521127" y="802944"/>
          <a:ext cx="904908" cy="2631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95F176C-01DC-4B4D-A2A4-2F8D55DB4BF7}"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38100</xdr:colOff>
      <xdr:row>84</xdr:row>
      <xdr:rowOff>85725</xdr:rowOff>
    </xdr:from>
    <xdr:to>
      <xdr:col>14</xdr:col>
      <xdr:colOff>866775</xdr:colOff>
      <xdr:row>89</xdr:row>
      <xdr:rowOff>104775</xdr:rowOff>
    </xdr:to>
    <xdr:sp macro="" textlink="">
      <xdr:nvSpPr>
        <xdr:cNvPr id="26658" name="Text Box 141"/>
        <xdr:cNvSpPr txBox="1">
          <a:spLocks noChangeArrowheads="1"/>
        </xdr:cNvSpPr>
      </xdr:nvSpPr>
      <xdr:spPr bwMode="auto">
        <a:xfrm>
          <a:off x="38100" y="17573625"/>
          <a:ext cx="10029825" cy="847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7</xdr:col>
      <xdr:colOff>171450</xdr:colOff>
      <xdr:row>41</xdr:row>
      <xdr:rowOff>38100</xdr:rowOff>
    </xdr:from>
    <xdr:to>
      <xdr:col>10</xdr:col>
      <xdr:colOff>790575</xdr:colOff>
      <xdr:row>49</xdr:row>
      <xdr:rowOff>123825</xdr:rowOff>
    </xdr:to>
    <xdr:graphicFrame macro="">
      <xdr:nvGraphicFramePr>
        <xdr:cNvPr id="2662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52</xdr:row>
      <xdr:rowOff>66675</xdr:rowOff>
    </xdr:from>
    <xdr:to>
      <xdr:col>14</xdr:col>
      <xdr:colOff>638175</xdr:colOff>
      <xdr:row>60</xdr:row>
      <xdr:rowOff>104775</xdr:rowOff>
    </xdr:to>
    <xdr:graphicFrame macro="">
      <xdr:nvGraphicFramePr>
        <xdr:cNvPr id="26626"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171450</xdr:colOff>
      <xdr:row>41</xdr:row>
      <xdr:rowOff>28575</xdr:rowOff>
    </xdr:from>
    <xdr:to>
      <xdr:col>14</xdr:col>
      <xdr:colOff>647700</xdr:colOff>
      <xdr:row>49</xdr:row>
      <xdr:rowOff>123825</xdr:rowOff>
    </xdr:to>
    <xdr:graphicFrame macro="">
      <xdr:nvGraphicFramePr>
        <xdr:cNvPr id="2662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190500</xdr:colOff>
      <xdr:row>52</xdr:row>
      <xdr:rowOff>57150</xdr:rowOff>
    </xdr:from>
    <xdr:to>
      <xdr:col>10</xdr:col>
      <xdr:colOff>819150</xdr:colOff>
      <xdr:row>60</xdr:row>
      <xdr:rowOff>85725</xdr:rowOff>
    </xdr:to>
    <xdr:graphicFrame macro="">
      <xdr:nvGraphicFramePr>
        <xdr:cNvPr id="26628"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52</xdr:row>
      <xdr:rowOff>57150</xdr:rowOff>
    </xdr:from>
    <xdr:to>
      <xdr:col>7</xdr:col>
      <xdr:colOff>28575</xdr:colOff>
      <xdr:row>60</xdr:row>
      <xdr:rowOff>85725</xdr:rowOff>
    </xdr:to>
    <xdr:graphicFrame macro="">
      <xdr:nvGraphicFramePr>
        <xdr:cNvPr id="26629"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38100</xdr:rowOff>
    </xdr:from>
    <xdr:to>
      <xdr:col>7</xdr:col>
      <xdr:colOff>28575</xdr:colOff>
      <xdr:row>49</xdr:row>
      <xdr:rowOff>95250</xdr:rowOff>
    </xdr:to>
    <xdr:graphicFrame macro="">
      <xdr:nvGraphicFramePr>
        <xdr:cNvPr id="266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12</xdr:col>
      <xdr:colOff>762000</xdr:colOff>
      <xdr:row>40</xdr:row>
      <xdr:rowOff>180975</xdr:rowOff>
    </xdr:from>
    <xdr:ext cx="779957" cy="201850"/>
    <xdr:sp macro="" textlink="">
      <xdr:nvSpPr>
        <xdr:cNvPr id="5255" name="Text Box 135"/>
        <xdr:cNvSpPr txBox="1">
          <a:spLocks noChangeArrowheads="1"/>
        </xdr:cNvSpPr>
      </xdr:nvSpPr>
      <xdr:spPr bwMode="auto">
        <a:xfrm>
          <a:off x="830580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12</xdr:col>
      <xdr:colOff>676275</xdr:colOff>
      <xdr:row>51</xdr:row>
      <xdr:rowOff>180975</xdr:rowOff>
    </xdr:from>
    <xdr:ext cx="845040" cy="201850"/>
    <xdr:sp macro="" textlink="">
      <xdr:nvSpPr>
        <xdr:cNvPr id="5256" name="Text Box 136"/>
        <xdr:cNvSpPr txBox="1">
          <a:spLocks noChangeArrowheads="1"/>
        </xdr:cNvSpPr>
      </xdr:nvSpPr>
      <xdr:spPr bwMode="auto">
        <a:xfrm>
          <a:off x="8220075" y="99822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447675</xdr:colOff>
      <xdr:row>51</xdr:row>
      <xdr:rowOff>180975</xdr:rowOff>
    </xdr:from>
    <xdr:ext cx="845040" cy="201850"/>
    <xdr:sp macro="" textlink="">
      <xdr:nvSpPr>
        <xdr:cNvPr id="5257" name="Text Box 137"/>
        <xdr:cNvSpPr txBox="1">
          <a:spLocks noChangeArrowheads="1"/>
        </xdr:cNvSpPr>
      </xdr:nvSpPr>
      <xdr:spPr bwMode="auto">
        <a:xfrm>
          <a:off x="4791075" y="99822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514350</xdr:colOff>
      <xdr:row>40</xdr:row>
      <xdr:rowOff>180975</xdr:rowOff>
    </xdr:from>
    <xdr:ext cx="779957" cy="201850"/>
    <xdr:sp macro="" textlink="">
      <xdr:nvSpPr>
        <xdr:cNvPr id="5258" name="Text Box 138"/>
        <xdr:cNvSpPr txBox="1">
          <a:spLocks noChangeArrowheads="1"/>
        </xdr:cNvSpPr>
      </xdr:nvSpPr>
      <xdr:spPr bwMode="auto">
        <a:xfrm>
          <a:off x="485775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40</xdr:row>
      <xdr:rowOff>180975</xdr:rowOff>
    </xdr:from>
    <xdr:ext cx="779957" cy="201850"/>
    <xdr:sp macro="" textlink="">
      <xdr:nvSpPr>
        <xdr:cNvPr id="5259" name="Text Box 139"/>
        <xdr:cNvSpPr txBox="1">
          <a:spLocks noChangeArrowheads="1"/>
        </xdr:cNvSpPr>
      </xdr:nvSpPr>
      <xdr:spPr bwMode="auto">
        <a:xfrm>
          <a:off x="190500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228600</xdr:colOff>
      <xdr:row>51</xdr:row>
      <xdr:rowOff>142875</xdr:rowOff>
    </xdr:from>
    <xdr:ext cx="845040" cy="201850"/>
    <xdr:sp macro="" textlink="">
      <xdr:nvSpPr>
        <xdr:cNvPr id="5260" name="Text Box 140"/>
        <xdr:cNvSpPr txBox="1">
          <a:spLocks noChangeArrowheads="1"/>
        </xdr:cNvSpPr>
      </xdr:nvSpPr>
      <xdr:spPr bwMode="auto">
        <a:xfrm>
          <a:off x="1876425" y="9944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171450</xdr:colOff>
      <xdr:row>71</xdr:row>
      <xdr:rowOff>19050</xdr:rowOff>
    </xdr:from>
    <xdr:to>
      <xdr:col>6</xdr:col>
      <xdr:colOff>47625</xdr:colOff>
      <xdr:row>84</xdr:row>
      <xdr:rowOff>19050</xdr:rowOff>
    </xdr:to>
    <xdr:graphicFrame macro="">
      <xdr:nvGraphicFramePr>
        <xdr:cNvPr id="26657"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xdr:col>
      <xdr:colOff>0</xdr:colOff>
      <xdr:row>25</xdr:row>
      <xdr:rowOff>38100</xdr:rowOff>
    </xdr:from>
    <xdr:ext cx="3009900" cy="200025"/>
    <xdr:sp macro="" textlink="">
      <xdr:nvSpPr>
        <xdr:cNvPr id="26631" name="Text Box 129"/>
        <xdr:cNvSpPr txBox="1">
          <a:spLocks noChangeArrowheads="1"/>
        </xdr:cNvSpPr>
      </xdr:nvSpPr>
      <xdr:spPr bwMode="auto">
        <a:xfrm>
          <a:off x="219075" y="4610100"/>
          <a:ext cx="3009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oneCellAnchor>
  <xdr:twoCellAnchor>
    <xdr:from>
      <xdr:col>3</xdr:col>
      <xdr:colOff>285750</xdr:colOff>
      <xdr:row>21</xdr:row>
      <xdr:rowOff>180975</xdr:rowOff>
    </xdr:from>
    <xdr:to>
      <xdr:col>6</xdr:col>
      <xdr:colOff>400050</xdr:colOff>
      <xdr:row>24</xdr:row>
      <xdr:rowOff>9525</xdr:rowOff>
    </xdr:to>
    <xdr:graphicFrame macro="">
      <xdr:nvGraphicFramePr>
        <xdr:cNvPr id="26645"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285750</xdr:colOff>
      <xdr:row>23</xdr:row>
      <xdr:rowOff>123825</xdr:rowOff>
    </xdr:from>
    <xdr:to>
      <xdr:col>6</xdr:col>
      <xdr:colOff>419100</xdr:colOff>
      <xdr:row>25</xdr:row>
      <xdr:rowOff>57150</xdr:rowOff>
    </xdr:to>
    <xdr:graphicFrame macro="">
      <xdr:nvGraphicFramePr>
        <xdr:cNvPr id="26646"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180975</xdr:colOff>
      <xdr:row>25</xdr:row>
      <xdr:rowOff>171450</xdr:rowOff>
    </xdr:from>
    <xdr:to>
      <xdr:col>6</xdr:col>
      <xdr:colOff>85725</xdr:colOff>
      <xdr:row>37</xdr:row>
      <xdr:rowOff>85725</xdr:rowOff>
    </xdr:to>
    <xdr:graphicFrame macro="">
      <xdr:nvGraphicFramePr>
        <xdr:cNvPr id="2664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733425</xdr:colOff>
      <xdr:row>36</xdr:row>
      <xdr:rowOff>219075</xdr:rowOff>
    </xdr:from>
    <xdr:to>
      <xdr:col>3</xdr:col>
      <xdr:colOff>400050</xdr:colOff>
      <xdr:row>38</xdr:row>
      <xdr:rowOff>0</xdr:rowOff>
    </xdr:to>
    <xdr:sp macro="" textlink="">
      <xdr:nvSpPr>
        <xdr:cNvPr id="26648" name="Text Box 138"/>
        <xdr:cNvSpPr txBox="1">
          <a:spLocks noChangeArrowheads="1"/>
        </xdr:cNvSpPr>
      </xdr:nvSpPr>
      <xdr:spPr bwMode="auto">
        <a:xfrm>
          <a:off x="952500" y="699135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ctr" rtl="0">
            <a:defRPr sz="1000"/>
          </a:pPr>
          <a:r>
            <a:rPr lang="ja-JP" altLang="en-US"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Arial"/>
              <a:ea typeface="ＭＳ Ｐゴシック"/>
              <a:cs typeface="Arial"/>
            </a:rPr>
            <a:t>BEE=</a:t>
          </a:r>
          <a:endParaRPr lang="ja-JP" altLang="en-US" sz="1100" b="1" i="0" u="none" strike="noStrike" baseline="0">
            <a:solidFill>
              <a:srgbClr val="000000"/>
            </a:solidFill>
            <a:latin typeface="Arial"/>
            <a:cs typeface="Arial"/>
          </a:endParaRPr>
        </a:p>
      </xdr:txBody>
    </xdr:sp>
    <xdr:clientData/>
  </xdr:twoCellAnchor>
  <xdr:twoCellAnchor>
    <xdr:from>
      <xdr:col>10</xdr:col>
      <xdr:colOff>866775</xdr:colOff>
      <xdr:row>23</xdr:row>
      <xdr:rowOff>114300</xdr:rowOff>
    </xdr:from>
    <xdr:to>
      <xdr:col>16</xdr:col>
      <xdr:colOff>9525</xdr:colOff>
      <xdr:row>37</xdr:row>
      <xdr:rowOff>152400</xdr:rowOff>
    </xdr:to>
    <xdr:graphicFrame macro="">
      <xdr:nvGraphicFramePr>
        <xdr:cNvPr id="26649"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3</xdr:col>
      <xdr:colOff>390525</xdr:colOff>
      <xdr:row>21</xdr:row>
      <xdr:rowOff>152400</xdr:rowOff>
    </xdr:from>
    <xdr:ext cx="0" cy="171450"/>
    <xdr:sp macro="" textlink="">
      <xdr:nvSpPr>
        <xdr:cNvPr id="26652" name="Text Box 28"/>
        <xdr:cNvSpPr txBox="1">
          <a:spLocks noChangeArrowheads="1"/>
        </xdr:cNvSpPr>
      </xdr:nvSpPr>
      <xdr:spPr bwMode="auto">
        <a:xfrm>
          <a:off x="1628775" y="3829050"/>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390525</xdr:colOff>
      <xdr:row>21</xdr:row>
      <xdr:rowOff>152400</xdr:rowOff>
    </xdr:from>
    <xdr:ext cx="0" cy="171450"/>
    <xdr:sp macro="" textlink="">
      <xdr:nvSpPr>
        <xdr:cNvPr id="26653" name="Text Box 29"/>
        <xdr:cNvSpPr txBox="1">
          <a:spLocks noChangeArrowheads="1"/>
        </xdr:cNvSpPr>
      </xdr:nvSpPr>
      <xdr:spPr bwMode="auto">
        <a:xfrm>
          <a:off x="1628775" y="3829050"/>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390525</xdr:colOff>
      <xdr:row>21</xdr:row>
      <xdr:rowOff>104775</xdr:rowOff>
    </xdr:from>
    <xdr:ext cx="0" cy="171450"/>
    <xdr:sp macro="" textlink="">
      <xdr:nvSpPr>
        <xdr:cNvPr id="26654" name="Text Box 30"/>
        <xdr:cNvSpPr txBox="1">
          <a:spLocks noChangeArrowheads="1"/>
        </xdr:cNvSpPr>
      </xdr:nvSpPr>
      <xdr:spPr bwMode="auto">
        <a:xfrm>
          <a:off x="1628775" y="3781425"/>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xdr:col>
      <xdr:colOff>38100</xdr:colOff>
      <xdr:row>22</xdr:row>
      <xdr:rowOff>104775</xdr:rowOff>
    </xdr:from>
    <xdr:to>
      <xdr:col>2</xdr:col>
      <xdr:colOff>904875</xdr:colOff>
      <xdr:row>23</xdr:row>
      <xdr:rowOff>219075</xdr:rowOff>
    </xdr:to>
    <xdr:sp macro="" textlink="">
      <xdr:nvSpPr>
        <xdr:cNvPr id="26655" name="Text Box 31"/>
        <xdr:cNvSpPr txBox="1">
          <a:spLocks noChangeArrowheads="1"/>
        </xdr:cNvSpPr>
      </xdr:nvSpPr>
      <xdr:spPr bwMode="auto">
        <a:xfrm>
          <a:off x="95250" y="4029075"/>
          <a:ext cx="1028700" cy="25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ja-JP" altLang="en-US" sz="1200" b="0" i="0" u="none" strike="noStrike" baseline="0">
              <a:solidFill>
                <a:srgbClr val="000000"/>
              </a:solidFill>
              <a:latin typeface="Arial"/>
              <a:ea typeface="ＭＳ Ｐゴシック"/>
              <a:cs typeface="Arial"/>
            </a:rPr>
            <a:t> BEE=</a:t>
          </a:r>
          <a:endParaRPr lang="ja-JP" altLang="en-US" sz="1200" b="0" i="0" u="none" strike="noStrike" baseline="0">
            <a:solidFill>
              <a:srgbClr val="000000"/>
            </a:solidFill>
            <a:latin typeface="Arial"/>
            <a:cs typeface="Arial"/>
          </a:endParaRPr>
        </a:p>
      </xdr:txBody>
    </xdr:sp>
    <xdr:clientData/>
  </xdr:twoCellAnchor>
  <xdr:twoCellAnchor>
    <xdr:from>
      <xdr:col>1</xdr:col>
      <xdr:colOff>38100</xdr:colOff>
      <xdr:row>23</xdr:row>
      <xdr:rowOff>266700</xdr:rowOff>
    </xdr:from>
    <xdr:to>
      <xdr:col>2</xdr:col>
      <xdr:colOff>904875</xdr:colOff>
      <xdr:row>25</xdr:row>
      <xdr:rowOff>47625</xdr:rowOff>
    </xdr:to>
    <xdr:sp macro="" textlink="">
      <xdr:nvSpPr>
        <xdr:cNvPr id="26656" name="Text Box 32"/>
        <xdr:cNvSpPr txBox="1">
          <a:spLocks noChangeArrowheads="1"/>
        </xdr:cNvSpPr>
      </xdr:nvSpPr>
      <xdr:spPr bwMode="auto">
        <a:xfrm>
          <a:off x="95250" y="4333875"/>
          <a:ext cx="102870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ja-JP" altLang="en-US" sz="1200" b="0" i="0" u="none" strike="noStrike" baseline="0">
              <a:solidFill>
                <a:srgbClr val="000000"/>
              </a:solidFill>
              <a:latin typeface="Arial"/>
              <a:ea typeface="ＭＳ Ｐゴシック"/>
              <a:cs typeface="Arial"/>
            </a:rPr>
            <a:t> BEE=</a:t>
          </a:r>
          <a:endParaRPr lang="ja-JP" altLang="en-US" sz="1200" b="0" i="0" u="none" strike="noStrike" baseline="0">
            <a:solidFill>
              <a:srgbClr val="000000"/>
            </a:solidFill>
            <a:latin typeface="Arial"/>
            <a:cs typeface="Arial"/>
          </a:endParaRPr>
        </a:p>
      </xdr:txBody>
    </xdr:sp>
    <xdr:clientData/>
  </xdr:twoCellAnchor>
  <xdr:twoCellAnchor>
    <xdr:from>
      <xdr:col>7</xdr:col>
      <xdr:colOff>952500</xdr:colOff>
      <xdr:row>23</xdr:row>
      <xdr:rowOff>95250</xdr:rowOff>
    </xdr:from>
    <xdr:to>
      <xdr:col>10</xdr:col>
      <xdr:colOff>428625</xdr:colOff>
      <xdr:row>25</xdr:row>
      <xdr:rowOff>66675</xdr:rowOff>
    </xdr:to>
    <xdr:graphicFrame macro="">
      <xdr:nvGraphicFramePr>
        <xdr:cNvPr id="2666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942975</xdr:colOff>
      <xdr:row>21</xdr:row>
      <xdr:rowOff>200025</xdr:rowOff>
    </xdr:from>
    <xdr:to>
      <xdr:col>10</xdr:col>
      <xdr:colOff>428625</xdr:colOff>
      <xdr:row>24</xdr:row>
      <xdr:rowOff>0</xdr:rowOff>
    </xdr:to>
    <xdr:graphicFrame macro="">
      <xdr:nvGraphicFramePr>
        <xdr:cNvPr id="26666"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10</xdr:col>
      <xdr:colOff>114300</xdr:colOff>
      <xdr:row>34</xdr:row>
      <xdr:rowOff>66675</xdr:rowOff>
    </xdr:from>
    <xdr:ext cx="800100" cy="171450"/>
    <xdr:sp macro="" textlink="">
      <xdr:nvSpPr>
        <xdr:cNvPr id="26669" name="Text Box 134"/>
        <xdr:cNvSpPr txBox="1">
          <a:spLocks noChangeArrowheads="1"/>
        </xdr:cNvSpPr>
      </xdr:nvSpPr>
      <xdr:spPr bwMode="auto">
        <a:xfrm>
          <a:off x="5924550" y="6457950"/>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171450</xdr:colOff>
      <xdr:row>25</xdr:row>
      <xdr:rowOff>57150</xdr:rowOff>
    </xdr:from>
    <xdr:ext cx="3114675" cy="152400"/>
    <xdr:sp macro="" textlink="">
      <xdr:nvSpPr>
        <xdr:cNvPr id="26670" name="Text Box 129"/>
        <xdr:cNvSpPr txBox="1">
          <a:spLocks noChangeArrowheads="1"/>
        </xdr:cNvSpPr>
      </xdr:nvSpPr>
      <xdr:spPr bwMode="auto">
        <a:xfrm>
          <a:off x="3533775" y="4629150"/>
          <a:ext cx="31146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38100</xdr:colOff>
      <xdr:row>27</xdr:row>
      <xdr:rowOff>114300</xdr:rowOff>
    </xdr:from>
    <xdr:to>
      <xdr:col>8</xdr:col>
      <xdr:colOff>228600</xdr:colOff>
      <xdr:row>30</xdr:row>
      <xdr:rowOff>19050</xdr:rowOff>
    </xdr:to>
    <xdr:sp macro="" textlink="">
      <xdr:nvSpPr>
        <xdr:cNvPr id="26671" name="Text Box 131"/>
        <xdr:cNvSpPr txBox="1">
          <a:spLocks noChangeArrowheads="1"/>
        </xdr:cNvSpPr>
      </xdr:nvSpPr>
      <xdr:spPr bwMode="auto">
        <a:xfrm>
          <a:off x="3400425" y="5105400"/>
          <a:ext cx="1171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③建築物の取組み</a:t>
          </a:r>
        </a:p>
        <a:p>
          <a:pPr algn="l" rtl="0">
            <a:defRPr sz="1000"/>
          </a:pPr>
          <a:r>
            <a:rPr lang="ja-JP" altLang="en-US" sz="800" b="0" i="0" u="none" strike="noStrike" baseline="0">
              <a:solidFill>
                <a:srgbClr val="000000"/>
              </a:solidFill>
              <a:latin typeface="ＭＳ ゴシック"/>
              <a:ea typeface="ＭＳ ゴシック"/>
            </a:rPr>
            <a:t>　＋それ以外の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152400</xdr:colOff>
      <xdr:row>22</xdr:row>
      <xdr:rowOff>123825</xdr:rowOff>
    </xdr:from>
    <xdr:to>
      <xdr:col>7</xdr:col>
      <xdr:colOff>809625</xdr:colOff>
      <xdr:row>23</xdr:row>
      <xdr:rowOff>238125</xdr:rowOff>
    </xdr:to>
    <xdr:sp macro="" textlink="">
      <xdr:nvSpPr>
        <xdr:cNvPr id="26676" name="Text Box 52"/>
        <xdr:cNvSpPr txBox="1">
          <a:spLocks noChangeArrowheads="1"/>
        </xdr:cNvSpPr>
      </xdr:nvSpPr>
      <xdr:spPr bwMode="auto">
        <a:xfrm>
          <a:off x="3514725" y="4048125"/>
          <a:ext cx="657225" cy="25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ja-JP" altLang="en-US" sz="1200" b="0" i="0" u="none" strike="noStrike" baseline="0">
              <a:solidFill>
                <a:srgbClr val="000000"/>
              </a:solidFill>
              <a:latin typeface="Arial"/>
              <a:ea typeface="ＭＳ Ｐゴシック"/>
              <a:cs typeface="Arial"/>
            </a:rPr>
            <a:t>=</a:t>
          </a:r>
          <a:endParaRPr lang="ja-JP" altLang="en-US" sz="1200" b="0" i="0" u="none" strike="noStrike" baseline="0">
            <a:solidFill>
              <a:srgbClr val="000000"/>
            </a:solidFill>
            <a:latin typeface="Arial"/>
            <a:cs typeface="Arial"/>
          </a:endParaRPr>
        </a:p>
      </xdr:txBody>
    </xdr:sp>
    <xdr:clientData/>
  </xdr:twoCellAnchor>
  <xdr:twoCellAnchor>
    <xdr:from>
      <xdr:col>7</xdr:col>
      <xdr:colOff>142875</xdr:colOff>
      <xdr:row>23</xdr:row>
      <xdr:rowOff>266700</xdr:rowOff>
    </xdr:from>
    <xdr:to>
      <xdr:col>7</xdr:col>
      <xdr:colOff>800100</xdr:colOff>
      <xdr:row>25</xdr:row>
      <xdr:rowOff>47625</xdr:rowOff>
    </xdr:to>
    <xdr:sp macro="" textlink="">
      <xdr:nvSpPr>
        <xdr:cNvPr id="26677" name="Text Box 53"/>
        <xdr:cNvSpPr txBox="1">
          <a:spLocks noChangeArrowheads="1"/>
        </xdr:cNvSpPr>
      </xdr:nvSpPr>
      <xdr:spPr bwMode="auto">
        <a:xfrm>
          <a:off x="3505200" y="4333875"/>
          <a:ext cx="6572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ja-JP" altLang="en-US" sz="1200" b="0" i="0" u="none" strike="noStrike" baseline="0">
              <a:solidFill>
                <a:srgbClr val="000000"/>
              </a:solidFill>
              <a:latin typeface="Arial"/>
              <a:ea typeface="ＭＳ Ｐゴシック"/>
              <a:cs typeface="Arial"/>
            </a:rPr>
            <a:t>=</a:t>
          </a:r>
          <a:endParaRPr lang="ja-JP" altLang="en-US" sz="1200" b="0" i="0" u="none" strike="noStrike" baseline="0">
            <a:solidFill>
              <a:srgbClr val="000000"/>
            </a:solidFill>
            <a:latin typeface="Arial"/>
            <a:cs typeface="Arial"/>
          </a:endParaRPr>
        </a:p>
      </xdr:txBody>
    </xdr:sp>
    <xdr:clientData/>
  </xdr:twoCellAnchor>
  <xdr:twoCellAnchor>
    <xdr:from>
      <xdr:col>8</xdr:col>
      <xdr:colOff>295275</xdr:colOff>
      <xdr:row>26</xdr:row>
      <xdr:rowOff>28575</xdr:rowOff>
    </xdr:from>
    <xdr:to>
      <xdr:col>11</xdr:col>
      <xdr:colOff>19050</xdr:colOff>
      <xdr:row>35</xdr:row>
      <xdr:rowOff>9525</xdr:rowOff>
    </xdr:to>
    <xdr:graphicFrame macro="">
      <xdr:nvGraphicFramePr>
        <xdr:cNvPr id="2668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38100</xdr:colOff>
      <xdr:row>30</xdr:row>
      <xdr:rowOff>161925</xdr:rowOff>
    </xdr:from>
    <xdr:to>
      <xdr:col>8</xdr:col>
      <xdr:colOff>342900</xdr:colOff>
      <xdr:row>32</xdr:row>
      <xdr:rowOff>28575</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8</xdr:col>
      <xdr:colOff>47625</xdr:colOff>
      <xdr:row>27</xdr:row>
      <xdr:rowOff>114300</xdr:rowOff>
    </xdr:from>
    <xdr:to>
      <xdr:col>8</xdr:col>
      <xdr:colOff>495300</xdr:colOff>
      <xdr:row>30</xdr:row>
      <xdr:rowOff>28575</xdr:rowOff>
    </xdr:to>
    <xdr:sp macro="" textlink="">
      <xdr:nvSpPr>
        <xdr:cNvPr id="26691" name="Text Box 49"/>
        <xdr:cNvSpPr txBox="1">
          <a:spLocks noChangeArrowheads="1"/>
        </xdr:cNvSpPr>
      </xdr:nvSpPr>
      <xdr:spPr bwMode="auto">
        <a:xfrm>
          <a:off x="4391025" y="5105400"/>
          <a:ext cx="447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8</xdr:col>
      <xdr:colOff>38100</xdr:colOff>
      <xdr:row>30</xdr:row>
      <xdr:rowOff>104775</xdr:rowOff>
    </xdr:from>
    <xdr:to>
      <xdr:col>8</xdr:col>
      <xdr:colOff>485775</xdr:colOff>
      <xdr:row>33</xdr:row>
      <xdr:rowOff>19050</xdr:rowOff>
    </xdr:to>
    <xdr:sp macro="" textlink="">
      <xdr:nvSpPr>
        <xdr:cNvPr id="26692" name="Text Box 49"/>
        <xdr:cNvSpPr txBox="1">
          <a:spLocks noChangeArrowheads="1"/>
        </xdr:cNvSpPr>
      </xdr:nvSpPr>
      <xdr:spPr bwMode="auto">
        <a:xfrm>
          <a:off x="4381500" y="5695950"/>
          <a:ext cx="447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2</xdr:col>
      <xdr:colOff>190500</xdr:colOff>
      <xdr:row>48</xdr:row>
      <xdr:rowOff>104775</xdr:rowOff>
    </xdr:from>
    <xdr:to>
      <xdr:col>2</xdr:col>
      <xdr:colOff>676275</xdr:colOff>
      <xdr:row>49</xdr:row>
      <xdr:rowOff>57150</xdr:rowOff>
    </xdr:to>
    <xdr:sp macro="" textlink="">
      <xdr:nvSpPr>
        <xdr:cNvPr id="26693" name="Text Box 20"/>
        <xdr:cNvSpPr txBox="1">
          <a:spLocks noChangeArrowheads="1"/>
        </xdr:cNvSpPr>
      </xdr:nvSpPr>
      <xdr:spPr bwMode="auto">
        <a:xfrm>
          <a:off x="409575" y="9296400"/>
          <a:ext cx="485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666750</xdr:colOff>
      <xdr:row>48</xdr:row>
      <xdr:rowOff>104775</xdr:rowOff>
    </xdr:from>
    <xdr:to>
      <xdr:col>8</xdr:col>
      <xdr:colOff>190500</xdr:colOff>
      <xdr:row>49</xdr:row>
      <xdr:rowOff>57150</xdr:rowOff>
    </xdr:to>
    <xdr:sp macro="" textlink="">
      <xdr:nvSpPr>
        <xdr:cNvPr id="26694" name="Text Box 21"/>
        <xdr:cNvSpPr txBox="1">
          <a:spLocks noChangeArrowheads="1"/>
        </xdr:cNvSpPr>
      </xdr:nvSpPr>
      <xdr:spPr bwMode="auto">
        <a:xfrm>
          <a:off x="4029075" y="9296400"/>
          <a:ext cx="5048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581025</xdr:colOff>
      <xdr:row>48</xdr:row>
      <xdr:rowOff>114300</xdr:rowOff>
    </xdr:from>
    <xdr:ext cx="410369" cy="133370"/>
    <xdr:sp macro="" textlink="">
      <xdr:nvSpPr>
        <xdr:cNvPr id="5142" name="Text Box 22"/>
        <xdr:cNvSpPr txBox="1">
          <a:spLocks noChangeArrowheads="1"/>
        </xdr:cNvSpPr>
      </xdr:nvSpPr>
      <xdr:spPr bwMode="auto">
        <a:xfrm>
          <a:off x="7296150" y="9305925"/>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9</xdr:col>
      <xdr:colOff>57150</xdr:colOff>
      <xdr:row>48</xdr:row>
      <xdr:rowOff>57150</xdr:rowOff>
    </xdr:from>
    <xdr:to>
      <xdr:col>9</xdr:col>
      <xdr:colOff>552450</xdr:colOff>
      <xdr:row>49</xdr:row>
      <xdr:rowOff>133350</xdr:rowOff>
    </xdr:to>
    <xdr:sp macro="" textlink="">
      <xdr:nvSpPr>
        <xdr:cNvPr id="26696" name="Text Box 107"/>
        <xdr:cNvSpPr txBox="1">
          <a:spLocks noChangeArrowheads="1"/>
        </xdr:cNvSpPr>
      </xdr:nvSpPr>
      <xdr:spPr bwMode="auto">
        <a:xfrm>
          <a:off x="4943475" y="9248775"/>
          <a:ext cx="495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38100</xdr:colOff>
      <xdr:row>48</xdr:row>
      <xdr:rowOff>57150</xdr:rowOff>
    </xdr:from>
    <xdr:to>
      <xdr:col>10</xdr:col>
      <xdr:colOff>542925</xdr:colOff>
      <xdr:row>49</xdr:row>
      <xdr:rowOff>133350</xdr:rowOff>
    </xdr:to>
    <xdr:sp macro="" textlink="">
      <xdr:nvSpPr>
        <xdr:cNvPr id="26697" name="Text Box 108"/>
        <xdr:cNvSpPr txBox="1">
          <a:spLocks noChangeArrowheads="1"/>
        </xdr:cNvSpPr>
      </xdr:nvSpPr>
      <xdr:spPr bwMode="auto">
        <a:xfrm>
          <a:off x="5848350" y="9248775"/>
          <a:ext cx="5048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495300</xdr:colOff>
      <xdr:row>48</xdr:row>
      <xdr:rowOff>57150</xdr:rowOff>
    </xdr:from>
    <xdr:to>
      <xdr:col>13</xdr:col>
      <xdr:colOff>142875</xdr:colOff>
      <xdr:row>49</xdr:row>
      <xdr:rowOff>133350</xdr:rowOff>
    </xdr:to>
    <xdr:sp macro="" textlink="">
      <xdr:nvSpPr>
        <xdr:cNvPr id="26698" name="Text Box 109"/>
        <xdr:cNvSpPr txBox="1">
          <a:spLocks noChangeArrowheads="1"/>
        </xdr:cNvSpPr>
      </xdr:nvSpPr>
      <xdr:spPr bwMode="auto">
        <a:xfrm>
          <a:off x="8039100" y="9248775"/>
          <a:ext cx="552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523875</xdr:colOff>
      <xdr:row>48</xdr:row>
      <xdr:rowOff>57150</xdr:rowOff>
    </xdr:from>
    <xdr:to>
      <xdr:col>14</xdr:col>
      <xdr:colOff>400050</xdr:colOff>
      <xdr:row>49</xdr:row>
      <xdr:rowOff>133350</xdr:rowOff>
    </xdr:to>
    <xdr:sp macro="" textlink="">
      <xdr:nvSpPr>
        <xdr:cNvPr id="26699" name="Text Box 110"/>
        <xdr:cNvSpPr txBox="1">
          <a:spLocks noChangeArrowheads="1"/>
        </xdr:cNvSpPr>
      </xdr:nvSpPr>
      <xdr:spPr bwMode="auto">
        <a:xfrm>
          <a:off x="8972550" y="9248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904875</xdr:colOff>
      <xdr:row>48</xdr:row>
      <xdr:rowOff>114300</xdr:rowOff>
    </xdr:from>
    <xdr:to>
      <xdr:col>4</xdr:col>
      <xdr:colOff>47625</xdr:colOff>
      <xdr:row>49</xdr:row>
      <xdr:rowOff>38100</xdr:rowOff>
    </xdr:to>
    <xdr:sp macro="" textlink="">
      <xdr:nvSpPr>
        <xdr:cNvPr id="26700" name="Text Box 142"/>
        <xdr:cNvSpPr txBox="1">
          <a:spLocks noChangeArrowheads="1"/>
        </xdr:cNvSpPr>
      </xdr:nvSpPr>
      <xdr:spPr bwMode="auto">
        <a:xfrm>
          <a:off x="1123950" y="9305925"/>
          <a:ext cx="571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285750</xdr:colOff>
      <xdr:row>48</xdr:row>
      <xdr:rowOff>114300</xdr:rowOff>
    </xdr:from>
    <xdr:ext cx="660117" cy="133370"/>
    <xdr:sp macro="" textlink="">
      <xdr:nvSpPr>
        <xdr:cNvPr id="5263" name="Text Box 143"/>
        <xdr:cNvSpPr txBox="1">
          <a:spLocks noChangeArrowheads="1"/>
        </xdr:cNvSpPr>
      </xdr:nvSpPr>
      <xdr:spPr bwMode="auto">
        <a:xfrm>
          <a:off x="1933575" y="930592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142875</xdr:colOff>
      <xdr:row>48</xdr:row>
      <xdr:rowOff>104775</xdr:rowOff>
    </xdr:from>
    <xdr:to>
      <xdr:col>6</xdr:col>
      <xdr:colOff>371475</xdr:colOff>
      <xdr:row>49</xdr:row>
      <xdr:rowOff>57150</xdr:rowOff>
    </xdr:to>
    <xdr:sp macro="" textlink="">
      <xdr:nvSpPr>
        <xdr:cNvPr id="26702" name="Text Box 144"/>
        <xdr:cNvSpPr txBox="1">
          <a:spLocks noChangeArrowheads="1"/>
        </xdr:cNvSpPr>
      </xdr:nvSpPr>
      <xdr:spPr bwMode="auto">
        <a:xfrm>
          <a:off x="2533650" y="9296400"/>
          <a:ext cx="704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7</xdr:col>
      <xdr:colOff>657225</xdr:colOff>
      <xdr:row>59</xdr:row>
      <xdr:rowOff>57150</xdr:rowOff>
    </xdr:from>
    <xdr:to>
      <xdr:col>8</xdr:col>
      <xdr:colOff>228600</xdr:colOff>
      <xdr:row>60</xdr:row>
      <xdr:rowOff>133350</xdr:rowOff>
    </xdr:to>
    <xdr:sp macro="" textlink="">
      <xdr:nvSpPr>
        <xdr:cNvPr id="26703" name="Text Box 7"/>
        <xdr:cNvSpPr txBox="1">
          <a:spLocks noChangeArrowheads="1"/>
        </xdr:cNvSpPr>
      </xdr:nvSpPr>
      <xdr:spPr bwMode="auto">
        <a:xfrm>
          <a:off x="4019550" y="11420475"/>
          <a:ext cx="5524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9</xdr:col>
      <xdr:colOff>9525</xdr:colOff>
      <xdr:row>59</xdr:row>
      <xdr:rowOff>57150</xdr:rowOff>
    </xdr:from>
    <xdr:to>
      <xdr:col>9</xdr:col>
      <xdr:colOff>714375</xdr:colOff>
      <xdr:row>60</xdr:row>
      <xdr:rowOff>133350</xdr:rowOff>
    </xdr:to>
    <xdr:sp macro="" textlink="">
      <xdr:nvSpPr>
        <xdr:cNvPr id="26704" name="Text Box 104"/>
        <xdr:cNvSpPr txBox="1">
          <a:spLocks noChangeArrowheads="1"/>
        </xdr:cNvSpPr>
      </xdr:nvSpPr>
      <xdr:spPr bwMode="auto">
        <a:xfrm>
          <a:off x="4895850" y="1142047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904875</xdr:colOff>
      <xdr:row>59</xdr:row>
      <xdr:rowOff>57150</xdr:rowOff>
    </xdr:from>
    <xdr:to>
      <xdr:col>10</xdr:col>
      <xdr:colOff>685800</xdr:colOff>
      <xdr:row>60</xdr:row>
      <xdr:rowOff>133350</xdr:rowOff>
    </xdr:to>
    <xdr:sp macro="" textlink="">
      <xdr:nvSpPr>
        <xdr:cNvPr id="26705" name="Text Box 145"/>
        <xdr:cNvSpPr txBox="1">
          <a:spLocks noChangeArrowheads="1"/>
        </xdr:cNvSpPr>
      </xdr:nvSpPr>
      <xdr:spPr bwMode="auto">
        <a:xfrm>
          <a:off x="5791200" y="1142047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209550</xdr:colOff>
      <xdr:row>59</xdr:row>
      <xdr:rowOff>57150</xdr:rowOff>
    </xdr:from>
    <xdr:to>
      <xdr:col>2</xdr:col>
      <xdr:colOff>714375</xdr:colOff>
      <xdr:row>60</xdr:row>
      <xdr:rowOff>133350</xdr:rowOff>
    </xdr:to>
    <xdr:sp macro="" textlink="">
      <xdr:nvSpPr>
        <xdr:cNvPr id="26706" name="Text Box 23"/>
        <xdr:cNvSpPr txBox="1">
          <a:spLocks noChangeArrowheads="1"/>
        </xdr:cNvSpPr>
      </xdr:nvSpPr>
      <xdr:spPr bwMode="auto">
        <a:xfrm>
          <a:off x="428625" y="1142047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952500</xdr:colOff>
      <xdr:row>59</xdr:row>
      <xdr:rowOff>57150</xdr:rowOff>
    </xdr:from>
    <xdr:to>
      <xdr:col>4</xdr:col>
      <xdr:colOff>85725</xdr:colOff>
      <xdr:row>60</xdr:row>
      <xdr:rowOff>133350</xdr:rowOff>
    </xdr:to>
    <xdr:sp macro="" textlink="">
      <xdr:nvSpPr>
        <xdr:cNvPr id="26707" name="Text Box 101"/>
        <xdr:cNvSpPr txBox="1">
          <a:spLocks noChangeArrowheads="1"/>
        </xdr:cNvSpPr>
      </xdr:nvSpPr>
      <xdr:spPr bwMode="auto">
        <a:xfrm>
          <a:off x="1171575" y="11420475"/>
          <a:ext cx="561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219075</xdr:colOff>
      <xdr:row>59</xdr:row>
      <xdr:rowOff>57150</xdr:rowOff>
    </xdr:from>
    <xdr:to>
      <xdr:col>5</xdr:col>
      <xdr:colOff>142875</xdr:colOff>
      <xdr:row>60</xdr:row>
      <xdr:rowOff>123825</xdr:rowOff>
    </xdr:to>
    <xdr:sp macro="" textlink="">
      <xdr:nvSpPr>
        <xdr:cNvPr id="26708" name="Text Box 102"/>
        <xdr:cNvSpPr txBox="1">
          <a:spLocks noChangeArrowheads="1"/>
        </xdr:cNvSpPr>
      </xdr:nvSpPr>
      <xdr:spPr bwMode="auto">
        <a:xfrm>
          <a:off x="1866900" y="11420475"/>
          <a:ext cx="666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361950</xdr:colOff>
      <xdr:row>59</xdr:row>
      <xdr:rowOff>57150</xdr:rowOff>
    </xdr:from>
    <xdr:to>
      <xdr:col>6</xdr:col>
      <xdr:colOff>285750</xdr:colOff>
      <xdr:row>60</xdr:row>
      <xdr:rowOff>123825</xdr:rowOff>
    </xdr:to>
    <xdr:sp macro="" textlink="">
      <xdr:nvSpPr>
        <xdr:cNvPr id="26709" name="Text Box 103"/>
        <xdr:cNvSpPr txBox="1">
          <a:spLocks noChangeArrowheads="1"/>
        </xdr:cNvSpPr>
      </xdr:nvSpPr>
      <xdr:spPr bwMode="auto">
        <a:xfrm>
          <a:off x="2752725" y="11420475"/>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485775</xdr:colOff>
      <xdr:row>59</xdr:row>
      <xdr:rowOff>47625</xdr:rowOff>
    </xdr:from>
    <xdr:to>
      <xdr:col>12</xdr:col>
      <xdr:colOff>276225</xdr:colOff>
      <xdr:row>60</xdr:row>
      <xdr:rowOff>123825</xdr:rowOff>
    </xdr:to>
    <xdr:sp macro="" textlink="">
      <xdr:nvSpPr>
        <xdr:cNvPr id="26710" name="Text Box 148"/>
        <xdr:cNvSpPr txBox="1">
          <a:spLocks noChangeArrowheads="1"/>
        </xdr:cNvSpPr>
      </xdr:nvSpPr>
      <xdr:spPr bwMode="auto">
        <a:xfrm>
          <a:off x="7200900" y="11410950"/>
          <a:ext cx="6191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466725</xdr:colOff>
      <xdr:row>59</xdr:row>
      <xdr:rowOff>47625</xdr:rowOff>
    </xdr:from>
    <xdr:to>
      <xdr:col>13</xdr:col>
      <xdr:colOff>276225</xdr:colOff>
      <xdr:row>60</xdr:row>
      <xdr:rowOff>123825</xdr:rowOff>
    </xdr:to>
    <xdr:sp macro="" textlink="">
      <xdr:nvSpPr>
        <xdr:cNvPr id="26711" name="Text Box 149"/>
        <xdr:cNvSpPr txBox="1">
          <a:spLocks noChangeArrowheads="1"/>
        </xdr:cNvSpPr>
      </xdr:nvSpPr>
      <xdr:spPr bwMode="auto">
        <a:xfrm>
          <a:off x="8010525" y="1141095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485775</xdr:colOff>
      <xdr:row>59</xdr:row>
      <xdr:rowOff>47625</xdr:rowOff>
    </xdr:from>
    <xdr:to>
      <xdr:col>14</xdr:col>
      <xdr:colOff>590550</xdr:colOff>
      <xdr:row>60</xdr:row>
      <xdr:rowOff>123825</xdr:rowOff>
    </xdr:to>
    <xdr:sp macro="" textlink="">
      <xdr:nvSpPr>
        <xdr:cNvPr id="26712" name="Text Box 150"/>
        <xdr:cNvSpPr txBox="1">
          <a:spLocks noChangeArrowheads="1"/>
        </xdr:cNvSpPr>
      </xdr:nvSpPr>
      <xdr:spPr bwMode="auto">
        <a:xfrm>
          <a:off x="8934450" y="11410950"/>
          <a:ext cx="914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editAs="oneCell">
    <xdr:from>
      <xdr:col>1</xdr:col>
      <xdr:colOff>12700</xdr:colOff>
      <xdr:row>0</xdr:row>
      <xdr:rowOff>63500</xdr:rowOff>
    </xdr:from>
    <xdr:to>
      <xdr:col>9</xdr:col>
      <xdr:colOff>508000</xdr:colOff>
      <xdr:row>3</xdr:row>
      <xdr:rowOff>228600</xdr:rowOff>
    </xdr:to>
    <xdr:pic>
      <xdr:nvPicPr>
        <xdr:cNvPr id="61" name="Picture 99" descr="CASBEE熊本ロゴ（Quarter）（背景透過版）（余白無トリミング）"/>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200" y="63500"/>
          <a:ext cx="5334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266700</xdr:colOff>
      <xdr:row>0</xdr:row>
      <xdr:rowOff>0</xdr:rowOff>
    </xdr:from>
    <xdr:to>
      <xdr:col>12</xdr:col>
      <xdr:colOff>228600</xdr:colOff>
      <xdr:row>5</xdr:row>
      <xdr:rowOff>19050</xdr:rowOff>
    </xdr:to>
    <xdr:sp macro="" textlink="">
      <xdr:nvSpPr>
        <xdr:cNvPr id="62" name="Text Box 101"/>
        <xdr:cNvSpPr txBox="1">
          <a:spLocks noChangeArrowheads="1"/>
        </xdr:cNvSpPr>
      </xdr:nvSpPr>
      <xdr:spPr bwMode="auto">
        <a:xfrm>
          <a:off x="5168900" y="0"/>
          <a:ext cx="2616200" cy="99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000"/>
            </a:lnSpc>
            <a:defRPr sz="1000"/>
          </a:pPr>
          <a:r>
            <a:rPr lang="ja-JP" altLang="en-US" sz="2000" b="0" i="0" u="none" strike="noStrike" baseline="0">
              <a:solidFill>
                <a:srgbClr val="000000"/>
              </a:solidFill>
              <a:latin typeface="ＭＳ Ｐゴシック"/>
              <a:ea typeface="ＭＳ Ｐゴシック"/>
            </a:rPr>
            <a:t>（改修前後の比較）</a:t>
          </a:r>
        </a:p>
      </xdr:txBody>
    </xdr:sp>
    <xdr:clientData/>
  </xdr:twoCellAnchor>
  <xdr:twoCellAnchor>
    <xdr:from>
      <xdr:col>11</xdr:col>
      <xdr:colOff>279400</xdr:colOff>
      <xdr:row>1</xdr:row>
      <xdr:rowOff>76200</xdr:rowOff>
    </xdr:from>
    <xdr:to>
      <xdr:col>16</xdr:col>
      <xdr:colOff>12700</xdr:colOff>
      <xdr:row>3</xdr:row>
      <xdr:rowOff>212725</xdr:rowOff>
    </xdr:to>
    <xdr:sp macro="" textlink="">
      <xdr:nvSpPr>
        <xdr:cNvPr id="63" name="Text Box 90"/>
        <xdr:cNvSpPr txBox="1">
          <a:spLocks noChangeArrowheads="1"/>
        </xdr:cNvSpPr>
      </xdr:nvSpPr>
      <xdr:spPr bwMode="auto">
        <a:xfrm>
          <a:off x="7010400" y="152400"/>
          <a:ext cx="3149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0.10754</cdr:x>
      <cdr:y>0.66306</cdr:y>
    </cdr:from>
    <cdr:to>
      <cdr:x>0.2151</cdr:x>
      <cdr:y>0.77129</cdr:y>
    </cdr:to>
    <cdr:sp macro="" textlink="改修前後の比較!$Y$51">
      <cdr:nvSpPr>
        <cdr:cNvPr id="27655" name="Text Box 7"/>
        <cdr:cNvSpPr txBox="1">
          <a:spLocks xmlns:a="http://schemas.openxmlformats.org/drawingml/2006/main" noChangeArrowheads="1" noTextEdit="1"/>
        </cdr:cNvSpPr>
      </cdr:nvSpPr>
      <cdr:spPr bwMode="auto">
        <a:xfrm xmlns:a="http://schemas.openxmlformats.org/drawingml/2006/main">
          <a:off x="334026" y="1076833"/>
          <a:ext cx="330927" cy="1752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1D6BC40-4959-48E0-89F3-0D54794C9F8B}" type="TxLink">
            <a:rPr lang="ja-JP" altLang="en-US"/>
            <a:pPr algn="ctr" rtl="0">
              <a:defRPr sz="1000"/>
            </a:pPr>
            <a:t> </a:t>
          </a:fld>
          <a:endParaRPr lang="ja-JP" altLang="en-US"/>
        </a:p>
      </cdr:txBody>
    </cdr:sp>
  </cdr:relSizeAnchor>
  <cdr:relSizeAnchor xmlns:cdr="http://schemas.openxmlformats.org/drawingml/2006/chartDrawing">
    <cdr:from>
      <cdr:x>0.22261</cdr:x>
      <cdr:y>0.66306</cdr:y>
    </cdr:from>
    <cdr:to>
      <cdr:x>0.32654</cdr:x>
      <cdr:y>0.77129</cdr:y>
    </cdr:to>
    <cdr:sp macro="" textlink="改修前後の比較!$AA$51">
      <cdr:nvSpPr>
        <cdr:cNvPr id="27656" name="Text Box 8"/>
        <cdr:cNvSpPr txBox="1">
          <a:spLocks xmlns:a="http://schemas.openxmlformats.org/drawingml/2006/main" noChangeArrowheads="1" noTextEdit="1"/>
        </cdr:cNvSpPr>
      </cdr:nvSpPr>
      <cdr:spPr bwMode="auto">
        <a:xfrm xmlns:a="http://schemas.openxmlformats.org/drawingml/2006/main">
          <a:off x="688058" y="1076833"/>
          <a:ext cx="319747" cy="1752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29A89C87-3E38-466D-8BA0-9516DA22A058}" type="TxLink">
            <a:rPr lang="ja-JP" altLang="en-US"/>
            <a:pPr algn="ctr" rtl="0">
              <a:defRPr sz="1000"/>
            </a:pPr>
            <a:t> </a:t>
          </a:fld>
          <a:endParaRPr lang="ja-JP" altLang="en-US"/>
        </a:p>
      </cdr:txBody>
    </cdr:sp>
  </cdr:relSizeAnchor>
  <cdr:relSizeAnchor xmlns:cdr="http://schemas.openxmlformats.org/drawingml/2006/chartDrawing">
    <cdr:from>
      <cdr:x>0.41376</cdr:x>
      <cdr:y>0.66306</cdr:y>
    </cdr:from>
    <cdr:to>
      <cdr:x>0.52059</cdr:x>
      <cdr:y>0.772</cdr:y>
    </cdr:to>
    <cdr:sp macro="" textlink="改修前後の比較!$Y$52">
      <cdr:nvSpPr>
        <cdr:cNvPr id="27657" name="Text Box 9"/>
        <cdr:cNvSpPr txBox="1">
          <a:spLocks xmlns:a="http://schemas.openxmlformats.org/drawingml/2006/main" noChangeArrowheads="1" noTextEdit="1"/>
        </cdr:cNvSpPr>
      </cdr:nvSpPr>
      <cdr:spPr bwMode="auto">
        <a:xfrm xmlns:a="http://schemas.openxmlformats.org/drawingml/2006/main">
          <a:off x="1276125" y="1076833"/>
          <a:ext cx="328691"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DC3B87A-3B07-4525-9C67-483F1F235568}" type="TxLink">
            <a:rPr lang="ja-JP" altLang="en-US"/>
            <a:pPr algn="ctr" rtl="0">
              <a:defRPr sz="1000"/>
            </a:pPr>
            <a:t> </a:t>
          </a:fld>
          <a:endParaRPr lang="ja-JP" altLang="en-US"/>
        </a:p>
      </cdr:txBody>
    </cdr:sp>
  </cdr:relSizeAnchor>
  <cdr:relSizeAnchor xmlns:cdr="http://schemas.openxmlformats.org/drawingml/2006/chartDrawing">
    <cdr:from>
      <cdr:x>0.52883</cdr:x>
      <cdr:y>0.66306</cdr:y>
    </cdr:from>
    <cdr:to>
      <cdr:x>0.63179</cdr:x>
      <cdr:y>0.772</cdr:y>
    </cdr:to>
    <cdr:sp macro="" textlink="改修前後の比較!$AA$52">
      <cdr:nvSpPr>
        <cdr:cNvPr id="27658" name="Text Box 10"/>
        <cdr:cNvSpPr txBox="1">
          <a:spLocks xmlns:a="http://schemas.openxmlformats.org/drawingml/2006/main" noChangeArrowheads="1" noTextEdit="1"/>
        </cdr:cNvSpPr>
      </cdr:nvSpPr>
      <cdr:spPr bwMode="auto">
        <a:xfrm xmlns:a="http://schemas.openxmlformats.org/drawingml/2006/main">
          <a:off x="1630157" y="1076833"/>
          <a:ext cx="316766"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1B631A0-DACC-419B-8D94-A5737BEFBD3F}" type="TxLink">
            <a:rPr lang="ja-JP" altLang="en-US"/>
            <a:pPr algn="ctr" rtl="0">
              <a:defRPr sz="1000"/>
            </a:pPr>
            <a:t> </a:t>
          </a:fld>
          <a:endParaRPr lang="ja-JP" altLang="en-US"/>
        </a:p>
      </cdr:txBody>
    </cdr:sp>
  </cdr:relSizeAnchor>
  <cdr:relSizeAnchor xmlns:cdr="http://schemas.openxmlformats.org/drawingml/2006/chartDrawing">
    <cdr:from>
      <cdr:x>0.72094</cdr:x>
      <cdr:y>0.66306</cdr:y>
    </cdr:from>
    <cdr:to>
      <cdr:x>0.8285</cdr:x>
      <cdr:y>0.772</cdr:y>
    </cdr:to>
    <cdr:sp macro="" textlink="改修前後の比較!$Y$53">
      <cdr:nvSpPr>
        <cdr:cNvPr id="27659" name="Text Box 11"/>
        <cdr:cNvSpPr txBox="1">
          <a:spLocks xmlns:a="http://schemas.openxmlformats.org/drawingml/2006/main" noChangeArrowheads="1" noTextEdit="1"/>
        </cdr:cNvSpPr>
      </cdr:nvSpPr>
      <cdr:spPr bwMode="auto">
        <a:xfrm xmlns:a="http://schemas.openxmlformats.org/drawingml/2006/main">
          <a:off x="2221205" y="1076833"/>
          <a:ext cx="330927"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C8A63ED-6E2E-4191-9C7C-4A0CFCC46E1A}" type="TxLink">
            <a:rPr lang="ja-JP" altLang="en-US"/>
            <a:pPr algn="ctr" rtl="0">
              <a:defRPr sz="1000"/>
            </a:pPr>
            <a:t> </a:t>
          </a:fld>
          <a:endParaRPr lang="ja-JP" altLang="en-US"/>
        </a:p>
      </cdr:txBody>
    </cdr:sp>
  </cdr:relSizeAnchor>
  <cdr:relSizeAnchor xmlns:cdr="http://schemas.openxmlformats.org/drawingml/2006/chartDrawing">
    <cdr:from>
      <cdr:x>0.83505</cdr:x>
      <cdr:y>0.66306</cdr:y>
    </cdr:from>
    <cdr:to>
      <cdr:x>0.93898</cdr:x>
      <cdr:y>0.772</cdr:y>
    </cdr:to>
    <cdr:sp macro="" textlink="改修前後の比較!$AA$53">
      <cdr:nvSpPr>
        <cdr:cNvPr id="27660" name="Text Box 12"/>
        <cdr:cNvSpPr txBox="1">
          <a:spLocks xmlns:a="http://schemas.openxmlformats.org/drawingml/2006/main" noChangeArrowheads="1" noTextEdit="1"/>
        </cdr:cNvSpPr>
      </cdr:nvSpPr>
      <cdr:spPr bwMode="auto">
        <a:xfrm xmlns:a="http://schemas.openxmlformats.org/drawingml/2006/main">
          <a:off x="2572256" y="1076833"/>
          <a:ext cx="319747"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2F5BCF2-E784-4A35-B6CF-A6BE551C4769}" type="TxLink">
            <a:rPr lang="ja-JP" altLang="en-US"/>
            <a:pPr algn="ctr" rtl="0">
              <a:defRPr sz="1000"/>
            </a:pPr>
            <a:t> </a:t>
          </a:fld>
          <a:endParaRPr lang="ja-JP" altLang="en-US"/>
        </a:p>
      </cdr:txBody>
    </cdr:sp>
  </cdr:relSizeAnchor>
</c:userShapes>
</file>

<file path=xl/drawings/drawing27.xml><?xml version="1.0" encoding="utf-8"?>
<c:userShapes xmlns:c="http://schemas.openxmlformats.org/drawingml/2006/chart">
  <cdr:relSizeAnchor xmlns:cdr="http://schemas.openxmlformats.org/drawingml/2006/chartDrawing">
    <cdr:from>
      <cdr:x>0.1056</cdr:x>
      <cdr:y>0.65576</cdr:y>
    </cdr:from>
    <cdr:to>
      <cdr:x>0.21479</cdr:x>
      <cdr:y>0.76494</cdr:y>
    </cdr:to>
    <cdr:sp macro="" textlink="改修前後の比較!$AD$62">
      <cdr:nvSpPr>
        <cdr:cNvPr id="28676" name="Text Box 4"/>
        <cdr:cNvSpPr txBox="1">
          <a:spLocks xmlns:a="http://schemas.openxmlformats.org/drawingml/2006/main" noChangeArrowheads="1" noTextEdit="1"/>
        </cdr:cNvSpPr>
      </cdr:nvSpPr>
      <cdr:spPr bwMode="auto">
        <a:xfrm xmlns:a="http://schemas.openxmlformats.org/drawingml/2006/main">
          <a:off x="322017" y="1065022"/>
          <a:ext cx="329701"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F39257A-6122-45F2-A14C-256166A99B0A}" type="TxLink">
            <a:rPr lang="ja-JP" altLang="en-US" sz="800" b="0" i="0" u="none" strike="noStrike" baseline="0">
              <a:solidFill>
                <a:srgbClr val="000000"/>
              </a:solidFill>
              <a:latin typeface="Arial"/>
              <a:cs typeface="Arial"/>
            </a:rPr>
            <a:pPr algn="ctr" rtl="0">
              <a:defRPr sz="1000"/>
            </a:pPr>
            <a:t> </a:t>
          </a:fld>
          <a:endParaRPr lang="ja-JP" altLang="en-US" sz="800" b="0" i="0" u="none" strike="noStrike" baseline="0">
            <a:solidFill>
              <a:srgbClr val="000000"/>
            </a:solidFill>
            <a:latin typeface="Arial"/>
            <a:cs typeface="Arial"/>
          </a:endParaRPr>
        </a:p>
      </cdr:txBody>
    </cdr:sp>
  </cdr:relSizeAnchor>
  <cdr:relSizeAnchor xmlns:cdr="http://schemas.openxmlformats.org/drawingml/2006/chartDrawing">
    <cdr:from>
      <cdr:x>0.22859</cdr:x>
      <cdr:y>0.65576</cdr:y>
    </cdr:from>
    <cdr:to>
      <cdr:x>0.33246</cdr:x>
      <cdr:y>0.76494</cdr:y>
    </cdr:to>
    <cdr:sp macro="" textlink="改修前後の比較!$AF$62">
      <cdr:nvSpPr>
        <cdr:cNvPr id="28677" name="Text Box 5"/>
        <cdr:cNvSpPr txBox="1">
          <a:spLocks xmlns:a="http://schemas.openxmlformats.org/drawingml/2006/main" noChangeArrowheads="1" noTextEdit="1"/>
        </cdr:cNvSpPr>
      </cdr:nvSpPr>
      <cdr:spPr bwMode="auto">
        <a:xfrm xmlns:a="http://schemas.openxmlformats.org/drawingml/2006/main">
          <a:off x="693387" y="1065022"/>
          <a:ext cx="313618"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15216D5-9E56-40AB-819F-D1340B690B8E}" type="TxLink">
            <a:rPr lang="ja-JP" altLang="en-US" sz="800" b="0" i="0" u="none" strike="noStrike" baseline="0">
              <a:solidFill>
                <a:srgbClr val="000000"/>
              </a:solidFill>
              <a:latin typeface="Arial"/>
              <a:cs typeface="Arial"/>
            </a:rPr>
            <a:pPr algn="ctr" rtl="0">
              <a:defRPr sz="1000"/>
            </a:pPr>
            <a:t> </a:t>
          </a:fld>
          <a:endParaRPr lang="ja-JP" altLang="en-US" sz="800" b="0" i="0" u="none" strike="noStrike" baseline="0">
            <a:solidFill>
              <a:srgbClr val="000000"/>
            </a:solidFill>
            <a:latin typeface="Arial"/>
            <a:cs typeface="Arial"/>
          </a:endParaRPr>
        </a:p>
      </cdr:txBody>
    </cdr:sp>
  </cdr:relSizeAnchor>
  <cdr:relSizeAnchor xmlns:cdr="http://schemas.openxmlformats.org/drawingml/2006/chartDrawing">
    <cdr:from>
      <cdr:x>0.41308</cdr:x>
      <cdr:y>0.65576</cdr:y>
    </cdr:from>
    <cdr:to>
      <cdr:x>0.52058</cdr:x>
      <cdr:y>0.76494</cdr:y>
    </cdr:to>
    <cdr:sp macro="" textlink="改修前後の比較!$AD$63">
      <cdr:nvSpPr>
        <cdr:cNvPr id="28678" name="Text Box 6"/>
        <cdr:cNvSpPr txBox="1">
          <a:spLocks xmlns:a="http://schemas.openxmlformats.org/drawingml/2006/main" noChangeArrowheads="1" noTextEdit="1"/>
        </cdr:cNvSpPr>
      </cdr:nvSpPr>
      <cdr:spPr bwMode="auto">
        <a:xfrm xmlns:a="http://schemas.openxmlformats.org/drawingml/2006/main">
          <a:off x="1250443" y="1065022"/>
          <a:ext cx="324583"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A5EAF3E-ABD0-40AB-A03F-C699DD628918}" type="TxLink">
            <a:rPr lang="ja-JP" altLang="en-US"/>
            <a:pPr algn="ctr" rtl="0">
              <a:defRPr sz="1000"/>
            </a:pPr>
            <a:t> </a:t>
          </a:fld>
          <a:endParaRPr lang="ja-JP" altLang="en-US"/>
        </a:p>
      </cdr:txBody>
    </cdr:sp>
  </cdr:relSizeAnchor>
  <cdr:relSizeAnchor xmlns:cdr="http://schemas.openxmlformats.org/drawingml/2006/chartDrawing">
    <cdr:from>
      <cdr:x>0.53341</cdr:x>
      <cdr:y>0.65576</cdr:y>
    </cdr:from>
    <cdr:to>
      <cdr:x>0.63728</cdr:x>
      <cdr:y>0.76494</cdr:y>
    </cdr:to>
    <cdr:sp macro="" textlink="改修前後の比較!$AF$63">
      <cdr:nvSpPr>
        <cdr:cNvPr id="28679" name="Text Box 7"/>
        <cdr:cNvSpPr txBox="1">
          <a:spLocks xmlns:a="http://schemas.openxmlformats.org/drawingml/2006/main" noChangeArrowheads="1" noTextEdit="1"/>
        </cdr:cNvSpPr>
      </cdr:nvSpPr>
      <cdr:spPr bwMode="auto">
        <a:xfrm xmlns:a="http://schemas.openxmlformats.org/drawingml/2006/main">
          <a:off x="1613772" y="1065022"/>
          <a:ext cx="313617"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A40681A-1CF7-459E-8EA9-056A678D79C9}" type="TxLink">
            <a:rPr lang="ja-JP" altLang="en-US"/>
            <a:pPr algn="ctr" rtl="0">
              <a:defRPr sz="1000"/>
            </a:pPr>
            <a:t> </a:t>
          </a:fld>
          <a:endParaRPr lang="ja-JP" altLang="en-US"/>
        </a:p>
      </cdr:txBody>
    </cdr:sp>
  </cdr:relSizeAnchor>
  <cdr:relSizeAnchor xmlns:cdr="http://schemas.openxmlformats.org/drawingml/2006/chartDrawing">
    <cdr:from>
      <cdr:x>0.71887</cdr:x>
      <cdr:y>0.65576</cdr:y>
    </cdr:from>
    <cdr:to>
      <cdr:x>0.82637</cdr:x>
      <cdr:y>0.76494</cdr:y>
    </cdr:to>
    <cdr:sp macro="" textlink="改修前後の比較!$AD$64">
      <cdr:nvSpPr>
        <cdr:cNvPr id="28680" name="Text Box 8"/>
        <cdr:cNvSpPr txBox="1">
          <a:spLocks xmlns:a="http://schemas.openxmlformats.org/drawingml/2006/main" noChangeArrowheads="1" noTextEdit="1"/>
        </cdr:cNvSpPr>
      </cdr:nvSpPr>
      <cdr:spPr bwMode="auto">
        <a:xfrm xmlns:a="http://schemas.openxmlformats.org/drawingml/2006/main">
          <a:off x="2173751" y="1065022"/>
          <a:ext cx="324583"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0C05B89-D985-43DD-93C0-625C0482ED98}" type="TxLink">
            <a:rPr lang="ja-JP" altLang="en-US"/>
            <a:pPr algn="ctr" rtl="0">
              <a:defRPr sz="1000"/>
            </a:pPr>
            <a:t> </a:t>
          </a:fld>
          <a:endParaRPr lang="ja-JP" altLang="en-US"/>
        </a:p>
      </cdr:txBody>
    </cdr:sp>
  </cdr:relSizeAnchor>
  <cdr:relSizeAnchor xmlns:cdr="http://schemas.openxmlformats.org/drawingml/2006/chartDrawing">
    <cdr:from>
      <cdr:x>0.8392</cdr:x>
      <cdr:y>0.65576</cdr:y>
    </cdr:from>
    <cdr:to>
      <cdr:x>0.94283</cdr:x>
      <cdr:y>0.76494</cdr:y>
    </cdr:to>
    <cdr:sp macro="" textlink="改修前後の比較!$AF$64">
      <cdr:nvSpPr>
        <cdr:cNvPr id="28681" name="Text Box 9"/>
        <cdr:cNvSpPr txBox="1">
          <a:spLocks xmlns:a="http://schemas.openxmlformats.org/drawingml/2006/main" noChangeArrowheads="1" noTextEdit="1"/>
        </cdr:cNvSpPr>
      </cdr:nvSpPr>
      <cdr:spPr bwMode="auto">
        <a:xfrm xmlns:a="http://schemas.openxmlformats.org/drawingml/2006/main">
          <a:off x="2537080" y="1065022"/>
          <a:ext cx="312887"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2A9690E-584F-4FEB-AE48-DB098ADF27D6}" type="TxLink">
            <a:rPr lang="ja-JP" altLang="en-US"/>
            <a:pPr algn="ctr" rtl="0">
              <a:defRPr sz="1000"/>
            </a:pPr>
            <a:t> </a:t>
          </a:fld>
          <a:endParaRPr lang="ja-JP" altLang="en-US"/>
        </a:p>
      </cdr:txBody>
    </cdr:sp>
  </cdr:relSizeAnchor>
</c:userShapes>
</file>

<file path=xl/drawings/drawing28.xml><?xml version="1.0" encoding="utf-8"?>
<c:userShapes xmlns:c="http://schemas.openxmlformats.org/drawingml/2006/chart">
  <cdr:relSizeAnchor xmlns:cdr="http://schemas.openxmlformats.org/drawingml/2006/chartDrawing">
    <cdr:from>
      <cdr:x>0.10653</cdr:x>
      <cdr:y>0.65441</cdr:y>
    </cdr:from>
    <cdr:to>
      <cdr:x>0.2167</cdr:x>
      <cdr:y>0.76127</cdr:y>
    </cdr:to>
    <cdr:sp macro="" textlink="改修前後の比較!$AD$51">
      <cdr:nvSpPr>
        <cdr:cNvPr id="29700" name="Text Box 4"/>
        <cdr:cNvSpPr txBox="1">
          <a:spLocks xmlns:a="http://schemas.openxmlformats.org/drawingml/2006/main" noChangeArrowheads="1" noTextEdit="1"/>
        </cdr:cNvSpPr>
      </cdr:nvSpPr>
      <cdr:spPr bwMode="auto">
        <a:xfrm xmlns:a="http://schemas.openxmlformats.org/drawingml/2006/main">
          <a:off x="325834" y="1069061"/>
          <a:ext cx="333709" cy="174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A88E951-AAEC-49B7-9FBD-68BE14B8B3E6}" type="TxLink">
            <a:rPr lang="ja-JP" altLang="en-US"/>
            <a:pPr algn="ctr" rtl="0">
              <a:defRPr sz="1000"/>
            </a:pPr>
            <a:t> </a:t>
          </a:fld>
          <a:endParaRPr lang="ja-JP" altLang="en-US"/>
        </a:p>
      </cdr:txBody>
    </cdr:sp>
  </cdr:relSizeAnchor>
  <cdr:relSizeAnchor xmlns:cdr="http://schemas.openxmlformats.org/drawingml/2006/chartDrawing">
    <cdr:from>
      <cdr:x>0.22299</cdr:x>
      <cdr:y>0.65441</cdr:y>
    </cdr:from>
    <cdr:to>
      <cdr:x>0.32784</cdr:x>
      <cdr:y>0.76127</cdr:y>
    </cdr:to>
    <cdr:sp macro="" textlink="改修前後の比較!$AF$51">
      <cdr:nvSpPr>
        <cdr:cNvPr id="29701" name="Text Box 5"/>
        <cdr:cNvSpPr txBox="1">
          <a:spLocks xmlns:a="http://schemas.openxmlformats.org/drawingml/2006/main" noChangeArrowheads="1" noTextEdit="1"/>
        </cdr:cNvSpPr>
      </cdr:nvSpPr>
      <cdr:spPr bwMode="auto">
        <a:xfrm xmlns:a="http://schemas.openxmlformats.org/drawingml/2006/main">
          <a:off x="678612" y="1069061"/>
          <a:ext cx="317573" cy="174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968CF83-B1A4-4FDD-A2A3-AA21AFB993BD}" type="TxLink">
            <a:rPr lang="ja-JP" altLang="en-US"/>
            <a:pPr algn="ctr" rtl="0">
              <a:defRPr sz="1000"/>
            </a:pPr>
            <a:t> </a:t>
          </a:fld>
          <a:endParaRPr lang="ja-JP" altLang="en-US"/>
        </a:p>
      </cdr:txBody>
    </cdr:sp>
  </cdr:relSizeAnchor>
  <cdr:relSizeAnchor xmlns:cdr="http://schemas.openxmlformats.org/drawingml/2006/chartDrawing">
    <cdr:from>
      <cdr:x>0.41501</cdr:x>
      <cdr:y>0.65441</cdr:y>
    </cdr:from>
    <cdr:to>
      <cdr:x>0.52252</cdr:x>
      <cdr:y>0.76198</cdr:y>
    </cdr:to>
    <cdr:sp macro="" textlink="改修前後の比較!$AD$52">
      <cdr:nvSpPr>
        <cdr:cNvPr id="29702" name="Text Box 6"/>
        <cdr:cNvSpPr txBox="1">
          <a:spLocks xmlns:a="http://schemas.openxmlformats.org/drawingml/2006/main" noChangeArrowheads="1" noTextEdit="1"/>
        </cdr:cNvSpPr>
      </cdr:nvSpPr>
      <cdr:spPr bwMode="auto">
        <a:xfrm xmlns:a="http://schemas.openxmlformats.org/drawingml/2006/main">
          <a:off x="1260218" y="1069061"/>
          <a:ext cx="325641"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2789EB7C-9703-427C-881F-A480E952E3F4}" type="TxLink">
            <a:rPr lang="ja-JP" altLang="en-US"/>
            <a:pPr algn="ctr" rtl="0">
              <a:defRPr sz="1000"/>
            </a:pPr>
            <a:t> </a:t>
          </a:fld>
          <a:endParaRPr lang="ja-JP" altLang="en-US"/>
        </a:p>
      </cdr:txBody>
    </cdr:sp>
  </cdr:relSizeAnchor>
  <cdr:relSizeAnchor xmlns:cdr="http://schemas.openxmlformats.org/drawingml/2006/chartDrawing">
    <cdr:from>
      <cdr:x>0.52881</cdr:x>
      <cdr:y>0.65441</cdr:y>
    </cdr:from>
    <cdr:to>
      <cdr:x>0.63269</cdr:x>
      <cdr:y>0.76198</cdr:y>
    </cdr:to>
    <cdr:sp macro="" textlink="改修前後の比較!$AF$52">
      <cdr:nvSpPr>
        <cdr:cNvPr id="29703" name="Text Box 7"/>
        <cdr:cNvSpPr txBox="1">
          <a:spLocks xmlns:a="http://schemas.openxmlformats.org/drawingml/2006/main" noChangeArrowheads="1" noTextEdit="1"/>
        </cdr:cNvSpPr>
      </cdr:nvSpPr>
      <cdr:spPr bwMode="auto">
        <a:xfrm xmlns:a="http://schemas.openxmlformats.org/drawingml/2006/main">
          <a:off x="1604928" y="1069061"/>
          <a:ext cx="314639"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82B75F2-3A69-4415-8F15-64AD62F4D19B}" type="TxLink">
            <a:rPr lang="ja-JP" altLang="en-US"/>
            <a:pPr algn="ctr" rtl="0">
              <a:defRPr sz="1000"/>
            </a:pPr>
            <a:t> </a:t>
          </a:fld>
          <a:endParaRPr lang="ja-JP" altLang="en-US"/>
        </a:p>
      </cdr:txBody>
    </cdr:sp>
  </cdr:relSizeAnchor>
  <cdr:relSizeAnchor xmlns:cdr="http://schemas.openxmlformats.org/drawingml/2006/chartDrawing">
    <cdr:from>
      <cdr:x>0.71792</cdr:x>
      <cdr:y>0.65441</cdr:y>
    </cdr:from>
    <cdr:to>
      <cdr:x>0.82447</cdr:x>
      <cdr:y>0.76198</cdr:y>
    </cdr:to>
    <cdr:sp macro="" textlink="改修前後の比較!$AD$53">
      <cdr:nvSpPr>
        <cdr:cNvPr id="29704" name="Text Box 8"/>
        <cdr:cNvSpPr txBox="1">
          <a:spLocks xmlns:a="http://schemas.openxmlformats.org/drawingml/2006/main" noChangeArrowheads="1" noTextEdit="1"/>
        </cdr:cNvSpPr>
      </cdr:nvSpPr>
      <cdr:spPr bwMode="auto">
        <a:xfrm xmlns:a="http://schemas.openxmlformats.org/drawingml/2006/main">
          <a:off x="2177733" y="1069061"/>
          <a:ext cx="322707"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45F1FD7-C41E-455D-A048-F2BC45F30022}" type="TxLink">
            <a:rPr lang="ja-JP" altLang="en-US"/>
            <a:pPr algn="ctr" rtl="0">
              <a:defRPr sz="1000"/>
            </a:pPr>
            <a:t> </a:t>
          </a:fld>
          <a:endParaRPr lang="ja-JP" altLang="en-US"/>
        </a:p>
      </cdr:txBody>
    </cdr:sp>
  </cdr:relSizeAnchor>
  <cdr:relSizeAnchor xmlns:cdr="http://schemas.openxmlformats.org/drawingml/2006/chartDrawing">
    <cdr:from>
      <cdr:x>0.83197</cdr:x>
      <cdr:y>0.65441</cdr:y>
    </cdr:from>
    <cdr:to>
      <cdr:x>0.93561</cdr:x>
      <cdr:y>0.76198</cdr:y>
    </cdr:to>
    <cdr:sp macro="" textlink="改修前後の比較!$AF$53">
      <cdr:nvSpPr>
        <cdr:cNvPr id="29705" name="Text Box 9"/>
        <cdr:cNvSpPr txBox="1">
          <a:spLocks xmlns:a="http://schemas.openxmlformats.org/drawingml/2006/main" noChangeArrowheads="1" noTextEdit="1"/>
        </cdr:cNvSpPr>
      </cdr:nvSpPr>
      <cdr:spPr bwMode="auto">
        <a:xfrm xmlns:a="http://schemas.openxmlformats.org/drawingml/2006/main">
          <a:off x="2523176" y="1069061"/>
          <a:ext cx="313906"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CF9A7FC-4523-4648-AF24-AF1DF5EFE69C}" type="TxLink">
            <a:rPr lang="ja-JP" altLang="en-US"/>
            <a:pPr algn="ctr" rtl="0">
              <a:defRPr sz="1000"/>
            </a:pPr>
            <a:t> </a:t>
          </a:fld>
          <a:endParaRPr lang="ja-JP" altLang="en-US"/>
        </a:p>
      </cdr:txBody>
    </cdr:sp>
  </cdr:relSizeAnchor>
</c:userShapes>
</file>

<file path=xl/drawings/drawing29.xml><?xml version="1.0" encoding="utf-8"?>
<c:userShapes xmlns:c="http://schemas.openxmlformats.org/drawingml/2006/chart">
  <cdr:relSizeAnchor xmlns:cdr="http://schemas.openxmlformats.org/drawingml/2006/chartDrawing">
    <cdr:from>
      <cdr:x>0.10265</cdr:x>
      <cdr:y>0.6543</cdr:y>
    </cdr:from>
    <cdr:to>
      <cdr:x>0.21386</cdr:x>
      <cdr:y>0.76367</cdr:y>
    </cdr:to>
    <cdr:sp macro="" textlink="改修前後の比較!$Y$62">
      <cdr:nvSpPr>
        <cdr:cNvPr id="30724" name="Text Box 4"/>
        <cdr:cNvSpPr txBox="1">
          <a:spLocks xmlns:a="http://schemas.openxmlformats.org/drawingml/2006/main" noChangeArrowheads="1" noTextEdit="1"/>
        </cdr:cNvSpPr>
      </cdr:nvSpPr>
      <cdr:spPr bwMode="auto">
        <a:xfrm xmlns:a="http://schemas.openxmlformats.org/drawingml/2006/main">
          <a:off x="319977" y="1056411"/>
          <a:ext cx="343200" cy="176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3BF5752-BEC1-44FA-A95E-3F95358D5663}" type="TxLink">
            <a:rPr lang="ja-JP" altLang="en-US"/>
            <a:pPr algn="ctr" rtl="0">
              <a:defRPr sz="1000"/>
            </a:pPr>
            <a:t> </a:t>
          </a:fld>
          <a:endParaRPr lang="ja-JP" altLang="en-US"/>
        </a:p>
      </cdr:txBody>
    </cdr:sp>
  </cdr:relSizeAnchor>
  <cdr:relSizeAnchor xmlns:cdr="http://schemas.openxmlformats.org/drawingml/2006/chartDrawing">
    <cdr:from>
      <cdr:x>0.2204</cdr:x>
      <cdr:y>0.6543</cdr:y>
    </cdr:from>
    <cdr:to>
      <cdr:x>0.3241</cdr:x>
      <cdr:y>0.76367</cdr:y>
    </cdr:to>
    <cdr:sp macro="" textlink="改修前後の比較!$AA$62">
      <cdr:nvSpPr>
        <cdr:cNvPr id="30725" name="Text Box 5"/>
        <cdr:cNvSpPr txBox="1">
          <a:spLocks xmlns:a="http://schemas.openxmlformats.org/drawingml/2006/main" noChangeArrowheads="1" noTextEdit="1"/>
        </cdr:cNvSpPr>
      </cdr:nvSpPr>
      <cdr:spPr bwMode="auto">
        <a:xfrm xmlns:a="http://schemas.openxmlformats.org/drawingml/2006/main">
          <a:off x="683365" y="1056411"/>
          <a:ext cx="320021" cy="176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98BE9C6E-65BD-4288-B4FE-C1E44F28877D}" type="TxLink">
            <a:rPr lang="ja-JP" altLang="en-US"/>
            <a:pPr algn="ctr" rtl="0">
              <a:defRPr sz="1000"/>
            </a:pPr>
            <a:t> </a:t>
          </a:fld>
          <a:endParaRPr lang="ja-JP" altLang="en-US"/>
        </a:p>
      </cdr:txBody>
    </cdr:sp>
  </cdr:relSizeAnchor>
  <cdr:relSizeAnchor xmlns:cdr="http://schemas.openxmlformats.org/drawingml/2006/chartDrawing">
    <cdr:from>
      <cdr:x>0.4135</cdr:x>
      <cdr:y>0.6543</cdr:y>
    </cdr:from>
    <cdr:to>
      <cdr:x>0.52108</cdr:x>
      <cdr:y>0.76437</cdr:y>
    </cdr:to>
    <cdr:sp macro="" textlink="改修前後の比較!$Y$63">
      <cdr:nvSpPr>
        <cdr:cNvPr id="30726" name="Text Box 6"/>
        <cdr:cNvSpPr txBox="1">
          <a:spLocks xmlns:a="http://schemas.openxmlformats.org/drawingml/2006/main" noChangeArrowheads="1" noTextEdit="1"/>
        </cdr:cNvSpPr>
      </cdr:nvSpPr>
      <cdr:spPr bwMode="auto">
        <a:xfrm xmlns:a="http://schemas.openxmlformats.org/drawingml/2006/main">
          <a:off x="1279292" y="1056411"/>
          <a:ext cx="331984"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62D0540-6B4D-4D8A-AE17-38BBBF1130AA}" type="TxLink">
            <a:rPr lang="ja-JP" altLang="en-US"/>
            <a:pPr algn="ctr" rtl="0">
              <a:defRPr sz="1000"/>
            </a:pPr>
            <a:t> </a:t>
          </a:fld>
          <a:endParaRPr lang="ja-JP" altLang="en-US"/>
        </a:p>
      </cdr:txBody>
    </cdr:sp>
  </cdr:relSizeAnchor>
  <cdr:relSizeAnchor xmlns:cdr="http://schemas.openxmlformats.org/drawingml/2006/chartDrawing">
    <cdr:from>
      <cdr:x>0.52835</cdr:x>
      <cdr:y>0.6543</cdr:y>
    </cdr:from>
    <cdr:to>
      <cdr:x>0.63132</cdr:x>
      <cdr:y>0.76437</cdr:y>
    </cdr:to>
    <cdr:sp macro="" textlink="改修前後の比較!$AA$63">
      <cdr:nvSpPr>
        <cdr:cNvPr id="30727" name="Text Box 7"/>
        <cdr:cNvSpPr txBox="1">
          <a:spLocks xmlns:a="http://schemas.openxmlformats.org/drawingml/2006/main" noChangeArrowheads="1" noTextEdit="1"/>
        </cdr:cNvSpPr>
      </cdr:nvSpPr>
      <cdr:spPr bwMode="auto">
        <a:xfrm xmlns:a="http://schemas.openxmlformats.org/drawingml/2006/main">
          <a:off x="1633707" y="1056411"/>
          <a:ext cx="317778"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3B28941-D565-48E1-8E5E-BCAEE87AE32A}" type="TxLink">
            <a:rPr lang="ja-JP" altLang="en-US"/>
            <a:pPr algn="ctr" rtl="0">
              <a:defRPr sz="1000"/>
            </a:pPr>
            <a:t> </a:t>
          </a:fld>
          <a:endParaRPr lang="ja-JP" altLang="en-US"/>
        </a:p>
      </cdr:txBody>
    </cdr:sp>
  </cdr:relSizeAnchor>
  <cdr:relSizeAnchor xmlns:cdr="http://schemas.openxmlformats.org/drawingml/2006/chartDrawing">
    <cdr:from>
      <cdr:x>0.72145</cdr:x>
      <cdr:y>0.6543</cdr:y>
    </cdr:from>
    <cdr:to>
      <cdr:x>0.82999</cdr:x>
      <cdr:y>0.76437</cdr:y>
    </cdr:to>
    <cdr:sp macro="" textlink="改修前後の比較!$Y$64">
      <cdr:nvSpPr>
        <cdr:cNvPr id="30728" name="Text Box 8"/>
        <cdr:cNvSpPr txBox="1">
          <a:spLocks xmlns:a="http://schemas.openxmlformats.org/drawingml/2006/main" noChangeArrowheads="1" noTextEdit="1"/>
        </cdr:cNvSpPr>
      </cdr:nvSpPr>
      <cdr:spPr bwMode="auto">
        <a:xfrm xmlns:a="http://schemas.openxmlformats.org/drawingml/2006/main">
          <a:off x="2229634" y="1056411"/>
          <a:ext cx="334975"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F2BBC98-DBC5-4CA8-B44C-819B4CA599C9}" type="TxLink">
            <a:rPr lang="ja-JP" altLang="en-US"/>
            <a:pPr algn="ctr" rtl="0">
              <a:defRPr sz="1000"/>
            </a:pPr>
            <a:t> </a:t>
          </a:fld>
          <a:endParaRPr lang="ja-JP" altLang="en-US"/>
        </a:p>
      </cdr:txBody>
    </cdr:sp>
  </cdr:relSizeAnchor>
  <cdr:relSizeAnchor xmlns:cdr="http://schemas.openxmlformats.org/drawingml/2006/chartDrawing">
    <cdr:from>
      <cdr:x>0.83363</cdr:x>
      <cdr:y>0.6543</cdr:y>
    </cdr:from>
    <cdr:to>
      <cdr:x>0.93756</cdr:x>
      <cdr:y>0.76437</cdr:y>
    </cdr:to>
    <cdr:sp macro="" textlink="改修前後の比較!$AA$64">
      <cdr:nvSpPr>
        <cdr:cNvPr id="30729" name="Text Box 9"/>
        <cdr:cNvSpPr txBox="1">
          <a:spLocks xmlns:a="http://schemas.openxmlformats.org/drawingml/2006/main" noChangeArrowheads="1" noTextEdit="1"/>
        </cdr:cNvSpPr>
      </cdr:nvSpPr>
      <cdr:spPr bwMode="auto">
        <a:xfrm xmlns:a="http://schemas.openxmlformats.org/drawingml/2006/main">
          <a:off x="2575825" y="1056411"/>
          <a:ext cx="320769"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18E1A44B-DAEB-43AD-83B2-C8E0EC0C5509}" type="TxLink">
            <a:rPr lang="ja-JP" altLang="en-US"/>
            <a:pPr algn="ctr" rtl="0">
              <a:defRPr sz="1000"/>
            </a:pPr>
            <a:t> </a:t>
          </a:fld>
          <a:endParaRPr lang="ja-JP" altLang="en-US"/>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9</xdr:col>
      <xdr:colOff>523875</xdr:colOff>
      <xdr:row>4</xdr:row>
      <xdr:rowOff>76200</xdr:rowOff>
    </xdr:to>
    <xdr:pic>
      <xdr:nvPicPr>
        <xdr:cNvPr id="2" name="Picture 84"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143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6838</xdr:colOff>
          <xdr:row>6</xdr:row>
          <xdr:rowOff>215901</xdr:rowOff>
        </xdr:from>
        <xdr:to>
          <xdr:col>15</xdr:col>
          <xdr:colOff>976</xdr:colOff>
          <xdr:row>15</xdr:row>
          <xdr:rowOff>215900</xdr:rowOff>
        </xdr:to>
        <xdr:pic>
          <xdr:nvPicPr>
            <xdr:cNvPr id="6" name="Picture 52"/>
            <xdr:cNvPicPr>
              <a:picLocks noChangeAspect="1" noChangeArrowheads="1"/>
              <a:extLst>
                <a:ext uri="{84589F7E-364E-4C9E-8A38-B11213B215E9}">
                  <a14:cameraTool cellRange="外観図!$A$2" spid="_x0000_s196663"/>
                </a:ext>
              </a:extLst>
            </xdr:cNvPicPr>
          </xdr:nvPicPr>
          <xdr:blipFill>
            <a:blip xmlns:r="http://schemas.openxmlformats.org/officeDocument/2006/relationships" r:embed="rId2"/>
            <a:srcRect/>
            <a:stretch>
              <a:fillRect/>
            </a:stretch>
          </xdr:blipFill>
          <xdr:spPr bwMode="auto">
            <a:xfrm>
              <a:off x="6737838" y="1231901"/>
              <a:ext cx="3448538" cy="2057399"/>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7" name="Rectangle 56"/>
        <xdr:cNvSpPr>
          <a:spLocks noChangeArrowheads="1"/>
        </xdr:cNvSpPr>
      </xdr:nvSpPr>
      <xdr:spPr bwMode="auto">
        <a:xfrm>
          <a:off x="4886325" y="49530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8" name="Line 57"/>
        <xdr:cNvSpPr>
          <a:spLocks noChangeShapeType="1"/>
        </xdr:cNvSpPr>
      </xdr:nvSpPr>
      <xdr:spPr bwMode="auto">
        <a:xfrm>
          <a:off x="95250" y="5753100"/>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9" name="Text Box 58"/>
        <xdr:cNvSpPr txBox="1">
          <a:spLocks noChangeArrowheads="1"/>
        </xdr:cNvSpPr>
      </xdr:nvSpPr>
      <xdr:spPr bwMode="auto">
        <a:xfrm>
          <a:off x="4991100" y="526732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13</xdr:col>
      <xdr:colOff>0</xdr:colOff>
      <xdr:row>48</xdr:row>
      <xdr:rowOff>0</xdr:rowOff>
    </xdr:from>
    <xdr:to>
      <xdr:col>13</xdr:col>
      <xdr:colOff>0</xdr:colOff>
      <xdr:row>49</xdr:row>
      <xdr:rowOff>0</xdr:rowOff>
    </xdr:to>
    <xdr:sp macro="" textlink="">
      <xdr:nvSpPr>
        <xdr:cNvPr id="10" name="Line 60"/>
        <xdr:cNvSpPr>
          <a:spLocks noChangeShapeType="1"/>
        </xdr:cNvSpPr>
      </xdr:nvSpPr>
      <xdr:spPr bwMode="auto">
        <a:xfrm>
          <a:off x="8439150" y="113538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1" name="Line 61"/>
        <xdr:cNvSpPr>
          <a:spLocks noChangeShapeType="1"/>
        </xdr:cNvSpPr>
      </xdr:nvSpPr>
      <xdr:spPr bwMode="auto">
        <a:xfrm>
          <a:off x="57150" y="12306300"/>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12" name="Text Box 62"/>
        <xdr:cNvSpPr txBox="1">
          <a:spLocks noChangeArrowheads="1"/>
        </xdr:cNvSpPr>
      </xdr:nvSpPr>
      <xdr:spPr bwMode="auto">
        <a:xfrm>
          <a:off x="4991100" y="123729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23</xdr:row>
          <xdr:rowOff>104775</xdr:rowOff>
        </xdr:from>
        <xdr:to>
          <xdr:col>14</xdr:col>
          <xdr:colOff>523875</xdr:colOff>
          <xdr:row>25</xdr:row>
          <xdr:rowOff>152400</xdr:rowOff>
        </xdr:to>
        <xdr:sp macro="" textlink="">
          <xdr:nvSpPr>
            <xdr:cNvPr id="196609" name="Object 1" hidden="1">
              <a:extLst>
                <a:ext uri="{63B3BB69-23CF-44E3-9099-C40C66FF867C}">
                  <a14:compatExt spid="_x0000_s196609"/>
                </a:ext>
              </a:extLst>
            </xdr:cNvPr>
            <xdr:cNvSpPr/>
          </xdr:nvSpPr>
          <xdr:spPr>
            <a:xfrm>
              <a:off x="0" y="0"/>
              <a:ext cx="0" cy="0"/>
            </a:xfrm>
            <a:prstGeom prst="rect">
              <a:avLst/>
            </a:prstGeom>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14" name="Rectangle 70"/>
        <xdr:cNvSpPr>
          <a:spLocks noChangeArrowheads="1"/>
        </xdr:cNvSpPr>
      </xdr:nvSpPr>
      <xdr:spPr bwMode="auto">
        <a:xfrm>
          <a:off x="4886325" y="49530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15" name="Line 71"/>
        <xdr:cNvSpPr>
          <a:spLocks noChangeShapeType="1"/>
        </xdr:cNvSpPr>
      </xdr:nvSpPr>
      <xdr:spPr bwMode="auto">
        <a:xfrm>
          <a:off x="95250" y="5753100"/>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16" name="Text Box 72"/>
        <xdr:cNvSpPr txBox="1">
          <a:spLocks noChangeArrowheads="1"/>
        </xdr:cNvSpPr>
      </xdr:nvSpPr>
      <xdr:spPr bwMode="auto">
        <a:xfrm>
          <a:off x="4991100" y="526732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266700</xdr:colOff>
          <xdr:row>49</xdr:row>
          <xdr:rowOff>47625</xdr:rowOff>
        </xdr:from>
        <xdr:to>
          <xdr:col>14</xdr:col>
          <xdr:colOff>571500</xdr:colOff>
          <xdr:row>59</xdr:row>
          <xdr:rowOff>180975</xdr:rowOff>
        </xdr:to>
        <xdr:sp macro="" textlink="">
          <xdr:nvSpPr>
            <xdr:cNvPr id="196610" name="Object 2" hidden="1">
              <a:extLst>
                <a:ext uri="{63B3BB69-23CF-44E3-9099-C40C66FF867C}">
                  <a14:compatExt spid="_x0000_s196610"/>
                </a:ext>
              </a:extLst>
            </xdr:cNvPr>
            <xdr:cNvSpPr/>
          </xdr:nvSpPr>
          <xdr:spPr>
            <a:xfrm>
              <a:off x="0" y="0"/>
              <a:ext cx="0" cy="0"/>
            </a:xfrm>
            <a:prstGeom prst="rect">
              <a:avLst/>
            </a:prstGeom>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8" name="Line 74"/>
        <xdr:cNvSpPr>
          <a:spLocks noChangeShapeType="1"/>
        </xdr:cNvSpPr>
      </xdr:nvSpPr>
      <xdr:spPr bwMode="auto">
        <a:xfrm>
          <a:off x="8439150" y="113538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9" name="Line 75"/>
        <xdr:cNvSpPr>
          <a:spLocks noChangeShapeType="1"/>
        </xdr:cNvSpPr>
      </xdr:nvSpPr>
      <xdr:spPr bwMode="auto">
        <a:xfrm>
          <a:off x="57150" y="12306300"/>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20" name="Text Box 76"/>
        <xdr:cNvSpPr txBox="1">
          <a:spLocks noChangeArrowheads="1"/>
        </xdr:cNvSpPr>
      </xdr:nvSpPr>
      <xdr:spPr bwMode="auto">
        <a:xfrm>
          <a:off x="4991100" y="123729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428625</xdr:colOff>
      <xdr:row>61</xdr:row>
      <xdr:rowOff>0</xdr:rowOff>
    </xdr:to>
    <xdr:sp macro="" textlink="">
      <xdr:nvSpPr>
        <xdr:cNvPr id="21" name="Text Box 77"/>
        <xdr:cNvSpPr txBox="1">
          <a:spLocks noChangeArrowheads="1"/>
        </xdr:cNvSpPr>
      </xdr:nvSpPr>
      <xdr:spPr bwMode="auto">
        <a:xfrm>
          <a:off x="6267450" y="15039975"/>
          <a:ext cx="34671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28575</xdr:rowOff>
        </xdr:from>
        <xdr:to>
          <xdr:col>14</xdr:col>
          <xdr:colOff>485775</xdr:colOff>
          <xdr:row>36</xdr:row>
          <xdr:rowOff>28575</xdr:rowOff>
        </xdr:to>
        <xdr:sp macro="" textlink="">
          <xdr:nvSpPr>
            <xdr:cNvPr id="196611" name="Object 3" hidden="1">
              <a:extLst>
                <a:ext uri="{63B3BB69-23CF-44E3-9099-C40C66FF867C}">
                  <a14:compatExt spid="_x0000_s196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66675</xdr:rowOff>
        </xdr:from>
        <xdr:to>
          <xdr:col>14</xdr:col>
          <xdr:colOff>485775</xdr:colOff>
          <xdr:row>44</xdr:row>
          <xdr:rowOff>219075</xdr:rowOff>
        </xdr:to>
        <xdr:sp macro="" textlink="">
          <xdr:nvSpPr>
            <xdr:cNvPr id="196612" name="Object 4" hidden="1">
              <a:extLst>
                <a:ext uri="{63B3BB69-23CF-44E3-9099-C40C66FF867C}">
                  <a14:compatExt spid="_x0000_s196612"/>
                </a:ext>
              </a:extLst>
            </xdr:cNvPr>
            <xdr:cNvSpPr/>
          </xdr:nvSpPr>
          <xdr:spPr>
            <a:xfrm>
              <a:off x="0" y="0"/>
              <a:ext cx="0" cy="0"/>
            </a:xfrm>
            <a:prstGeom prst="rect">
              <a:avLst/>
            </a:prstGeom>
          </xdr:spPr>
        </xdr:sp>
        <xdr:clientData/>
      </xdr:twoCellAnchor>
    </mc:Choice>
    <mc:Fallback/>
  </mc:AlternateContent>
  <xdr:twoCellAnchor>
    <xdr:from>
      <xdr:col>11</xdr:col>
      <xdr:colOff>447675</xdr:colOff>
      <xdr:row>1</xdr:row>
      <xdr:rowOff>133350</xdr:rowOff>
    </xdr:from>
    <xdr:to>
      <xdr:col>15</xdr:col>
      <xdr:colOff>19050</xdr:colOff>
      <xdr:row>4</xdr:row>
      <xdr:rowOff>38100</xdr:rowOff>
    </xdr:to>
    <xdr:sp macro="" textlink="">
      <xdr:nvSpPr>
        <xdr:cNvPr id="25" name="Text Box 85"/>
        <xdr:cNvSpPr txBox="1">
          <a:spLocks noChangeArrowheads="1"/>
        </xdr:cNvSpPr>
      </xdr:nvSpPr>
      <xdr:spPr bwMode="auto">
        <a:xfrm>
          <a:off x="7162800" y="209550"/>
          <a:ext cx="302895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性能表示 】</a:t>
          </a:r>
        </a:p>
      </xdr:txBody>
    </xdr:sp>
    <xdr:clientData/>
  </xdr:twoCellAnchor>
  <xdr:twoCellAnchor>
    <xdr:from>
      <xdr:col>9</xdr:col>
      <xdr:colOff>438150</xdr:colOff>
      <xdr:row>0</xdr:row>
      <xdr:rowOff>47625</xdr:rowOff>
    </xdr:from>
    <xdr:to>
      <xdr:col>11</xdr:col>
      <xdr:colOff>771525</xdr:colOff>
      <xdr:row>6</xdr:row>
      <xdr:rowOff>0</xdr:rowOff>
    </xdr:to>
    <xdr:sp macro="" textlink="">
      <xdr:nvSpPr>
        <xdr:cNvPr id="26" name="Text Box 86"/>
        <xdr:cNvSpPr txBox="1">
          <a:spLocks noChangeArrowheads="1"/>
        </xdr:cNvSpPr>
      </xdr:nvSpPr>
      <xdr:spPr bwMode="auto">
        <a:xfrm>
          <a:off x="5324475" y="47625"/>
          <a:ext cx="2162175" cy="962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600"/>
            </a:lnSpc>
            <a:defRPr sz="1000"/>
          </a:pPr>
          <a:r>
            <a:rPr lang="ja-JP" altLang="en-US" sz="2400" b="0" i="0" u="none" strike="noStrike" baseline="0">
              <a:solidFill>
                <a:srgbClr val="000000"/>
              </a:solidFill>
              <a:latin typeface="ＭＳ Ｐゴシック"/>
              <a:ea typeface="ＭＳ Ｐゴシック"/>
            </a:rPr>
            <a:t>（改修後）</a:t>
          </a:r>
        </a:p>
      </xdr:txBody>
    </xdr:sp>
    <xdr:clientData/>
  </xdr:twoCellAnchor>
  <xdr:twoCellAnchor>
    <xdr:from>
      <xdr:col>2</xdr:col>
      <xdr:colOff>177800</xdr:colOff>
      <xdr:row>22</xdr:row>
      <xdr:rowOff>88900</xdr:rowOff>
    </xdr:from>
    <xdr:to>
      <xdr:col>8</xdr:col>
      <xdr:colOff>228600</xdr:colOff>
      <xdr:row>25</xdr:row>
      <xdr:rowOff>173642</xdr:rowOff>
    </xdr:to>
    <xdr:graphicFrame macro="">
      <xdr:nvGraphicFramePr>
        <xdr:cNvPr id="2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63500</xdr:colOff>
      <xdr:row>24</xdr:row>
      <xdr:rowOff>533400</xdr:rowOff>
    </xdr:from>
    <xdr:to>
      <xdr:col>8</xdr:col>
      <xdr:colOff>474900</xdr:colOff>
      <xdr:row>42</xdr:row>
      <xdr:rowOff>25400</xdr:rowOff>
    </xdr:to>
    <xdr:graphicFrame macro="">
      <xdr:nvGraphicFramePr>
        <xdr:cNvPr id="2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285466</xdr:colOff>
      <xdr:row>41</xdr:row>
      <xdr:rowOff>76200</xdr:rowOff>
    </xdr:from>
    <xdr:to>
      <xdr:col>8</xdr:col>
      <xdr:colOff>12700</xdr:colOff>
      <xdr:row>45</xdr:row>
      <xdr:rowOff>200333</xdr:rowOff>
    </xdr:to>
    <xdr:graphicFrame macro="">
      <xdr:nvGraphicFramePr>
        <xdr:cNvPr id="30"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50800</xdr:colOff>
      <xdr:row>46</xdr:row>
      <xdr:rowOff>305620</xdr:rowOff>
    </xdr:from>
    <xdr:to>
      <xdr:col>11</xdr:col>
      <xdr:colOff>203200</xdr:colOff>
      <xdr:row>50</xdr:row>
      <xdr:rowOff>90954</xdr:rowOff>
    </xdr:to>
    <xdr:graphicFrame macro="">
      <xdr:nvGraphicFramePr>
        <xdr:cNvPr id="31"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0.0986</cdr:x>
      <cdr:y>0.65829</cdr:y>
    </cdr:from>
    <cdr:to>
      <cdr:x>0.19093</cdr:x>
      <cdr:y>0.76861</cdr:y>
    </cdr:to>
    <cdr:sp macro="" textlink="改修前後の比較!$T$62">
      <cdr:nvSpPr>
        <cdr:cNvPr id="31749" name="Text Box 5"/>
        <cdr:cNvSpPr txBox="1">
          <a:spLocks xmlns:a="http://schemas.openxmlformats.org/drawingml/2006/main" noChangeArrowheads="1" noTextEdit="1"/>
        </cdr:cNvSpPr>
      </cdr:nvSpPr>
      <cdr:spPr bwMode="auto">
        <a:xfrm xmlns:a="http://schemas.openxmlformats.org/drawingml/2006/main">
          <a:off x="337522"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C4E9F8F-08A1-456A-B7B3-271D7A3BA3C9}" type="TxLink">
            <a:rPr lang="ja-JP" altLang="en-US"/>
            <a:pPr algn="ctr" rtl="0">
              <a:defRPr sz="1000"/>
            </a:pPr>
            <a:t> </a:t>
          </a:fld>
          <a:endParaRPr lang="ja-JP" altLang="en-US"/>
        </a:p>
      </cdr:txBody>
    </cdr:sp>
  </cdr:relSizeAnchor>
  <cdr:relSizeAnchor xmlns:cdr="http://schemas.openxmlformats.org/drawingml/2006/chartDrawing">
    <cdr:from>
      <cdr:x>0.19263</cdr:x>
      <cdr:y>0.65829</cdr:y>
    </cdr:from>
    <cdr:to>
      <cdr:x>0.28399</cdr:x>
      <cdr:y>0.76861</cdr:y>
    </cdr:to>
    <cdr:sp macro="" textlink="改修前後の比較!$V$62">
      <cdr:nvSpPr>
        <cdr:cNvPr id="31750" name="Text Box 6"/>
        <cdr:cNvSpPr txBox="1">
          <a:spLocks xmlns:a="http://schemas.openxmlformats.org/drawingml/2006/main" noChangeArrowheads="1" noTextEdit="1"/>
        </cdr:cNvSpPr>
      </cdr:nvSpPr>
      <cdr:spPr bwMode="auto">
        <a:xfrm xmlns:a="http://schemas.openxmlformats.org/drawingml/2006/main">
          <a:off x="656376"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617A9770-AE5A-4EA5-BCC1-3BE9FA9B84E4}" type="TxLink">
            <a:rPr lang="ja-JP" altLang="en-US"/>
            <a:pPr algn="ctr" rtl="0">
              <a:defRPr sz="1000"/>
            </a:pPr>
            <a:t> </a:t>
          </a:fld>
          <a:endParaRPr lang="ja-JP" altLang="en-US"/>
        </a:p>
      </cdr:txBody>
    </cdr:sp>
  </cdr:relSizeAnchor>
  <cdr:relSizeAnchor xmlns:cdr="http://schemas.openxmlformats.org/drawingml/2006/chartDrawing">
    <cdr:from>
      <cdr:x>0.3219</cdr:x>
      <cdr:y>0.65829</cdr:y>
    </cdr:from>
    <cdr:to>
      <cdr:x>0.41423</cdr:x>
      <cdr:y>0.76861</cdr:y>
    </cdr:to>
    <cdr:sp macro="" textlink="改修前後の比較!$T$63">
      <cdr:nvSpPr>
        <cdr:cNvPr id="31751" name="Text Box 7"/>
        <cdr:cNvSpPr txBox="1">
          <a:spLocks xmlns:a="http://schemas.openxmlformats.org/drawingml/2006/main" noChangeArrowheads="1" noTextEdit="1"/>
        </cdr:cNvSpPr>
      </cdr:nvSpPr>
      <cdr:spPr bwMode="auto">
        <a:xfrm xmlns:a="http://schemas.openxmlformats.org/drawingml/2006/main">
          <a:off x="1094697" y="1062848"/>
          <a:ext cx="313087"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BC3997A-1963-4A1E-984D-1472D66A833A}" type="TxLink">
            <a:rPr lang="ja-JP" altLang="en-US"/>
            <a:pPr algn="ctr" rtl="0">
              <a:defRPr sz="1000"/>
            </a:pPr>
            <a:t> </a:t>
          </a:fld>
          <a:endParaRPr lang="ja-JP" altLang="en-US"/>
        </a:p>
      </cdr:txBody>
    </cdr:sp>
  </cdr:relSizeAnchor>
  <cdr:relSizeAnchor xmlns:cdr="http://schemas.openxmlformats.org/drawingml/2006/chartDrawing">
    <cdr:from>
      <cdr:x>0.4152</cdr:x>
      <cdr:y>0.65829</cdr:y>
    </cdr:from>
    <cdr:to>
      <cdr:x>0.50753</cdr:x>
      <cdr:y>0.76861</cdr:y>
    </cdr:to>
    <cdr:sp macro="" textlink="改修前後の比較!$V$63">
      <cdr:nvSpPr>
        <cdr:cNvPr id="31752" name="Text Box 8"/>
        <cdr:cNvSpPr txBox="1">
          <a:spLocks xmlns:a="http://schemas.openxmlformats.org/drawingml/2006/main" noChangeArrowheads="1" noTextEdit="1"/>
        </cdr:cNvSpPr>
      </cdr:nvSpPr>
      <cdr:spPr bwMode="auto">
        <a:xfrm xmlns:a="http://schemas.openxmlformats.org/drawingml/2006/main">
          <a:off x="1411080"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04B537E-B1F4-4ACE-B4EC-ADEEE5344969}" type="TxLink">
            <a:rPr lang="ja-JP" altLang="en-US"/>
            <a:pPr algn="ctr" rtl="0">
              <a:defRPr sz="1000"/>
            </a:pPr>
            <a:t> </a:t>
          </a:fld>
          <a:endParaRPr lang="ja-JP" altLang="en-US"/>
        </a:p>
      </cdr:txBody>
    </cdr:sp>
  </cdr:relSizeAnchor>
  <cdr:relSizeAnchor xmlns:cdr="http://schemas.openxmlformats.org/drawingml/2006/chartDrawing">
    <cdr:from>
      <cdr:x>0.5537</cdr:x>
      <cdr:y>0.65829</cdr:y>
    </cdr:from>
    <cdr:to>
      <cdr:x>0.64676</cdr:x>
      <cdr:y>0.76861</cdr:y>
    </cdr:to>
    <cdr:sp macro="" textlink="改修前後の比較!$T$64">
      <cdr:nvSpPr>
        <cdr:cNvPr id="31753" name="Text Box 9"/>
        <cdr:cNvSpPr txBox="1">
          <a:spLocks xmlns:a="http://schemas.openxmlformats.org/drawingml/2006/main" noChangeArrowheads="1" noTextEdit="1"/>
        </cdr:cNvSpPr>
      </cdr:nvSpPr>
      <cdr:spPr bwMode="auto">
        <a:xfrm xmlns:a="http://schemas.openxmlformats.org/drawingml/2006/main">
          <a:off x="1880710" y="1062848"/>
          <a:ext cx="315558"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A88E1C4-7C3F-488B-911E-024B70EEF63C}" type="TxLink">
            <a:rPr lang="ja-JP" altLang="en-US"/>
            <a:pPr algn="ctr" rtl="0">
              <a:defRPr sz="1000"/>
            </a:pPr>
            <a:t> </a:t>
          </a:fld>
          <a:endParaRPr lang="ja-JP" altLang="en-US"/>
        </a:p>
      </cdr:txBody>
    </cdr:sp>
  </cdr:relSizeAnchor>
  <cdr:relSizeAnchor xmlns:cdr="http://schemas.openxmlformats.org/drawingml/2006/chartDrawing">
    <cdr:from>
      <cdr:x>0.64773</cdr:x>
      <cdr:y>0.65829</cdr:y>
    </cdr:from>
    <cdr:to>
      <cdr:x>0.73909</cdr:x>
      <cdr:y>0.76861</cdr:y>
    </cdr:to>
    <cdr:sp macro="" textlink="改修前後の比較!$V$64">
      <cdr:nvSpPr>
        <cdr:cNvPr id="31754" name="Text Box 10"/>
        <cdr:cNvSpPr txBox="1">
          <a:spLocks xmlns:a="http://schemas.openxmlformats.org/drawingml/2006/main" noChangeArrowheads="1" noTextEdit="1"/>
        </cdr:cNvSpPr>
      </cdr:nvSpPr>
      <cdr:spPr bwMode="auto">
        <a:xfrm xmlns:a="http://schemas.openxmlformats.org/drawingml/2006/main">
          <a:off x="2199564"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13200174-5451-4EB6-8627-35B55698090A}" type="TxLink">
            <a:rPr lang="ja-JP" altLang="en-US"/>
            <a:pPr algn="ctr" rtl="0">
              <a:defRPr sz="1000"/>
            </a:pPr>
            <a:t> </a:t>
          </a:fld>
          <a:endParaRPr lang="ja-JP" altLang="en-US"/>
        </a:p>
      </cdr:txBody>
    </cdr:sp>
  </cdr:relSizeAnchor>
  <cdr:relSizeAnchor xmlns:cdr="http://schemas.openxmlformats.org/drawingml/2006/chartDrawing">
    <cdr:from>
      <cdr:x>0.77602</cdr:x>
      <cdr:y>0.65829</cdr:y>
    </cdr:from>
    <cdr:to>
      <cdr:x>0.86835</cdr:x>
      <cdr:y>0.76861</cdr:y>
    </cdr:to>
    <cdr:sp macro="" textlink="改修前後の比較!$T$65">
      <cdr:nvSpPr>
        <cdr:cNvPr id="31755" name="Text Box 11"/>
        <cdr:cNvSpPr txBox="1">
          <a:spLocks xmlns:a="http://schemas.openxmlformats.org/drawingml/2006/main" noChangeArrowheads="1" noTextEdit="1"/>
        </cdr:cNvSpPr>
      </cdr:nvSpPr>
      <cdr:spPr bwMode="auto">
        <a:xfrm xmlns:a="http://schemas.openxmlformats.org/drawingml/2006/main">
          <a:off x="2634590"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93E9AEBB-D175-4EEE-895E-23165E8118C2}" type="TxLink">
            <a:rPr lang="ja-JP" altLang="en-US"/>
            <a:pPr algn="ctr" rtl="0">
              <a:defRPr sz="1000"/>
            </a:pPr>
            <a:t> </a:t>
          </a:fld>
          <a:endParaRPr lang="ja-JP" altLang="en-US"/>
        </a:p>
      </cdr:txBody>
    </cdr:sp>
  </cdr:relSizeAnchor>
  <cdr:relSizeAnchor xmlns:cdr="http://schemas.openxmlformats.org/drawingml/2006/chartDrawing">
    <cdr:from>
      <cdr:x>0.86933</cdr:x>
      <cdr:y>0.65829</cdr:y>
    </cdr:from>
    <cdr:to>
      <cdr:x>0.96069</cdr:x>
      <cdr:y>0.76861</cdr:y>
    </cdr:to>
    <cdr:sp macro="" textlink="改修前後の比較!$V$65">
      <cdr:nvSpPr>
        <cdr:cNvPr id="31756" name="Text Box 12"/>
        <cdr:cNvSpPr txBox="1">
          <a:spLocks xmlns:a="http://schemas.openxmlformats.org/drawingml/2006/main" noChangeArrowheads="1" noTextEdit="1"/>
        </cdr:cNvSpPr>
      </cdr:nvSpPr>
      <cdr:spPr bwMode="auto">
        <a:xfrm xmlns:a="http://schemas.openxmlformats.org/drawingml/2006/main">
          <a:off x="2950972"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E6FCD55-47FB-4877-9629-0D07FDF21E96}" type="TxLink">
            <a:rPr lang="ja-JP" altLang="en-US"/>
            <a:pPr algn="ctr" rtl="0">
              <a:defRPr sz="1000"/>
            </a:pPr>
            <a:t> </a:t>
          </a:fld>
          <a:endParaRPr lang="ja-JP" altLang="en-US"/>
        </a:p>
      </cdr:txBody>
    </cdr:sp>
  </cdr:relSizeAnchor>
</c:userShapes>
</file>

<file path=xl/drawings/drawing31.xml><?xml version="1.0" encoding="utf-8"?>
<c:userShapes xmlns:c="http://schemas.openxmlformats.org/drawingml/2006/chart">
  <cdr:relSizeAnchor xmlns:cdr="http://schemas.openxmlformats.org/drawingml/2006/chartDrawing">
    <cdr:from>
      <cdr:x>0.09735</cdr:x>
      <cdr:y>0.66523</cdr:y>
    </cdr:from>
    <cdr:to>
      <cdr:x>0.19066</cdr:x>
      <cdr:y>0.77499</cdr:y>
    </cdr:to>
    <cdr:sp macro="" textlink="改修前後の比較!$T$51">
      <cdr:nvSpPr>
        <cdr:cNvPr id="32774" name="Text Box 6"/>
        <cdr:cNvSpPr txBox="1">
          <a:spLocks xmlns:a="http://schemas.openxmlformats.org/drawingml/2006/main" noChangeArrowheads="1" noTextEdit="1"/>
        </cdr:cNvSpPr>
      </cdr:nvSpPr>
      <cdr:spPr bwMode="auto">
        <a:xfrm xmlns:a="http://schemas.openxmlformats.org/drawingml/2006/main">
          <a:off x="334219" y="1061333"/>
          <a:ext cx="317297"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B2967E08-C5B7-4023-8A83-507A2303228B}" type="TxLink">
            <a:rPr lang="ja-JP" altLang="en-US"/>
            <a:pPr algn="ctr" rtl="0">
              <a:defRPr sz="1000"/>
            </a:pPr>
            <a:t> </a:t>
          </a:fld>
          <a:endParaRPr lang="ja-JP" altLang="en-US"/>
        </a:p>
      </cdr:txBody>
    </cdr:sp>
  </cdr:relSizeAnchor>
  <cdr:relSizeAnchor xmlns:cdr="http://schemas.openxmlformats.org/drawingml/2006/chartDrawing">
    <cdr:from>
      <cdr:x>0.19139</cdr:x>
      <cdr:y>0.66523</cdr:y>
    </cdr:from>
    <cdr:to>
      <cdr:x>0.28373</cdr:x>
      <cdr:y>0.77499</cdr:y>
    </cdr:to>
    <cdr:sp macro="" textlink="改修前後の比較!$V$51">
      <cdr:nvSpPr>
        <cdr:cNvPr id="32775" name="Text Box 7"/>
        <cdr:cNvSpPr txBox="1">
          <a:spLocks xmlns:a="http://schemas.openxmlformats.org/drawingml/2006/main" noChangeArrowheads="1" noTextEdit="1"/>
        </cdr:cNvSpPr>
      </cdr:nvSpPr>
      <cdr:spPr bwMode="auto">
        <a:xfrm xmlns:a="http://schemas.openxmlformats.org/drawingml/2006/main">
          <a:off x="653994" y="1061333"/>
          <a:ext cx="313992"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2D64D4B-81FB-4F5D-A7EE-7A1A1ECC45F8}" type="TxLink">
            <a:rPr lang="ja-JP" altLang="en-US"/>
            <a:pPr algn="ctr" rtl="0">
              <a:defRPr sz="1000"/>
            </a:pPr>
            <a:t> </a:t>
          </a:fld>
          <a:endParaRPr lang="ja-JP" altLang="en-US"/>
        </a:p>
      </cdr:txBody>
    </cdr:sp>
  </cdr:relSizeAnchor>
  <cdr:relSizeAnchor xmlns:cdr="http://schemas.openxmlformats.org/drawingml/2006/chartDrawing">
    <cdr:from>
      <cdr:x>0.32456</cdr:x>
      <cdr:y>0.66523</cdr:y>
    </cdr:from>
    <cdr:to>
      <cdr:x>0.41762</cdr:x>
      <cdr:y>0.77499</cdr:y>
    </cdr:to>
    <cdr:sp macro="" textlink="改修前後の比較!$T$52">
      <cdr:nvSpPr>
        <cdr:cNvPr id="32776" name="Text Box 8"/>
        <cdr:cNvSpPr txBox="1">
          <a:spLocks xmlns:a="http://schemas.openxmlformats.org/drawingml/2006/main" noChangeArrowheads="1" noTextEdit="1"/>
        </cdr:cNvSpPr>
      </cdr:nvSpPr>
      <cdr:spPr bwMode="auto">
        <a:xfrm xmlns:a="http://schemas.openxmlformats.org/drawingml/2006/main">
          <a:off x="1106803" y="1061333"/>
          <a:ext cx="31647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8EFA9E4-C979-425C-B5B6-6796F120A955}" type="TxLink">
            <a:rPr lang="ja-JP" altLang="en-US"/>
            <a:pPr algn="ctr" rtl="0">
              <a:defRPr sz="1000"/>
            </a:pPr>
            <a:t> </a:t>
          </a:fld>
          <a:endParaRPr lang="ja-JP" altLang="en-US"/>
        </a:p>
      </cdr:txBody>
    </cdr:sp>
  </cdr:relSizeAnchor>
  <cdr:relSizeAnchor xmlns:cdr="http://schemas.openxmlformats.org/drawingml/2006/chartDrawing">
    <cdr:from>
      <cdr:x>0.4186</cdr:x>
      <cdr:y>0.66523</cdr:y>
    </cdr:from>
    <cdr:to>
      <cdr:x>0.51166</cdr:x>
      <cdr:y>0.77499</cdr:y>
    </cdr:to>
    <cdr:sp macro="" textlink="改修前後の比較!$V$52">
      <cdr:nvSpPr>
        <cdr:cNvPr id="32777" name="Text Box 9"/>
        <cdr:cNvSpPr txBox="1">
          <a:spLocks xmlns:a="http://schemas.openxmlformats.org/drawingml/2006/main" noChangeArrowheads="1" noTextEdit="1"/>
        </cdr:cNvSpPr>
      </cdr:nvSpPr>
      <cdr:spPr bwMode="auto">
        <a:xfrm xmlns:a="http://schemas.openxmlformats.org/drawingml/2006/main">
          <a:off x="1426579" y="1061333"/>
          <a:ext cx="31647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691E38A-65B6-4A20-AB97-A2F7F3C5720B}" type="TxLink">
            <a:rPr lang="ja-JP" altLang="en-US"/>
            <a:pPr algn="ctr" rtl="0">
              <a:defRPr sz="1000"/>
            </a:pPr>
            <a:t> </a:t>
          </a:fld>
          <a:endParaRPr lang="ja-JP" altLang="en-US"/>
        </a:p>
      </cdr:txBody>
    </cdr:sp>
  </cdr:relSizeAnchor>
  <cdr:relSizeAnchor xmlns:cdr="http://schemas.openxmlformats.org/drawingml/2006/chartDrawing">
    <cdr:from>
      <cdr:x>0.55054</cdr:x>
      <cdr:y>0.66523</cdr:y>
    </cdr:from>
    <cdr:to>
      <cdr:x>0.64288</cdr:x>
      <cdr:y>0.77499</cdr:y>
    </cdr:to>
    <cdr:sp macro="" textlink="改修前後の比較!$T$53">
      <cdr:nvSpPr>
        <cdr:cNvPr id="32778" name="Text Box 10"/>
        <cdr:cNvSpPr txBox="1">
          <a:spLocks xmlns:a="http://schemas.openxmlformats.org/drawingml/2006/main" noChangeArrowheads="1" noTextEdit="1"/>
        </cdr:cNvSpPr>
      </cdr:nvSpPr>
      <cdr:spPr bwMode="auto">
        <a:xfrm xmlns:a="http://schemas.openxmlformats.org/drawingml/2006/main">
          <a:off x="1875257" y="1061333"/>
          <a:ext cx="31399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A354CB0-BD29-42A3-B4B5-22A1A6B81F4B}" type="TxLink">
            <a:rPr lang="ja-JP" altLang="en-US"/>
            <a:pPr algn="ctr" rtl="0">
              <a:defRPr sz="1000"/>
            </a:pPr>
            <a:t> </a:t>
          </a:fld>
          <a:endParaRPr lang="ja-JP" altLang="en-US"/>
        </a:p>
      </cdr:txBody>
    </cdr:sp>
  </cdr:relSizeAnchor>
  <cdr:relSizeAnchor xmlns:cdr="http://schemas.openxmlformats.org/drawingml/2006/chartDrawing">
    <cdr:from>
      <cdr:x>0.64483</cdr:x>
      <cdr:y>0.66523</cdr:y>
    </cdr:from>
    <cdr:to>
      <cdr:x>0.73692</cdr:x>
      <cdr:y>0.77499</cdr:y>
    </cdr:to>
    <cdr:sp macro="" textlink="改修前後の比較!$V$53">
      <cdr:nvSpPr>
        <cdr:cNvPr id="32779" name="Text Box 11"/>
        <cdr:cNvSpPr txBox="1">
          <a:spLocks xmlns:a="http://schemas.openxmlformats.org/drawingml/2006/main" noChangeArrowheads="1" noTextEdit="1"/>
        </cdr:cNvSpPr>
      </cdr:nvSpPr>
      <cdr:spPr bwMode="auto">
        <a:xfrm xmlns:a="http://schemas.openxmlformats.org/drawingml/2006/main">
          <a:off x="2195859" y="1061333"/>
          <a:ext cx="313165"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C609D91-F37A-48E8-A769-9D122510ED50}" type="TxLink">
            <a:rPr lang="ja-JP" altLang="en-US"/>
            <a:pPr algn="ctr" rtl="0">
              <a:defRPr sz="1000"/>
            </a:pPr>
            <a:t> </a:t>
          </a:fld>
          <a:endParaRPr lang="ja-JP" altLang="en-US"/>
        </a:p>
      </cdr:txBody>
    </cdr:sp>
  </cdr:relSizeAnchor>
  <cdr:relSizeAnchor xmlns:cdr="http://schemas.openxmlformats.org/drawingml/2006/chartDrawing">
    <cdr:from>
      <cdr:x>0.77313</cdr:x>
      <cdr:y>0.66523</cdr:y>
    </cdr:from>
    <cdr:to>
      <cdr:x>0.86644</cdr:x>
      <cdr:y>0.77499</cdr:y>
    </cdr:to>
    <cdr:sp macro="" textlink="改修前後の比較!$T$54">
      <cdr:nvSpPr>
        <cdr:cNvPr id="32780" name="Text Box 12"/>
        <cdr:cNvSpPr txBox="1">
          <a:spLocks xmlns:a="http://schemas.openxmlformats.org/drawingml/2006/main" noChangeArrowheads="1" noTextEdit="1"/>
        </cdr:cNvSpPr>
      </cdr:nvSpPr>
      <cdr:spPr bwMode="auto">
        <a:xfrm xmlns:a="http://schemas.openxmlformats.org/drawingml/2006/main">
          <a:off x="2632142" y="1061333"/>
          <a:ext cx="317296"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386FBAD0-1A1B-49CE-9383-FD38A1A30E35}" type="TxLink">
            <a:rPr lang="ja-JP" altLang="en-US"/>
            <a:pPr algn="ctr" rtl="0">
              <a:defRPr sz="1000"/>
            </a:pPr>
            <a:t> </a:t>
          </a:fld>
          <a:endParaRPr lang="ja-JP" altLang="en-US"/>
        </a:p>
      </cdr:txBody>
    </cdr:sp>
  </cdr:relSizeAnchor>
  <cdr:relSizeAnchor xmlns:cdr="http://schemas.openxmlformats.org/drawingml/2006/chartDrawing">
    <cdr:from>
      <cdr:x>0.86717</cdr:x>
      <cdr:y>0.66523</cdr:y>
    </cdr:from>
    <cdr:to>
      <cdr:x>0.96048</cdr:x>
      <cdr:y>0.77499</cdr:y>
    </cdr:to>
    <cdr:sp macro="" textlink="改修前後の比較!$V$54">
      <cdr:nvSpPr>
        <cdr:cNvPr id="32781" name="Text Box 13"/>
        <cdr:cNvSpPr txBox="1">
          <a:spLocks xmlns:a="http://schemas.openxmlformats.org/drawingml/2006/main" noChangeArrowheads="1" noTextEdit="1"/>
        </cdr:cNvSpPr>
      </cdr:nvSpPr>
      <cdr:spPr bwMode="auto">
        <a:xfrm xmlns:a="http://schemas.openxmlformats.org/drawingml/2006/main">
          <a:off x="2951917" y="1061333"/>
          <a:ext cx="317297"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23A0751-ADD3-4BE5-94C3-7E8FA5B40730}" type="TxLink">
            <a:rPr lang="ja-JP" altLang="en-US"/>
            <a:pPr algn="ctr" rtl="0">
              <a:defRPr sz="1000"/>
            </a:pPr>
            <a:t> </a:t>
          </a:fld>
          <a:endParaRPr lang="ja-JP" altLang="en-US"/>
        </a:p>
      </cdr:txBody>
    </cdr:sp>
  </cdr:relSizeAnchor>
</c:userShapes>
</file>

<file path=xl/drawings/drawing32.xml><?xml version="1.0" encoding="utf-8"?>
<c:userShapes xmlns:c="http://schemas.openxmlformats.org/drawingml/2006/chart">
  <cdr:relSizeAnchor xmlns:cdr="http://schemas.openxmlformats.org/drawingml/2006/chartDrawing">
    <cdr:from>
      <cdr:x>0.79041</cdr:x>
      <cdr:y>0.23794</cdr:y>
    </cdr:from>
    <cdr:to>
      <cdr:x>0.89194</cdr:x>
      <cdr:y>0.33363</cdr:y>
    </cdr:to>
    <cdr:sp macro="" textlink="">
      <cdr:nvSpPr>
        <cdr:cNvPr id="38913" name="Rectangle 1"/>
        <cdr:cNvSpPr>
          <a:spLocks xmlns:a="http://schemas.openxmlformats.org/drawingml/2006/main" noChangeArrowheads="1"/>
        </cdr:cNvSpPr>
      </cdr:nvSpPr>
      <cdr:spPr bwMode="auto">
        <a:xfrm xmlns:a="http://schemas.openxmlformats.org/drawingml/2006/main">
          <a:off x="2005787" y="594701"/>
          <a:ext cx="257251" cy="23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75" b="1" i="0" u="none" strike="noStrike" baseline="0">
              <a:solidFill>
                <a:srgbClr val="000000"/>
              </a:solidFill>
              <a:latin typeface="ＭＳ Ｐゴシック"/>
              <a:ea typeface="ＭＳ Ｐゴシック"/>
            </a:rPr>
            <a:t>B</a:t>
          </a:r>
          <a:r>
            <a:rPr lang="ja-JP" altLang="en-US"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0.69152</cdr:x>
      <cdr:y>0.09369</cdr:y>
    </cdr:from>
    <cdr:to>
      <cdr:x>0.79305</cdr:x>
      <cdr:y>0.18938</cdr:y>
    </cdr:to>
    <cdr:sp macro="" textlink="">
      <cdr:nvSpPr>
        <cdr:cNvPr id="38914" name="Rectangle 2"/>
        <cdr:cNvSpPr>
          <a:spLocks xmlns:a="http://schemas.openxmlformats.org/drawingml/2006/main" noChangeArrowheads="1"/>
        </cdr:cNvSpPr>
      </cdr:nvSpPr>
      <cdr:spPr bwMode="auto">
        <a:xfrm xmlns:a="http://schemas.openxmlformats.org/drawingml/2006/main">
          <a:off x="1755242" y="236085"/>
          <a:ext cx="257251" cy="23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75" b="1" i="0" u="none" strike="noStrike" baseline="0">
              <a:solidFill>
                <a:srgbClr val="000000"/>
              </a:solidFill>
              <a:latin typeface="ＭＳ Ｐゴシック"/>
              <a:ea typeface="ＭＳ Ｐゴシック"/>
            </a:rPr>
            <a:t>B</a:t>
          </a:r>
          <a:r>
            <a:rPr lang="ja-JP" altLang="en-US"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0.87365</cdr:x>
      <cdr:y>0.3543</cdr:y>
    </cdr:from>
    <cdr:to>
      <cdr:x>0.98048</cdr:x>
      <cdr:y>0.41441</cdr:y>
    </cdr:to>
    <cdr:sp macro="" textlink="">
      <cdr:nvSpPr>
        <cdr:cNvPr id="38915" name="Rectangle 3"/>
        <cdr:cNvSpPr>
          <a:spLocks xmlns:a="http://schemas.openxmlformats.org/drawingml/2006/main" noChangeArrowheads="1"/>
        </cdr:cNvSpPr>
      </cdr:nvSpPr>
      <cdr:spPr bwMode="auto">
        <a:xfrm xmlns:a="http://schemas.openxmlformats.org/drawingml/2006/main">
          <a:off x="2216709" y="883985"/>
          <a:ext cx="270662" cy="1494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0.79113</cdr:x>
      <cdr:y>0.01916</cdr:y>
    </cdr:from>
    <cdr:to>
      <cdr:x>0.9812</cdr:x>
      <cdr:y>0.07493</cdr:y>
    </cdr:to>
    <cdr:sp macro="" textlink="">
      <cdr:nvSpPr>
        <cdr:cNvPr id="38916" name="Rectangle 4"/>
        <cdr:cNvSpPr>
          <a:spLocks xmlns:a="http://schemas.openxmlformats.org/drawingml/2006/main" noChangeArrowheads="1"/>
        </cdr:cNvSpPr>
      </cdr:nvSpPr>
      <cdr:spPr bwMode="auto">
        <a:xfrm xmlns:a="http://schemas.openxmlformats.org/drawingml/2006/main">
          <a:off x="2007616" y="50800"/>
          <a:ext cx="481584" cy="1386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0.43095</cdr:x>
      <cdr:y>0.02204</cdr:y>
    </cdr:from>
    <cdr:to>
      <cdr:x>0.55389</cdr:x>
      <cdr:y>0.0771</cdr:y>
    </cdr:to>
    <cdr:sp macro="" textlink="">
      <cdr:nvSpPr>
        <cdr:cNvPr id="38917" name="Rectangle 5"/>
        <cdr:cNvSpPr>
          <a:spLocks xmlns:a="http://schemas.openxmlformats.org/drawingml/2006/main" noChangeArrowheads="1"/>
        </cdr:cNvSpPr>
      </cdr:nvSpPr>
      <cdr:spPr bwMode="auto">
        <a:xfrm xmlns:a="http://schemas.openxmlformats.org/drawingml/2006/main">
          <a:off x="1095045" y="57972"/>
          <a:ext cx="311505" cy="1368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0.6114</cdr:x>
      <cdr:y>0.02204</cdr:y>
    </cdr:from>
    <cdr:to>
      <cdr:x>0.75071</cdr:x>
      <cdr:y>0.0771</cdr:y>
    </cdr:to>
    <cdr:sp macro="" textlink="">
      <cdr:nvSpPr>
        <cdr:cNvPr id="38918" name="Rectangle 6"/>
        <cdr:cNvSpPr>
          <a:spLocks xmlns:a="http://schemas.openxmlformats.org/drawingml/2006/main" noChangeArrowheads="1"/>
        </cdr:cNvSpPr>
      </cdr:nvSpPr>
      <cdr:spPr bwMode="auto">
        <a:xfrm xmlns:a="http://schemas.openxmlformats.org/drawingml/2006/main">
          <a:off x="1552245" y="57972"/>
          <a:ext cx="352958" cy="1368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1.5</a:t>
          </a:r>
        </a:p>
      </cdr:txBody>
    </cdr:sp>
  </cdr:relSizeAnchor>
</c:userShapes>
</file>

<file path=xl/drawings/drawing33.xml><?xml version="1.0" encoding="utf-8"?>
<c:userShapes xmlns:c="http://schemas.openxmlformats.org/drawingml/2006/chart">
  <cdr:relSizeAnchor xmlns:cdr="http://schemas.openxmlformats.org/drawingml/2006/chartDrawing">
    <cdr:from>
      <cdr:x>0.76863</cdr:x>
      <cdr:y>0.27335</cdr:y>
    </cdr:from>
    <cdr:to>
      <cdr:x>0.869</cdr:x>
      <cdr:y>0.37504</cdr:y>
    </cdr:to>
    <cdr:sp macro="" textlink="">
      <cdr:nvSpPr>
        <cdr:cNvPr id="36865" name="Rectangle 1"/>
        <cdr:cNvSpPr>
          <a:spLocks xmlns:a="http://schemas.openxmlformats.org/drawingml/2006/main" noChangeArrowheads="1"/>
        </cdr:cNvSpPr>
      </cdr:nvSpPr>
      <cdr:spPr bwMode="auto">
        <a:xfrm xmlns:a="http://schemas.openxmlformats.org/drawingml/2006/main">
          <a:off x="1972574" y="643684"/>
          <a:ext cx="257182" cy="2382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25" b="1" i="0" u="none" strike="noStrike" baseline="0">
              <a:solidFill>
                <a:srgbClr val="000000"/>
              </a:solidFill>
              <a:latin typeface="ＭＳ Ｐゴシック"/>
              <a:ea typeface="ＭＳ Ｐゴシック"/>
            </a:rPr>
            <a:t>B</a:t>
          </a:r>
          <a:r>
            <a:rPr lang="ja-JP" altLang="en-US" sz="102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0.65309</cdr:x>
      <cdr:y>0.08484</cdr:y>
    </cdr:from>
    <cdr:to>
      <cdr:x>0.75346</cdr:x>
      <cdr:y>0.18653</cdr:y>
    </cdr:to>
    <cdr:sp macro="" textlink="">
      <cdr:nvSpPr>
        <cdr:cNvPr id="36866" name="Rectangle 2"/>
        <cdr:cNvSpPr>
          <a:spLocks xmlns:a="http://schemas.openxmlformats.org/drawingml/2006/main" noChangeArrowheads="1"/>
        </cdr:cNvSpPr>
      </cdr:nvSpPr>
      <cdr:spPr bwMode="auto">
        <a:xfrm xmlns:a="http://schemas.openxmlformats.org/drawingml/2006/main">
          <a:off x="1676537" y="201971"/>
          <a:ext cx="257182" cy="2382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25" b="1" i="0" u="none" strike="noStrike" baseline="0">
              <a:solidFill>
                <a:srgbClr val="000000"/>
              </a:solidFill>
              <a:latin typeface="ＭＳ Ｐゴシック"/>
              <a:ea typeface="ＭＳ Ｐゴシック"/>
            </a:rPr>
            <a:t>B</a:t>
          </a:r>
          <a:r>
            <a:rPr lang="ja-JP" altLang="en-US" sz="102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0.86563</cdr:x>
      <cdr:y>0.40478</cdr:y>
    </cdr:from>
    <cdr:to>
      <cdr:x>0.97925</cdr:x>
      <cdr:y>0.47482</cdr:y>
    </cdr:to>
    <cdr:sp macro="" textlink="">
      <cdr:nvSpPr>
        <cdr:cNvPr id="36867" name="Rectangle 3"/>
        <cdr:cNvSpPr>
          <a:spLocks xmlns:a="http://schemas.openxmlformats.org/drawingml/2006/main" noChangeArrowheads="1"/>
        </cdr:cNvSpPr>
      </cdr:nvSpPr>
      <cdr:spPr bwMode="auto">
        <a:xfrm xmlns:a="http://schemas.openxmlformats.org/drawingml/2006/main">
          <a:off x="2221121" y="951646"/>
          <a:ext cx="291103" cy="1640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0.73782</cdr:x>
      <cdr:y>0.02488</cdr:y>
    </cdr:from>
    <cdr:to>
      <cdr:x>0.9429</cdr:x>
      <cdr:y>0.12681</cdr:y>
    </cdr:to>
    <cdr:sp macro="" textlink="">
      <cdr:nvSpPr>
        <cdr:cNvPr id="36868" name="Rectangle 4"/>
        <cdr:cNvSpPr>
          <a:spLocks xmlns:a="http://schemas.openxmlformats.org/drawingml/2006/main" noChangeArrowheads="1"/>
        </cdr:cNvSpPr>
      </cdr:nvSpPr>
      <cdr:spPr bwMode="auto">
        <a:xfrm xmlns:a="http://schemas.openxmlformats.org/drawingml/2006/main">
          <a:off x="1893630" y="61478"/>
          <a:ext cx="525466" cy="238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0.31514</cdr:x>
      <cdr:y>0.02488</cdr:y>
    </cdr:from>
    <cdr:to>
      <cdr:x>0.46076</cdr:x>
      <cdr:y>0.12681</cdr:y>
    </cdr:to>
    <cdr:sp macro="" textlink="">
      <cdr:nvSpPr>
        <cdr:cNvPr id="36869" name="Rectangle 5"/>
        <cdr:cNvSpPr>
          <a:spLocks xmlns:a="http://schemas.openxmlformats.org/drawingml/2006/main" noChangeArrowheads="1"/>
        </cdr:cNvSpPr>
      </cdr:nvSpPr>
      <cdr:spPr bwMode="auto">
        <a:xfrm xmlns:a="http://schemas.openxmlformats.org/drawingml/2006/main">
          <a:off x="810628" y="61478"/>
          <a:ext cx="373130" cy="238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0.55705</cdr:x>
      <cdr:y>0.02224</cdr:y>
    </cdr:from>
    <cdr:to>
      <cdr:x>0.72193</cdr:x>
      <cdr:y>0.12681</cdr:y>
    </cdr:to>
    <cdr:sp macro="" textlink="">
      <cdr:nvSpPr>
        <cdr:cNvPr id="36870" name="Rectangle 6"/>
        <cdr:cNvSpPr>
          <a:spLocks xmlns:a="http://schemas.openxmlformats.org/drawingml/2006/main" noChangeArrowheads="1"/>
        </cdr:cNvSpPr>
      </cdr:nvSpPr>
      <cdr:spPr bwMode="auto">
        <a:xfrm xmlns:a="http://schemas.openxmlformats.org/drawingml/2006/main">
          <a:off x="1430456" y="55296"/>
          <a:ext cx="422469" cy="2450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1.5</a:t>
          </a:r>
        </a:p>
      </cdr:txBody>
    </cdr:sp>
  </cdr:relSizeAnchor>
</c:userShapes>
</file>

<file path=xl/drawings/drawing34.xml><?xml version="1.0" encoding="utf-8"?>
<c:userShapes xmlns:c="http://schemas.openxmlformats.org/drawingml/2006/chart">
  <cdr:relSizeAnchor xmlns:cdr="http://schemas.openxmlformats.org/drawingml/2006/chartDrawing">
    <cdr:from>
      <cdr:x>0.7363</cdr:x>
      <cdr:y>0.23016</cdr:y>
    </cdr:from>
    <cdr:to>
      <cdr:x>0.87092</cdr:x>
      <cdr:y>0.32792</cdr:y>
    </cdr:to>
    <cdr:sp macro="" textlink="改修前後の比較!$T$41">
      <cdr:nvSpPr>
        <cdr:cNvPr id="84997" name="Text Box 1029"/>
        <cdr:cNvSpPr txBox="1">
          <a:spLocks xmlns:a="http://schemas.openxmlformats.org/drawingml/2006/main" noChangeArrowheads="1" noTextEdit="1"/>
        </cdr:cNvSpPr>
      </cdr:nvSpPr>
      <cdr:spPr bwMode="auto">
        <a:xfrm xmlns:a="http://schemas.openxmlformats.org/drawingml/2006/main">
          <a:off x="1553107" y="415322"/>
          <a:ext cx="283378"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58BEBF35-1B23-4808-B7EA-5615A57F1FBC}" type="TxLink">
            <a:rPr lang="ja-JP" altLang="en-US"/>
            <a:pPr algn="ctr" rtl="0">
              <a:defRPr sz="1000"/>
            </a:pPr>
            <a:t> </a:t>
          </a:fld>
          <a:endParaRPr lang="ja-JP" altLang="en-US"/>
        </a:p>
      </cdr:txBody>
    </cdr:sp>
  </cdr:relSizeAnchor>
  <cdr:relSizeAnchor xmlns:cdr="http://schemas.openxmlformats.org/drawingml/2006/chartDrawing">
    <cdr:from>
      <cdr:x>0.66231</cdr:x>
      <cdr:y>0.15986</cdr:y>
    </cdr:from>
    <cdr:to>
      <cdr:x>0.9652</cdr:x>
      <cdr:y>0.25762</cdr:y>
    </cdr:to>
    <cdr:sp macro="" textlink="改修前後の比較!$U$41">
      <cdr:nvSpPr>
        <cdr:cNvPr id="85001" name="Text Box 1033"/>
        <cdr:cNvSpPr txBox="1">
          <a:spLocks xmlns:a="http://schemas.openxmlformats.org/drawingml/2006/main" noChangeArrowheads="1" noTextEdit="1"/>
        </cdr:cNvSpPr>
      </cdr:nvSpPr>
      <cdr:spPr bwMode="auto">
        <a:xfrm xmlns:a="http://schemas.openxmlformats.org/drawingml/2006/main">
          <a:off x="1397349" y="289435"/>
          <a:ext cx="637601"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C6905E52-0A77-4DBE-9102-B670F5A23C6D}"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0.33005</cdr:y>
    </cdr:from>
    <cdr:to>
      <cdr:x>0.9652</cdr:x>
      <cdr:y>0.42781</cdr:y>
    </cdr:to>
    <cdr:sp macro="" textlink="改修前後の比較!$U$42">
      <cdr:nvSpPr>
        <cdr:cNvPr id="85002" name="Text Box 1034"/>
        <cdr:cNvSpPr txBox="1">
          <a:spLocks xmlns:a="http://schemas.openxmlformats.org/drawingml/2006/main" noChangeArrowheads="1" noTextEdit="1"/>
        </cdr:cNvSpPr>
      </cdr:nvSpPr>
      <cdr:spPr bwMode="auto">
        <a:xfrm xmlns:a="http://schemas.openxmlformats.org/drawingml/2006/main">
          <a:off x="1397349" y="594192"/>
          <a:ext cx="637601"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181DFED1-FBD4-4814-9809-03DDBFCFF198}" type="TxLink">
            <a:rPr lang="ja-JP" altLang="en-US" sz="900" b="1" i="0" u="none" strike="noStrike" baseline="0">
              <a:solidFill>
                <a:srgbClr val="000000"/>
              </a:solidFill>
              <a:latin typeface="Arial"/>
              <a:cs typeface="Arial"/>
            </a:rPr>
            <a:pPr algn="r" rtl="0">
              <a:defRPr sz="1000"/>
            </a:pPr>
            <a:t>93%</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0.51089</cdr:y>
    </cdr:from>
    <cdr:to>
      <cdr:x>0.96473</cdr:x>
      <cdr:y>0.60888</cdr:y>
    </cdr:to>
    <cdr:sp macro="" textlink="改修前後の比較!$U$43">
      <cdr:nvSpPr>
        <cdr:cNvPr id="85003" name="Text Box 1035"/>
        <cdr:cNvSpPr txBox="1">
          <a:spLocks xmlns:a="http://schemas.openxmlformats.org/drawingml/2006/main" noChangeArrowheads="1" noTextEdit="1"/>
        </cdr:cNvSpPr>
      </cdr:nvSpPr>
      <cdr:spPr bwMode="auto">
        <a:xfrm xmlns:a="http://schemas.openxmlformats.org/drawingml/2006/main">
          <a:off x="1397349" y="918023"/>
          <a:ext cx="636596" cy="1754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FF4853CB-6693-4E6D-A03A-2565CFEF125A}"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0.67587</cdr:y>
    </cdr:from>
    <cdr:to>
      <cdr:x>0.96473</cdr:x>
      <cdr:y>0.77434</cdr:y>
    </cdr:to>
    <cdr:sp macro="" textlink="改修前後の比較!$U$44">
      <cdr:nvSpPr>
        <cdr:cNvPr id="85004" name="Text Box 1036"/>
        <cdr:cNvSpPr txBox="1">
          <a:spLocks xmlns:a="http://schemas.openxmlformats.org/drawingml/2006/main" noChangeArrowheads="1" noTextEdit="1"/>
        </cdr:cNvSpPr>
      </cdr:nvSpPr>
      <cdr:spPr bwMode="auto">
        <a:xfrm xmlns:a="http://schemas.openxmlformats.org/drawingml/2006/main">
          <a:off x="1397349" y="1213455"/>
          <a:ext cx="636596" cy="1763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D361007F-EEFA-44CE-8C8F-5AFF6AB69E60}" type="TxLink">
            <a:rPr lang="ja-JP" altLang="en-US" sz="900" b="1" i="0" u="none" strike="noStrike" baseline="0">
              <a:solidFill>
                <a:srgbClr val="000000"/>
              </a:solidFill>
              <a:latin typeface="Arial"/>
              <a:cs typeface="Arial"/>
            </a:rPr>
            <a:pPr algn="r" rtl="0">
              <a:defRPr sz="1000"/>
            </a:pPr>
            <a:t>93%</a:t>
          </a:fld>
          <a:endParaRPr lang="ja-JP" altLang="en-US" sz="900" b="1" i="0" u="none" strike="noStrike" baseline="0">
            <a:solidFill>
              <a:srgbClr val="000000"/>
            </a:solidFill>
            <a:latin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4</xdr:col>
      <xdr:colOff>561975</xdr:colOff>
      <xdr:row>1</xdr:row>
      <xdr:rowOff>9525</xdr:rowOff>
    </xdr:from>
    <xdr:to>
      <xdr:col>6</xdr:col>
      <xdr:colOff>238125</xdr:colOff>
      <xdr:row>4</xdr:row>
      <xdr:rowOff>28575</xdr:rowOff>
    </xdr:to>
    <xdr:sp macro="" textlink="">
      <xdr:nvSpPr>
        <xdr:cNvPr id="2" name="Text Box 1"/>
        <xdr:cNvSpPr txBox="1">
          <a:spLocks noChangeArrowheads="1"/>
        </xdr:cNvSpPr>
      </xdr:nvSpPr>
      <xdr:spPr bwMode="auto">
        <a:xfrm>
          <a:off x="3514725" y="85725"/>
          <a:ext cx="1600200"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54864" bIns="32004" anchor="ctr" upright="1"/>
        <a:lstStyle/>
        <a:p>
          <a:pPr algn="ctr" rtl="0">
            <a:defRPr sz="1000"/>
          </a:pPr>
          <a:r>
            <a:rPr lang="ja-JP" altLang="en-US" sz="2800" b="0" i="0" u="none" strike="noStrike" baseline="0">
              <a:solidFill>
                <a:srgbClr val="000000"/>
              </a:solidFill>
              <a:latin typeface="ＭＳ Ｐゴシック"/>
              <a:ea typeface="ＭＳ Ｐゴシック"/>
            </a:rPr>
            <a:t>《改修》</a:t>
          </a:r>
        </a:p>
      </xdr:txBody>
    </xdr:sp>
    <xdr:clientData/>
  </xdr:twoCellAnchor>
  <xdr:twoCellAnchor editAs="oneCell">
    <xdr:from>
      <xdr:col>1</xdr:col>
      <xdr:colOff>123825</xdr:colOff>
      <xdr:row>1</xdr:row>
      <xdr:rowOff>133350</xdr:rowOff>
    </xdr:from>
    <xdr:to>
      <xdr:col>4</xdr:col>
      <xdr:colOff>609600</xdr:colOff>
      <xdr:row>3</xdr:row>
      <xdr:rowOff>114300</xdr:rowOff>
    </xdr:to>
    <xdr:pic>
      <xdr:nvPicPr>
        <xdr:cNvPr id="3" name="Picture 2"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09550"/>
          <a:ext cx="33718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30</xdr:col>
      <xdr:colOff>457200</xdr:colOff>
      <xdr:row>64</xdr:row>
      <xdr:rowOff>0</xdr:rowOff>
    </xdr:from>
    <xdr:to>
      <xdr:col>33</xdr:col>
      <xdr:colOff>657225</xdr:colOff>
      <xdr:row>64</xdr:row>
      <xdr:rowOff>0</xdr:rowOff>
    </xdr:to>
    <xdr:sp macro="" textlink="">
      <xdr:nvSpPr>
        <xdr:cNvPr id="176129" name="AutoShape 1"/>
        <xdr:cNvSpPr>
          <a:spLocks noChangeArrowheads="1"/>
        </xdr:cNvSpPr>
      </xdr:nvSpPr>
      <xdr:spPr bwMode="auto">
        <a:xfrm>
          <a:off x="19440525" y="5457825"/>
          <a:ext cx="2257425" cy="0"/>
        </a:xfrm>
        <a:prstGeom prst="cloudCallout">
          <a:avLst>
            <a:gd name="adj1" fmla="val -570255"/>
            <a:gd name="adj2" fmla="val 69671"/>
          </a:avLst>
        </a:prstGeom>
        <a:solidFill>
          <a:srgbClr val="FFFFFF"/>
        </a:solidFill>
        <a:ln w="9525">
          <a:solidFill>
            <a:srgbClr val="000000"/>
          </a:solidFill>
          <a:round/>
          <a:headEnd/>
          <a:tailEnd/>
        </a:ln>
      </xdr:spPr>
      <xdr:txBody>
        <a:bodyPr vertOverflow="clip" wrap="square" lIns="36576" tIns="22860" rIns="0" bIns="0" anchor="t" upright="1"/>
        <a:lstStyle/>
        <a:p>
          <a:pPr algn="l" rtl="0">
            <a:defRPr sz="1000"/>
          </a:pPr>
          <a:r>
            <a:rPr lang="ja-JP" altLang="en-US" sz="1400" b="1" i="0" strike="noStrike">
              <a:solidFill>
                <a:srgbClr val="FF0000"/>
              </a:solidFill>
              <a:latin typeface="ＭＳ Ｐゴシック"/>
              <a:ea typeface="ＭＳ Ｐゴシック"/>
            </a:rPr>
            <a:t>紫のセルの数値を見直してください。</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12</xdr:row>
      <xdr:rowOff>0</xdr:rowOff>
    </xdr:from>
    <xdr:to>
      <xdr:col>22</xdr:col>
      <xdr:colOff>0</xdr:colOff>
      <xdr:row>13</xdr:row>
      <xdr:rowOff>0</xdr:rowOff>
    </xdr:to>
    <xdr:sp macro="" textlink="">
      <xdr:nvSpPr>
        <xdr:cNvPr id="2" name="Rectangle 1"/>
        <xdr:cNvSpPr>
          <a:spLocks noChangeArrowheads="1"/>
        </xdr:cNvSpPr>
      </xdr:nvSpPr>
      <xdr:spPr bwMode="auto">
        <a:xfrm>
          <a:off x="14525625" y="1847850"/>
          <a:ext cx="1123950"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11</xdr:row>
      <xdr:rowOff>0</xdr:rowOff>
    </xdr:from>
    <xdr:to>
      <xdr:col>26</xdr:col>
      <xdr:colOff>0</xdr:colOff>
      <xdr:row>13</xdr:row>
      <xdr:rowOff>0</xdr:rowOff>
    </xdr:to>
    <xdr:sp macro="" textlink="">
      <xdr:nvSpPr>
        <xdr:cNvPr id="3" name="Rectangle 2"/>
        <xdr:cNvSpPr>
          <a:spLocks noChangeArrowheads="1"/>
        </xdr:cNvSpPr>
      </xdr:nvSpPr>
      <xdr:spPr bwMode="auto">
        <a:xfrm>
          <a:off x="17335500" y="167640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13</xdr:row>
      <xdr:rowOff>0</xdr:rowOff>
    </xdr:from>
    <xdr:to>
      <xdr:col>27</xdr:col>
      <xdr:colOff>0</xdr:colOff>
      <xdr:row>14</xdr:row>
      <xdr:rowOff>0</xdr:rowOff>
    </xdr:to>
    <xdr:sp macro="" textlink="">
      <xdr:nvSpPr>
        <xdr:cNvPr id="4" name="Rectangle 3"/>
        <xdr:cNvSpPr>
          <a:spLocks noChangeArrowheads="1"/>
        </xdr:cNvSpPr>
      </xdr:nvSpPr>
      <xdr:spPr bwMode="auto">
        <a:xfrm>
          <a:off x="17897475" y="201930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10</xdr:row>
      <xdr:rowOff>9525</xdr:rowOff>
    </xdr:from>
    <xdr:to>
      <xdr:col>30</xdr:col>
      <xdr:colOff>0</xdr:colOff>
      <xdr:row>13</xdr:row>
      <xdr:rowOff>0</xdr:rowOff>
    </xdr:to>
    <xdr:sp macro="" textlink="">
      <xdr:nvSpPr>
        <xdr:cNvPr id="5" name="Rectangle 4"/>
        <xdr:cNvSpPr>
          <a:spLocks noChangeArrowheads="1"/>
        </xdr:cNvSpPr>
      </xdr:nvSpPr>
      <xdr:spPr bwMode="auto">
        <a:xfrm>
          <a:off x="18459450" y="1514475"/>
          <a:ext cx="170497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18</xdr:col>
      <xdr:colOff>0</xdr:colOff>
      <xdr:row>28</xdr:row>
      <xdr:rowOff>0</xdr:rowOff>
    </xdr:from>
    <xdr:to>
      <xdr:col>27</xdr:col>
      <xdr:colOff>9525</xdr:colOff>
      <xdr:row>29</xdr:row>
      <xdr:rowOff>9525</xdr:rowOff>
    </xdr:to>
    <xdr:sp macro="" textlink="">
      <xdr:nvSpPr>
        <xdr:cNvPr id="6" name="Rectangle 5"/>
        <xdr:cNvSpPr>
          <a:spLocks noChangeArrowheads="1"/>
        </xdr:cNvSpPr>
      </xdr:nvSpPr>
      <xdr:spPr bwMode="auto">
        <a:xfrm>
          <a:off x="13401675" y="459105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31</xdr:row>
      <xdr:rowOff>0</xdr:rowOff>
    </xdr:from>
    <xdr:to>
      <xdr:col>30</xdr:col>
      <xdr:colOff>0</xdr:colOff>
      <xdr:row>32</xdr:row>
      <xdr:rowOff>0</xdr:rowOff>
    </xdr:to>
    <xdr:sp macro="" textlink="">
      <xdr:nvSpPr>
        <xdr:cNvPr id="7" name="Rectangle 6"/>
        <xdr:cNvSpPr>
          <a:spLocks noChangeArrowheads="1"/>
        </xdr:cNvSpPr>
      </xdr:nvSpPr>
      <xdr:spPr bwMode="auto">
        <a:xfrm>
          <a:off x="18459450" y="5105400"/>
          <a:ext cx="1704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180975</xdr:colOff>
      <xdr:row>25</xdr:row>
      <xdr:rowOff>114300</xdr:rowOff>
    </xdr:from>
    <xdr:to>
      <xdr:col>28</xdr:col>
      <xdr:colOff>514350</xdr:colOff>
      <xdr:row>27</xdr:row>
      <xdr:rowOff>114300</xdr:rowOff>
    </xdr:to>
    <xdr:sp macro="" textlink="">
      <xdr:nvSpPr>
        <xdr:cNvPr id="8" name="AutoShape 7"/>
        <xdr:cNvSpPr>
          <a:spLocks/>
        </xdr:cNvSpPr>
      </xdr:nvSpPr>
      <xdr:spPr bwMode="auto">
        <a:xfrm>
          <a:off x="18640425" y="4191000"/>
          <a:ext cx="895350" cy="342900"/>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27</xdr:col>
      <xdr:colOff>95250</xdr:colOff>
      <xdr:row>14</xdr:row>
      <xdr:rowOff>95250</xdr:rowOff>
    </xdr:from>
    <xdr:to>
      <xdr:col>29</xdr:col>
      <xdr:colOff>514350</xdr:colOff>
      <xdr:row>22</xdr:row>
      <xdr:rowOff>57150</xdr:rowOff>
    </xdr:to>
    <xdr:sp macro="" textlink="">
      <xdr:nvSpPr>
        <xdr:cNvPr id="9" name="Text Box 8"/>
        <xdr:cNvSpPr txBox="1">
          <a:spLocks noChangeArrowheads="1"/>
        </xdr:cNvSpPr>
      </xdr:nvSpPr>
      <xdr:spPr bwMode="auto">
        <a:xfrm>
          <a:off x="18554700" y="2286000"/>
          <a:ext cx="1543050"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（CASBEE本体との互換性のために項目を残している。）</a:t>
          </a:r>
        </a:p>
      </xdr:txBody>
    </xdr:sp>
    <xdr:clientData/>
  </xdr:twoCellAnchor>
  <xdr:twoCellAnchor>
    <xdr:from>
      <xdr:col>11</xdr:col>
      <xdr:colOff>257175</xdr:colOff>
      <xdr:row>36</xdr:row>
      <xdr:rowOff>152400</xdr:rowOff>
    </xdr:from>
    <xdr:to>
      <xdr:col>14</xdr:col>
      <xdr:colOff>523875</xdr:colOff>
      <xdr:row>43</xdr:row>
      <xdr:rowOff>85725</xdr:rowOff>
    </xdr:to>
    <xdr:sp macro="" textlink="">
      <xdr:nvSpPr>
        <xdr:cNvPr id="10" name="AutoShape 9"/>
        <xdr:cNvSpPr>
          <a:spLocks/>
        </xdr:cNvSpPr>
      </xdr:nvSpPr>
      <xdr:spPr bwMode="auto">
        <a:xfrm>
          <a:off x="8143875" y="6115050"/>
          <a:ext cx="1762125" cy="1133475"/>
        </a:xfrm>
        <a:prstGeom prst="borderCallout1">
          <a:avLst>
            <a:gd name="adj1" fmla="val 10083"/>
            <a:gd name="adj2" fmla="val -4324"/>
            <a:gd name="adj3" fmla="val -8403"/>
            <a:gd name="adj4" fmla="val -1351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【対象外の選択】</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スコアシートにスコア値「0」が入力されると、その項目は、評価対象外となる。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「1」：評価対象項目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「0」：評価対象外項目</a:t>
          </a:r>
        </a:p>
      </xdr:txBody>
    </xdr:sp>
    <xdr:clientData/>
  </xdr:twoCellAnchor>
  <xdr:twoCellAnchor>
    <xdr:from>
      <xdr:col>10</xdr:col>
      <xdr:colOff>19050</xdr:colOff>
      <xdr:row>35</xdr:row>
      <xdr:rowOff>28575</xdr:rowOff>
    </xdr:from>
    <xdr:to>
      <xdr:col>12</xdr:col>
      <xdr:colOff>0</xdr:colOff>
      <xdr:row>36</xdr:row>
      <xdr:rowOff>19050</xdr:rowOff>
    </xdr:to>
    <xdr:sp macro="" textlink="">
      <xdr:nvSpPr>
        <xdr:cNvPr id="11" name="AutoShape 10"/>
        <xdr:cNvSpPr>
          <a:spLocks/>
        </xdr:cNvSpPr>
      </xdr:nvSpPr>
      <xdr:spPr bwMode="auto">
        <a:xfrm rot="5400000">
          <a:off x="7829550" y="5248275"/>
          <a:ext cx="161925" cy="1304925"/>
        </a:xfrm>
        <a:prstGeom prst="rightBrace">
          <a:avLst>
            <a:gd name="adj1" fmla="val 671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0</xdr:colOff>
      <xdr:row>35</xdr:row>
      <xdr:rowOff>38100</xdr:rowOff>
    </xdr:from>
    <xdr:to>
      <xdr:col>7</xdr:col>
      <xdr:colOff>533400</xdr:colOff>
      <xdr:row>36</xdr:row>
      <xdr:rowOff>19050</xdr:rowOff>
    </xdr:to>
    <xdr:sp macro="" textlink="">
      <xdr:nvSpPr>
        <xdr:cNvPr id="12" name="AutoShape 11"/>
        <xdr:cNvSpPr>
          <a:spLocks/>
        </xdr:cNvSpPr>
      </xdr:nvSpPr>
      <xdr:spPr bwMode="auto">
        <a:xfrm rot="5400000">
          <a:off x="5248275" y="5362575"/>
          <a:ext cx="152400" cy="1085850"/>
        </a:xfrm>
        <a:prstGeom prst="rightBrace">
          <a:avLst>
            <a:gd name="adj1" fmla="val 59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44</xdr:row>
      <xdr:rowOff>19050</xdr:rowOff>
    </xdr:from>
    <xdr:to>
      <xdr:col>14</xdr:col>
      <xdr:colOff>342900</xdr:colOff>
      <xdr:row>50</xdr:row>
      <xdr:rowOff>133350</xdr:rowOff>
    </xdr:to>
    <xdr:sp macro="" textlink="">
      <xdr:nvSpPr>
        <xdr:cNvPr id="13" name="AutoShape 12"/>
        <xdr:cNvSpPr>
          <a:spLocks/>
        </xdr:cNvSpPr>
      </xdr:nvSpPr>
      <xdr:spPr bwMode="auto">
        <a:xfrm>
          <a:off x="7400925" y="7353300"/>
          <a:ext cx="2324100" cy="1143000"/>
        </a:xfrm>
        <a:prstGeom prst="borderCallout1">
          <a:avLst>
            <a:gd name="adj1" fmla="val 10000"/>
            <a:gd name="adj2" fmla="val -3278"/>
            <a:gd name="adj3" fmla="val -115000"/>
            <a:gd name="adj4" fmla="val -2049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「既定重み」に「対象外の選択」を乗じ、評価対象外の項目の「重み係数」を「0」としたものである。</a:t>
          </a:r>
        </a:p>
        <a:p>
          <a:pPr algn="l" rtl="0">
            <a:lnSpc>
              <a:spcPts val="1200"/>
            </a:lnSpc>
            <a:defRPr sz="1000"/>
          </a:pPr>
          <a:r>
            <a:rPr lang="ja-JP" altLang="en-US" sz="1000" b="0" i="0" u="none" strike="noStrike" baseline="0">
              <a:solidFill>
                <a:srgbClr val="000000"/>
              </a:solidFill>
              <a:latin typeface="ＭＳ Ｐゴシック"/>
              <a:ea typeface="ＭＳ Ｐゴシック"/>
            </a:rPr>
            <a:t>※このまま適用すると「重み係数」の計　が「1」とならず、評価が適正とならない</a:t>
          </a:r>
        </a:p>
        <a:p>
          <a:pPr algn="l" rtl="0">
            <a:lnSpc>
              <a:spcPts val="1100"/>
            </a:lnSpc>
            <a:defRPr sz="1000"/>
          </a:pPr>
          <a:r>
            <a:rPr lang="ja-JP" altLang="en-US" sz="1000" b="0" i="0" u="none" strike="noStrike" baseline="0">
              <a:solidFill>
                <a:srgbClr val="000000"/>
              </a:solidFill>
              <a:latin typeface="ＭＳ Ｐゴシック"/>
              <a:ea typeface="ＭＳ Ｐゴシック"/>
            </a:rPr>
            <a:t>　ために、補正を行う必要がある。</a:t>
          </a:r>
        </a:p>
      </xdr:txBody>
    </xdr:sp>
    <xdr:clientData/>
  </xdr:twoCellAnchor>
  <xdr:twoCellAnchor>
    <xdr:from>
      <xdr:col>8</xdr:col>
      <xdr:colOff>38100</xdr:colOff>
      <xdr:row>35</xdr:row>
      <xdr:rowOff>38100</xdr:rowOff>
    </xdr:from>
    <xdr:to>
      <xdr:col>9</xdr:col>
      <xdr:colOff>666750</xdr:colOff>
      <xdr:row>36</xdr:row>
      <xdr:rowOff>38100</xdr:rowOff>
    </xdr:to>
    <xdr:sp macro="" textlink="">
      <xdr:nvSpPr>
        <xdr:cNvPr id="14" name="AutoShape 13"/>
        <xdr:cNvSpPr>
          <a:spLocks/>
        </xdr:cNvSpPr>
      </xdr:nvSpPr>
      <xdr:spPr bwMode="auto">
        <a:xfrm rot="5400000">
          <a:off x="6481763" y="5272087"/>
          <a:ext cx="171450" cy="1285875"/>
        </a:xfrm>
        <a:prstGeom prst="rightBrace">
          <a:avLst>
            <a:gd name="adj1" fmla="val 62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581025</xdr:colOff>
      <xdr:row>51</xdr:row>
      <xdr:rowOff>104775</xdr:rowOff>
    </xdr:from>
    <xdr:to>
      <xdr:col>13</xdr:col>
      <xdr:colOff>619125</xdr:colOff>
      <xdr:row>54</xdr:row>
      <xdr:rowOff>114300</xdr:rowOff>
    </xdr:to>
    <xdr:sp macro="" textlink="">
      <xdr:nvSpPr>
        <xdr:cNvPr id="15" name="AutoShape 14"/>
        <xdr:cNvSpPr>
          <a:spLocks/>
        </xdr:cNvSpPr>
      </xdr:nvSpPr>
      <xdr:spPr bwMode="auto">
        <a:xfrm>
          <a:off x="6467475" y="8639175"/>
          <a:ext cx="2886075" cy="523875"/>
        </a:xfrm>
        <a:prstGeom prst="borderCallout1">
          <a:avLst>
            <a:gd name="adj1" fmla="val 21819"/>
            <a:gd name="adj2" fmla="val -2639"/>
            <a:gd name="adj3" fmla="val -496366"/>
            <a:gd name="adj4" fmla="val -2904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【補正前計】</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9525</xdr:colOff>
      <xdr:row>35</xdr:row>
      <xdr:rowOff>28575</xdr:rowOff>
    </xdr:from>
    <xdr:to>
      <xdr:col>4</xdr:col>
      <xdr:colOff>666750</xdr:colOff>
      <xdr:row>36</xdr:row>
      <xdr:rowOff>28575</xdr:rowOff>
    </xdr:to>
    <xdr:sp macro="" textlink="">
      <xdr:nvSpPr>
        <xdr:cNvPr id="16" name="AutoShape 15"/>
        <xdr:cNvSpPr>
          <a:spLocks/>
        </xdr:cNvSpPr>
      </xdr:nvSpPr>
      <xdr:spPr bwMode="auto">
        <a:xfrm rot="5400000">
          <a:off x="3895725" y="5248275"/>
          <a:ext cx="171450" cy="1314450"/>
        </a:xfrm>
        <a:prstGeom prst="rightBrace">
          <a:avLst>
            <a:gd name="adj1" fmla="val 638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476250</xdr:colOff>
      <xdr:row>38</xdr:row>
      <xdr:rowOff>19050</xdr:rowOff>
    </xdr:from>
    <xdr:to>
      <xdr:col>3</xdr:col>
      <xdr:colOff>361950</xdr:colOff>
      <xdr:row>42</xdr:row>
      <xdr:rowOff>9525</xdr:rowOff>
    </xdr:to>
    <xdr:sp macro="" textlink="">
      <xdr:nvSpPr>
        <xdr:cNvPr id="17" name="AutoShape 16"/>
        <xdr:cNvSpPr>
          <a:spLocks/>
        </xdr:cNvSpPr>
      </xdr:nvSpPr>
      <xdr:spPr bwMode="auto">
        <a:xfrm>
          <a:off x="1381125" y="6324600"/>
          <a:ext cx="2295525" cy="676275"/>
        </a:xfrm>
        <a:prstGeom prst="borderCallout1">
          <a:avLst>
            <a:gd name="adj1" fmla="val 16903"/>
            <a:gd name="adj2" fmla="val 103319"/>
            <a:gd name="adj3" fmla="val -40847"/>
            <a:gd name="adj4" fmla="val 11286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【補正後】</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実際に適用する「重み係数」とするために、「重み係数」の計が「1」となる補正を行う。</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12</xdr:row>
      <xdr:rowOff>0</xdr:rowOff>
    </xdr:from>
    <xdr:to>
      <xdr:col>22</xdr:col>
      <xdr:colOff>0</xdr:colOff>
      <xdr:row>13</xdr:row>
      <xdr:rowOff>0</xdr:rowOff>
    </xdr:to>
    <xdr:sp macro="" textlink="">
      <xdr:nvSpPr>
        <xdr:cNvPr id="2" name="Rectangle 1"/>
        <xdr:cNvSpPr>
          <a:spLocks noChangeArrowheads="1"/>
        </xdr:cNvSpPr>
      </xdr:nvSpPr>
      <xdr:spPr bwMode="auto">
        <a:xfrm>
          <a:off x="14525625" y="1847850"/>
          <a:ext cx="1123950"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11</xdr:row>
      <xdr:rowOff>0</xdr:rowOff>
    </xdr:from>
    <xdr:to>
      <xdr:col>26</xdr:col>
      <xdr:colOff>0</xdr:colOff>
      <xdr:row>13</xdr:row>
      <xdr:rowOff>0</xdr:rowOff>
    </xdr:to>
    <xdr:sp macro="" textlink="">
      <xdr:nvSpPr>
        <xdr:cNvPr id="3" name="Rectangle 2"/>
        <xdr:cNvSpPr>
          <a:spLocks noChangeArrowheads="1"/>
        </xdr:cNvSpPr>
      </xdr:nvSpPr>
      <xdr:spPr bwMode="auto">
        <a:xfrm>
          <a:off x="17335500" y="167640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13</xdr:row>
      <xdr:rowOff>0</xdr:rowOff>
    </xdr:from>
    <xdr:to>
      <xdr:col>27</xdr:col>
      <xdr:colOff>0</xdr:colOff>
      <xdr:row>14</xdr:row>
      <xdr:rowOff>0</xdr:rowOff>
    </xdr:to>
    <xdr:sp macro="" textlink="">
      <xdr:nvSpPr>
        <xdr:cNvPr id="4" name="Rectangle 3"/>
        <xdr:cNvSpPr>
          <a:spLocks noChangeArrowheads="1"/>
        </xdr:cNvSpPr>
      </xdr:nvSpPr>
      <xdr:spPr bwMode="auto">
        <a:xfrm>
          <a:off x="17897475" y="201930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10</xdr:row>
      <xdr:rowOff>9525</xdr:rowOff>
    </xdr:from>
    <xdr:to>
      <xdr:col>30</xdr:col>
      <xdr:colOff>0</xdr:colOff>
      <xdr:row>13</xdr:row>
      <xdr:rowOff>0</xdr:rowOff>
    </xdr:to>
    <xdr:sp macro="" textlink="">
      <xdr:nvSpPr>
        <xdr:cNvPr id="5" name="Rectangle 4"/>
        <xdr:cNvSpPr>
          <a:spLocks noChangeArrowheads="1"/>
        </xdr:cNvSpPr>
      </xdr:nvSpPr>
      <xdr:spPr bwMode="auto">
        <a:xfrm>
          <a:off x="18459450" y="1514475"/>
          <a:ext cx="170497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18</xdr:col>
      <xdr:colOff>0</xdr:colOff>
      <xdr:row>28</xdr:row>
      <xdr:rowOff>0</xdr:rowOff>
    </xdr:from>
    <xdr:to>
      <xdr:col>27</xdr:col>
      <xdr:colOff>9525</xdr:colOff>
      <xdr:row>29</xdr:row>
      <xdr:rowOff>9525</xdr:rowOff>
    </xdr:to>
    <xdr:sp macro="" textlink="">
      <xdr:nvSpPr>
        <xdr:cNvPr id="6" name="Rectangle 5"/>
        <xdr:cNvSpPr>
          <a:spLocks noChangeArrowheads="1"/>
        </xdr:cNvSpPr>
      </xdr:nvSpPr>
      <xdr:spPr bwMode="auto">
        <a:xfrm>
          <a:off x="13401675" y="459105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31</xdr:row>
      <xdr:rowOff>0</xdr:rowOff>
    </xdr:from>
    <xdr:to>
      <xdr:col>30</xdr:col>
      <xdr:colOff>0</xdr:colOff>
      <xdr:row>32</xdr:row>
      <xdr:rowOff>0</xdr:rowOff>
    </xdr:to>
    <xdr:sp macro="" textlink="">
      <xdr:nvSpPr>
        <xdr:cNvPr id="7" name="Rectangle 6"/>
        <xdr:cNvSpPr>
          <a:spLocks noChangeArrowheads="1"/>
        </xdr:cNvSpPr>
      </xdr:nvSpPr>
      <xdr:spPr bwMode="auto">
        <a:xfrm>
          <a:off x="18459450" y="5105400"/>
          <a:ext cx="1704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180975</xdr:colOff>
      <xdr:row>25</xdr:row>
      <xdr:rowOff>114300</xdr:rowOff>
    </xdr:from>
    <xdr:to>
      <xdr:col>28</xdr:col>
      <xdr:colOff>514350</xdr:colOff>
      <xdr:row>27</xdr:row>
      <xdr:rowOff>114300</xdr:rowOff>
    </xdr:to>
    <xdr:sp macro="" textlink="">
      <xdr:nvSpPr>
        <xdr:cNvPr id="8" name="AutoShape 7"/>
        <xdr:cNvSpPr>
          <a:spLocks/>
        </xdr:cNvSpPr>
      </xdr:nvSpPr>
      <xdr:spPr bwMode="auto">
        <a:xfrm>
          <a:off x="18640425" y="4191000"/>
          <a:ext cx="895350" cy="342900"/>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27</xdr:col>
      <xdr:colOff>95250</xdr:colOff>
      <xdr:row>14</xdr:row>
      <xdr:rowOff>95250</xdr:rowOff>
    </xdr:from>
    <xdr:to>
      <xdr:col>29</xdr:col>
      <xdr:colOff>514350</xdr:colOff>
      <xdr:row>22</xdr:row>
      <xdr:rowOff>57150</xdr:rowOff>
    </xdr:to>
    <xdr:sp macro="" textlink="">
      <xdr:nvSpPr>
        <xdr:cNvPr id="9" name="Text Box 8"/>
        <xdr:cNvSpPr txBox="1">
          <a:spLocks noChangeArrowheads="1"/>
        </xdr:cNvSpPr>
      </xdr:nvSpPr>
      <xdr:spPr bwMode="auto">
        <a:xfrm>
          <a:off x="18554700" y="2286000"/>
          <a:ext cx="1543050"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（CASBEE本体との互換性のために項目を残している。）</a:t>
          </a:r>
        </a:p>
      </xdr:txBody>
    </xdr:sp>
    <xdr:clientData/>
  </xdr:twoCellAnchor>
  <xdr:twoCellAnchor>
    <xdr:from>
      <xdr:col>11</xdr:col>
      <xdr:colOff>257175</xdr:colOff>
      <xdr:row>36</xdr:row>
      <xdr:rowOff>152400</xdr:rowOff>
    </xdr:from>
    <xdr:to>
      <xdr:col>14</xdr:col>
      <xdr:colOff>523875</xdr:colOff>
      <xdr:row>43</xdr:row>
      <xdr:rowOff>85725</xdr:rowOff>
    </xdr:to>
    <xdr:sp macro="" textlink="">
      <xdr:nvSpPr>
        <xdr:cNvPr id="10" name="AutoShape 9"/>
        <xdr:cNvSpPr>
          <a:spLocks/>
        </xdr:cNvSpPr>
      </xdr:nvSpPr>
      <xdr:spPr bwMode="auto">
        <a:xfrm>
          <a:off x="8143875" y="6115050"/>
          <a:ext cx="1762125" cy="1133475"/>
        </a:xfrm>
        <a:prstGeom prst="borderCallout1">
          <a:avLst>
            <a:gd name="adj1" fmla="val 10083"/>
            <a:gd name="adj2" fmla="val -4324"/>
            <a:gd name="adj3" fmla="val -8403"/>
            <a:gd name="adj4" fmla="val -1351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【対象外の選択】</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スコアシートにスコア値「0」が入力されると、その項目は、評価対象外となる。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「1」：評価対象項目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「0」：評価対象外項目</a:t>
          </a:r>
        </a:p>
      </xdr:txBody>
    </xdr:sp>
    <xdr:clientData/>
  </xdr:twoCellAnchor>
  <xdr:twoCellAnchor>
    <xdr:from>
      <xdr:col>10</xdr:col>
      <xdr:colOff>19050</xdr:colOff>
      <xdr:row>35</xdr:row>
      <xdr:rowOff>28575</xdr:rowOff>
    </xdr:from>
    <xdr:to>
      <xdr:col>12</xdr:col>
      <xdr:colOff>0</xdr:colOff>
      <xdr:row>36</xdr:row>
      <xdr:rowOff>19050</xdr:rowOff>
    </xdr:to>
    <xdr:sp macro="" textlink="">
      <xdr:nvSpPr>
        <xdr:cNvPr id="11" name="AutoShape 10"/>
        <xdr:cNvSpPr>
          <a:spLocks/>
        </xdr:cNvSpPr>
      </xdr:nvSpPr>
      <xdr:spPr bwMode="auto">
        <a:xfrm rot="5400000">
          <a:off x="7829550" y="5248275"/>
          <a:ext cx="161925" cy="1304925"/>
        </a:xfrm>
        <a:prstGeom prst="rightBrace">
          <a:avLst>
            <a:gd name="adj1" fmla="val 671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0</xdr:colOff>
      <xdr:row>35</xdr:row>
      <xdr:rowOff>38100</xdr:rowOff>
    </xdr:from>
    <xdr:to>
      <xdr:col>7</xdr:col>
      <xdr:colOff>533400</xdr:colOff>
      <xdr:row>36</xdr:row>
      <xdr:rowOff>19050</xdr:rowOff>
    </xdr:to>
    <xdr:sp macro="" textlink="">
      <xdr:nvSpPr>
        <xdr:cNvPr id="12" name="AutoShape 11"/>
        <xdr:cNvSpPr>
          <a:spLocks/>
        </xdr:cNvSpPr>
      </xdr:nvSpPr>
      <xdr:spPr bwMode="auto">
        <a:xfrm rot="5400000">
          <a:off x="5248275" y="5362575"/>
          <a:ext cx="152400" cy="1085850"/>
        </a:xfrm>
        <a:prstGeom prst="rightBrace">
          <a:avLst>
            <a:gd name="adj1" fmla="val 59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44</xdr:row>
      <xdr:rowOff>19050</xdr:rowOff>
    </xdr:from>
    <xdr:to>
      <xdr:col>14</xdr:col>
      <xdr:colOff>342900</xdr:colOff>
      <xdr:row>50</xdr:row>
      <xdr:rowOff>133350</xdr:rowOff>
    </xdr:to>
    <xdr:sp macro="" textlink="">
      <xdr:nvSpPr>
        <xdr:cNvPr id="13" name="AutoShape 12"/>
        <xdr:cNvSpPr>
          <a:spLocks/>
        </xdr:cNvSpPr>
      </xdr:nvSpPr>
      <xdr:spPr bwMode="auto">
        <a:xfrm>
          <a:off x="7400925" y="7353300"/>
          <a:ext cx="2324100" cy="1143000"/>
        </a:xfrm>
        <a:prstGeom prst="borderCallout1">
          <a:avLst>
            <a:gd name="adj1" fmla="val 10000"/>
            <a:gd name="adj2" fmla="val -3278"/>
            <a:gd name="adj3" fmla="val -115000"/>
            <a:gd name="adj4" fmla="val -2049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「既定重み」に「対象外の選択」を乗じ、評価対象外の項目の「重み係数」を「0」としたものである。</a:t>
          </a:r>
        </a:p>
        <a:p>
          <a:pPr algn="l" rtl="0">
            <a:lnSpc>
              <a:spcPts val="1200"/>
            </a:lnSpc>
            <a:defRPr sz="1000"/>
          </a:pPr>
          <a:r>
            <a:rPr lang="ja-JP" altLang="en-US" sz="1000" b="0" i="0" u="none" strike="noStrike" baseline="0">
              <a:solidFill>
                <a:srgbClr val="000000"/>
              </a:solidFill>
              <a:latin typeface="ＭＳ Ｐゴシック"/>
              <a:ea typeface="ＭＳ Ｐゴシック"/>
            </a:rPr>
            <a:t>※このまま適用すると「重み係数」の計　が「1」とならず、評価が適正とならない</a:t>
          </a:r>
        </a:p>
        <a:p>
          <a:pPr algn="l" rtl="0">
            <a:lnSpc>
              <a:spcPts val="1100"/>
            </a:lnSpc>
            <a:defRPr sz="1000"/>
          </a:pPr>
          <a:r>
            <a:rPr lang="ja-JP" altLang="en-US" sz="1000" b="0" i="0" u="none" strike="noStrike" baseline="0">
              <a:solidFill>
                <a:srgbClr val="000000"/>
              </a:solidFill>
              <a:latin typeface="ＭＳ Ｐゴシック"/>
              <a:ea typeface="ＭＳ Ｐゴシック"/>
            </a:rPr>
            <a:t>　ために、補正を行う必要がある。</a:t>
          </a:r>
        </a:p>
      </xdr:txBody>
    </xdr:sp>
    <xdr:clientData/>
  </xdr:twoCellAnchor>
  <xdr:twoCellAnchor>
    <xdr:from>
      <xdr:col>8</xdr:col>
      <xdr:colOff>38100</xdr:colOff>
      <xdr:row>35</xdr:row>
      <xdr:rowOff>38100</xdr:rowOff>
    </xdr:from>
    <xdr:to>
      <xdr:col>9</xdr:col>
      <xdr:colOff>666750</xdr:colOff>
      <xdr:row>36</xdr:row>
      <xdr:rowOff>38100</xdr:rowOff>
    </xdr:to>
    <xdr:sp macro="" textlink="">
      <xdr:nvSpPr>
        <xdr:cNvPr id="14" name="AutoShape 13"/>
        <xdr:cNvSpPr>
          <a:spLocks/>
        </xdr:cNvSpPr>
      </xdr:nvSpPr>
      <xdr:spPr bwMode="auto">
        <a:xfrm rot="5400000">
          <a:off x="6481763" y="5272087"/>
          <a:ext cx="171450" cy="1285875"/>
        </a:xfrm>
        <a:prstGeom prst="rightBrace">
          <a:avLst>
            <a:gd name="adj1" fmla="val 62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581025</xdr:colOff>
      <xdr:row>51</xdr:row>
      <xdr:rowOff>104775</xdr:rowOff>
    </xdr:from>
    <xdr:to>
      <xdr:col>13</xdr:col>
      <xdr:colOff>619125</xdr:colOff>
      <xdr:row>54</xdr:row>
      <xdr:rowOff>114300</xdr:rowOff>
    </xdr:to>
    <xdr:sp macro="" textlink="">
      <xdr:nvSpPr>
        <xdr:cNvPr id="15" name="AutoShape 14"/>
        <xdr:cNvSpPr>
          <a:spLocks/>
        </xdr:cNvSpPr>
      </xdr:nvSpPr>
      <xdr:spPr bwMode="auto">
        <a:xfrm>
          <a:off x="6467475" y="8639175"/>
          <a:ext cx="2886075" cy="523875"/>
        </a:xfrm>
        <a:prstGeom prst="borderCallout1">
          <a:avLst>
            <a:gd name="adj1" fmla="val 21819"/>
            <a:gd name="adj2" fmla="val -2639"/>
            <a:gd name="adj3" fmla="val -496366"/>
            <a:gd name="adj4" fmla="val -2904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【補正前計】</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9525</xdr:colOff>
      <xdr:row>35</xdr:row>
      <xdr:rowOff>28575</xdr:rowOff>
    </xdr:from>
    <xdr:to>
      <xdr:col>4</xdr:col>
      <xdr:colOff>666750</xdr:colOff>
      <xdr:row>36</xdr:row>
      <xdr:rowOff>28575</xdr:rowOff>
    </xdr:to>
    <xdr:sp macro="" textlink="">
      <xdr:nvSpPr>
        <xdr:cNvPr id="16" name="AutoShape 15"/>
        <xdr:cNvSpPr>
          <a:spLocks/>
        </xdr:cNvSpPr>
      </xdr:nvSpPr>
      <xdr:spPr bwMode="auto">
        <a:xfrm rot="5400000">
          <a:off x="3895725" y="5248275"/>
          <a:ext cx="171450" cy="1314450"/>
        </a:xfrm>
        <a:prstGeom prst="rightBrace">
          <a:avLst>
            <a:gd name="adj1" fmla="val 638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476250</xdr:colOff>
      <xdr:row>38</xdr:row>
      <xdr:rowOff>19050</xdr:rowOff>
    </xdr:from>
    <xdr:to>
      <xdr:col>3</xdr:col>
      <xdr:colOff>361950</xdr:colOff>
      <xdr:row>42</xdr:row>
      <xdr:rowOff>9525</xdr:rowOff>
    </xdr:to>
    <xdr:sp macro="" textlink="">
      <xdr:nvSpPr>
        <xdr:cNvPr id="17" name="AutoShape 16"/>
        <xdr:cNvSpPr>
          <a:spLocks/>
        </xdr:cNvSpPr>
      </xdr:nvSpPr>
      <xdr:spPr bwMode="auto">
        <a:xfrm>
          <a:off x="1381125" y="6324600"/>
          <a:ext cx="2295525" cy="676275"/>
        </a:xfrm>
        <a:prstGeom prst="borderCallout1">
          <a:avLst>
            <a:gd name="adj1" fmla="val 16903"/>
            <a:gd name="adj2" fmla="val 103319"/>
            <a:gd name="adj3" fmla="val -40847"/>
            <a:gd name="adj4" fmla="val 11286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【補正後】</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実際に適用する「重み係数」とするために、「重み係数」の計が「1」となる補正を行う。</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CASBEE-建築（改修）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BD_RN</a:t>
          </a:r>
          <a:r>
            <a:rPr lang="ja-JP" altLang="en-US" sz="1100" b="0" i="0" u="none" strike="noStrike" baseline="0">
              <a:solidFill>
                <a:srgbClr val="000000"/>
              </a:solidFill>
              <a:latin typeface="ＭＳ Ｐゴシック"/>
              <a:ea typeface="ＭＳ Ｐゴシック"/>
            </a:rPr>
            <a:t>_201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月初版）</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一般社団法人日本サステナブル建築協会　（JSBC)　　　</a:t>
          </a:r>
        </a:p>
        <a:p>
          <a:pPr algn="l" rtl="0">
            <a:lnSpc>
              <a:spcPts val="1300"/>
            </a:lnSpc>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また、Microsoft Windows、Microsoft Excel 2003 for Windows Xp等の操作に関しては、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財団法人　建築環境・省エネルギー機構</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lnSpc>
              <a:spcPts val="1300"/>
            </a:lnSpc>
            <a:defRPr sz="1000"/>
          </a:pPr>
          <a:r>
            <a:rPr lang="ja-JP" altLang="en-US" sz="1100" b="0" i="0" u="none" strike="noStrike" baseline="0">
              <a:solidFill>
                <a:srgbClr val="000000"/>
              </a:solidFill>
              <a:latin typeface="ＭＳ Ｐゴシック"/>
              <a:ea typeface="ＭＳ Ｐゴシック"/>
            </a:rPr>
            <a:t>　　　　　E-Mail  casbee-info@jsbc.or.jp</a:t>
          </a:r>
        </a:p>
        <a:p>
          <a:pPr algn="l" rtl="0">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 Japan Sustainable Building Consortium (JSBC)</a:t>
          </a:r>
        </a:p>
        <a:p>
          <a:pPr algn="l" rtl="0">
            <a:lnSpc>
              <a:spcPts val="1200"/>
            </a:lnSpc>
            <a:defRPr sz="1000"/>
          </a:pPr>
          <a:endParaRPr lang="en-US" altLang="ja-JP" sz="1100" b="0" i="0" u="none" strike="noStrike" baseline="0">
            <a:solidFill>
              <a:srgbClr val="000000"/>
            </a:solidFill>
            <a:latin typeface="ＭＳ Ｐゴシック"/>
            <a:ea typeface="ＭＳ Ｐゴシック"/>
          </a:endParaRPr>
        </a:p>
        <a:p>
          <a:pPr rtl="0"/>
          <a:r>
            <a:rPr lang="ja-JP" altLang="ja-JP" sz="1100" b="0" i="0" baseline="0">
              <a:effectLst/>
              <a:latin typeface="+mn-lt"/>
              <a:ea typeface="+mn-ea"/>
              <a:cs typeface="+mn-cs"/>
            </a:rPr>
            <a:t>【CASBEE熊本《改修》】 </a:t>
          </a:r>
          <a:r>
            <a:rPr lang="en-US" altLang="ja-JP" sz="1100" b="0" i="0" baseline="0">
              <a:effectLst/>
              <a:latin typeface="+mn-lt"/>
              <a:ea typeface="+mn-ea"/>
              <a:cs typeface="+mn-cs"/>
            </a:rPr>
            <a:t>CASBEE-BD_RN_2014(v.2.0)_kmt2015(v1.0)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「CASBEE-建築（改修）　評価ソフト」は、Microsoft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0.8384</cdr:y>
    </cdr:from>
    <cdr:to>
      <cdr:x>0.86057</cdr:x>
      <cdr:y>0.93664</cdr:y>
    </cdr:to>
    <cdr:sp macro="" textlink="">
      <cdr:nvSpPr>
        <cdr:cNvPr id="13314" name="Text Box 2"/>
        <cdr:cNvSpPr txBox="1">
          <a:spLocks xmlns:a="http://schemas.openxmlformats.org/drawingml/2006/main" noChangeArrowheads="1"/>
        </cdr:cNvSpPr>
      </cdr:nvSpPr>
      <cdr:spPr bwMode="auto">
        <a:xfrm xmlns:a="http://schemas.openxmlformats.org/drawingml/2006/main">
          <a:off x="1011548" y="3407258"/>
          <a:ext cx="3036573" cy="3992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xdr:colOff>
          <xdr:row>7</xdr:row>
          <xdr:rowOff>0</xdr:rowOff>
        </xdr:from>
        <xdr:to>
          <xdr:col>15</xdr:col>
          <xdr:colOff>0</xdr:colOff>
          <xdr:row>17</xdr:row>
          <xdr:rowOff>0</xdr:rowOff>
        </xdr:to>
        <xdr:pic>
          <xdr:nvPicPr>
            <xdr:cNvPr id="2" name="Picture 52"/>
            <xdr:cNvPicPr>
              <a:picLocks noChangeAspect="1" noChangeArrowheads="1"/>
              <a:extLst>
                <a:ext uri="{84589F7E-364E-4C9E-8A38-B11213B215E9}">
                  <a14:cameraTool cellRange="外観図!$A$2" spid="_x0000_s197691"/>
                </a:ext>
              </a:extLst>
            </xdr:cNvPicPr>
          </xdr:nvPicPr>
          <xdr:blipFill>
            <a:blip xmlns:r="http://schemas.openxmlformats.org/officeDocument/2006/relationships" r:embed="rId1"/>
            <a:srcRect/>
            <a:stretch>
              <a:fillRect/>
            </a:stretch>
          </xdr:blipFill>
          <xdr:spPr bwMode="auto">
            <a:xfrm>
              <a:off x="6731001" y="1244600"/>
              <a:ext cx="3454399" cy="22860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3" name="Rectangle 56"/>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4" name="Line 57"/>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5" name="Text Box 58"/>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13</xdr:col>
      <xdr:colOff>0</xdr:colOff>
      <xdr:row>48</xdr:row>
      <xdr:rowOff>0</xdr:rowOff>
    </xdr:from>
    <xdr:to>
      <xdr:col>13</xdr:col>
      <xdr:colOff>0</xdr:colOff>
      <xdr:row>49</xdr:row>
      <xdr:rowOff>0</xdr:rowOff>
    </xdr:to>
    <xdr:sp macro="" textlink="">
      <xdr:nvSpPr>
        <xdr:cNvPr id="6" name="Line 59"/>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7" name="Line 60"/>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8" name="Text Box 61"/>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23</xdr:row>
          <xdr:rowOff>104775</xdr:rowOff>
        </xdr:from>
        <xdr:to>
          <xdr:col>14</xdr:col>
          <xdr:colOff>523875</xdr:colOff>
          <xdr:row>25</xdr:row>
          <xdr:rowOff>152400</xdr:rowOff>
        </xdr:to>
        <xdr:sp macro="" textlink="">
          <xdr:nvSpPr>
            <xdr:cNvPr id="197633" name="Object 1" hidden="1">
              <a:extLst>
                <a:ext uri="{63B3BB69-23CF-44E3-9099-C40C66FF867C}">
                  <a14:compatExt spid="_x0000_s197633"/>
                </a:ext>
              </a:extLst>
            </xdr:cNvPr>
            <xdr:cNvSpPr/>
          </xdr:nvSpPr>
          <xdr:spPr>
            <a:xfrm>
              <a:off x="0" y="0"/>
              <a:ext cx="0" cy="0"/>
            </a:xfrm>
            <a:prstGeom prst="rect">
              <a:avLst/>
            </a:prstGeom>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10" name="Rectangle 63"/>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11" name="Line 64"/>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12" name="Text Box 65"/>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266700</xdr:colOff>
          <xdr:row>49</xdr:row>
          <xdr:rowOff>47625</xdr:rowOff>
        </xdr:from>
        <xdr:to>
          <xdr:col>14</xdr:col>
          <xdr:colOff>571500</xdr:colOff>
          <xdr:row>59</xdr:row>
          <xdr:rowOff>180975</xdr:rowOff>
        </xdr:to>
        <xdr:sp macro="" textlink="">
          <xdr:nvSpPr>
            <xdr:cNvPr id="197634" name="Object 2" hidden="1">
              <a:extLst>
                <a:ext uri="{63B3BB69-23CF-44E3-9099-C40C66FF867C}">
                  <a14:compatExt spid="_x0000_s197634"/>
                </a:ext>
              </a:extLst>
            </xdr:cNvPr>
            <xdr:cNvSpPr/>
          </xdr:nvSpPr>
          <xdr:spPr>
            <a:xfrm>
              <a:off x="0" y="0"/>
              <a:ext cx="0" cy="0"/>
            </a:xfrm>
            <a:prstGeom prst="rect">
              <a:avLst/>
            </a:prstGeom>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4" name="Line 67"/>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5" name="Line 68"/>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16" name="Text Box 69"/>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428625</xdr:colOff>
      <xdr:row>61</xdr:row>
      <xdr:rowOff>0</xdr:rowOff>
    </xdr:to>
    <xdr:sp macro="" textlink="">
      <xdr:nvSpPr>
        <xdr:cNvPr id="17" name="Text Box 70"/>
        <xdr:cNvSpPr txBox="1">
          <a:spLocks noChangeArrowheads="1"/>
        </xdr:cNvSpPr>
      </xdr:nvSpPr>
      <xdr:spPr bwMode="auto">
        <a:xfrm>
          <a:off x="6267450" y="14363700"/>
          <a:ext cx="34671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28575</xdr:rowOff>
        </xdr:from>
        <xdr:to>
          <xdr:col>14</xdr:col>
          <xdr:colOff>485775</xdr:colOff>
          <xdr:row>36</xdr:row>
          <xdr:rowOff>28575</xdr:rowOff>
        </xdr:to>
        <xdr:sp macro="" textlink="">
          <xdr:nvSpPr>
            <xdr:cNvPr id="197635" name="Object 3" hidden="1">
              <a:extLst>
                <a:ext uri="{63B3BB69-23CF-44E3-9099-C40C66FF867C}">
                  <a14:compatExt spid="_x0000_s197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66675</xdr:rowOff>
        </xdr:from>
        <xdr:to>
          <xdr:col>14</xdr:col>
          <xdr:colOff>485775</xdr:colOff>
          <xdr:row>44</xdr:row>
          <xdr:rowOff>219075</xdr:rowOff>
        </xdr:to>
        <xdr:sp macro="" textlink="">
          <xdr:nvSpPr>
            <xdr:cNvPr id="197636" name="Object 4" hidden="1">
              <a:extLst>
                <a:ext uri="{63B3BB69-23CF-44E3-9099-C40C66FF867C}">
                  <a14:compatExt spid="_x0000_s197636"/>
                </a:ext>
              </a:extLst>
            </xdr:cNvPr>
            <xdr:cNvSpPr/>
          </xdr:nvSpPr>
          <xdr:spPr>
            <a:xfrm>
              <a:off x="0" y="0"/>
              <a:ext cx="0" cy="0"/>
            </a:xfrm>
            <a:prstGeom prst="rect">
              <a:avLst/>
            </a:prstGeom>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23" name="Rectangle 77"/>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24" name="Line 78"/>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25" name="Text Box 79"/>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13</xdr:col>
      <xdr:colOff>0</xdr:colOff>
      <xdr:row>48</xdr:row>
      <xdr:rowOff>0</xdr:rowOff>
    </xdr:from>
    <xdr:to>
      <xdr:col>13</xdr:col>
      <xdr:colOff>0</xdr:colOff>
      <xdr:row>49</xdr:row>
      <xdr:rowOff>0</xdr:rowOff>
    </xdr:to>
    <xdr:sp macro="" textlink="">
      <xdr:nvSpPr>
        <xdr:cNvPr id="26" name="Line 80"/>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27" name="Line 81"/>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28" name="Text Box 82"/>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23</xdr:row>
          <xdr:rowOff>104775</xdr:rowOff>
        </xdr:from>
        <xdr:to>
          <xdr:col>14</xdr:col>
          <xdr:colOff>523875</xdr:colOff>
          <xdr:row>25</xdr:row>
          <xdr:rowOff>152400</xdr:rowOff>
        </xdr:to>
        <xdr:sp macro="" textlink="">
          <xdr:nvSpPr>
            <xdr:cNvPr id="197637" name="Object 5" hidden="1">
              <a:extLst>
                <a:ext uri="{63B3BB69-23CF-44E3-9099-C40C66FF867C}">
                  <a14:compatExt spid="_x0000_s197637"/>
                </a:ext>
              </a:extLst>
            </xdr:cNvPr>
            <xdr:cNvSpPr/>
          </xdr:nvSpPr>
          <xdr:spPr>
            <a:xfrm>
              <a:off x="0" y="0"/>
              <a:ext cx="0" cy="0"/>
            </a:xfrm>
            <a:prstGeom prst="rect">
              <a:avLst/>
            </a:prstGeom>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30" name="Rectangle 84"/>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31" name="Line 85"/>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32" name="Text Box 86"/>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266700</xdr:colOff>
          <xdr:row>49</xdr:row>
          <xdr:rowOff>47625</xdr:rowOff>
        </xdr:from>
        <xdr:to>
          <xdr:col>14</xdr:col>
          <xdr:colOff>571500</xdr:colOff>
          <xdr:row>59</xdr:row>
          <xdr:rowOff>180975</xdr:rowOff>
        </xdr:to>
        <xdr:sp macro="" textlink="">
          <xdr:nvSpPr>
            <xdr:cNvPr id="197638" name="Object 6" hidden="1">
              <a:extLst>
                <a:ext uri="{63B3BB69-23CF-44E3-9099-C40C66FF867C}">
                  <a14:compatExt spid="_x0000_s197638"/>
                </a:ext>
              </a:extLst>
            </xdr:cNvPr>
            <xdr:cNvSpPr/>
          </xdr:nvSpPr>
          <xdr:spPr>
            <a:xfrm>
              <a:off x="0" y="0"/>
              <a:ext cx="0" cy="0"/>
            </a:xfrm>
            <a:prstGeom prst="rect">
              <a:avLst/>
            </a:prstGeom>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34" name="Line 88"/>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35" name="Line 89"/>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36" name="Text Box 90"/>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428625</xdr:colOff>
      <xdr:row>61</xdr:row>
      <xdr:rowOff>0</xdr:rowOff>
    </xdr:to>
    <xdr:sp macro="" textlink="">
      <xdr:nvSpPr>
        <xdr:cNvPr id="37" name="Text Box 91"/>
        <xdr:cNvSpPr txBox="1">
          <a:spLocks noChangeArrowheads="1"/>
        </xdr:cNvSpPr>
      </xdr:nvSpPr>
      <xdr:spPr bwMode="auto">
        <a:xfrm>
          <a:off x="6267450" y="14363700"/>
          <a:ext cx="34671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28575</xdr:rowOff>
        </xdr:from>
        <xdr:to>
          <xdr:col>14</xdr:col>
          <xdr:colOff>485775</xdr:colOff>
          <xdr:row>36</xdr:row>
          <xdr:rowOff>28575</xdr:rowOff>
        </xdr:to>
        <xdr:sp macro="" textlink="">
          <xdr:nvSpPr>
            <xdr:cNvPr id="197639" name="Object 7" hidden="1">
              <a:extLst>
                <a:ext uri="{63B3BB69-23CF-44E3-9099-C40C66FF867C}">
                  <a14:compatExt spid="_x0000_s197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66675</xdr:rowOff>
        </xdr:from>
        <xdr:to>
          <xdr:col>14</xdr:col>
          <xdr:colOff>485775</xdr:colOff>
          <xdr:row>44</xdr:row>
          <xdr:rowOff>219075</xdr:rowOff>
        </xdr:to>
        <xdr:sp macro="" textlink="">
          <xdr:nvSpPr>
            <xdr:cNvPr id="197640" name="Object 8" hidden="1">
              <a:extLst>
                <a:ext uri="{63B3BB69-23CF-44E3-9099-C40C66FF867C}">
                  <a14:compatExt spid="_x0000_s197640"/>
                </a:ext>
              </a:extLst>
            </xdr:cNvPr>
            <xdr:cNvSpPr/>
          </xdr:nvSpPr>
          <xdr:spPr>
            <a:xfrm>
              <a:off x="0" y="0"/>
              <a:ext cx="0" cy="0"/>
            </a:xfrm>
            <a:prstGeom prst="rect">
              <a:avLst/>
            </a:prstGeom>
          </xdr:spPr>
        </xdr:sp>
        <xdr:clientData/>
      </xdr:twoCellAnchor>
    </mc:Choice>
    <mc:Fallback/>
  </mc:AlternateContent>
  <xdr:twoCellAnchor>
    <xdr:from>
      <xdr:col>11</xdr:col>
      <xdr:colOff>447675</xdr:colOff>
      <xdr:row>1</xdr:row>
      <xdr:rowOff>133350</xdr:rowOff>
    </xdr:from>
    <xdr:to>
      <xdr:col>15</xdr:col>
      <xdr:colOff>19050</xdr:colOff>
      <xdr:row>4</xdr:row>
      <xdr:rowOff>38100</xdr:rowOff>
    </xdr:to>
    <xdr:sp macro="" textlink="">
      <xdr:nvSpPr>
        <xdr:cNvPr id="41" name="Text Box 96"/>
        <xdr:cNvSpPr txBox="1">
          <a:spLocks noChangeArrowheads="1"/>
        </xdr:cNvSpPr>
      </xdr:nvSpPr>
      <xdr:spPr bwMode="auto">
        <a:xfrm>
          <a:off x="7162800" y="209550"/>
          <a:ext cx="302895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性能表示 】</a:t>
          </a:r>
        </a:p>
      </xdr:txBody>
    </xdr:sp>
    <xdr:clientData/>
  </xdr:twoCellAnchor>
  <xdr:twoCellAnchor>
    <xdr:from>
      <xdr:col>9</xdr:col>
      <xdr:colOff>438150</xdr:colOff>
      <xdr:row>0</xdr:row>
      <xdr:rowOff>47625</xdr:rowOff>
    </xdr:from>
    <xdr:to>
      <xdr:col>11</xdr:col>
      <xdr:colOff>771525</xdr:colOff>
      <xdr:row>6</xdr:row>
      <xdr:rowOff>0</xdr:rowOff>
    </xdr:to>
    <xdr:sp macro="" textlink="">
      <xdr:nvSpPr>
        <xdr:cNvPr id="42" name="Text Box 97"/>
        <xdr:cNvSpPr txBox="1">
          <a:spLocks noChangeArrowheads="1"/>
        </xdr:cNvSpPr>
      </xdr:nvSpPr>
      <xdr:spPr bwMode="auto">
        <a:xfrm>
          <a:off x="5324475" y="47625"/>
          <a:ext cx="2162175" cy="962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600"/>
            </a:lnSpc>
            <a:defRPr sz="1000"/>
          </a:pPr>
          <a:r>
            <a:rPr lang="ja-JP" altLang="en-US" sz="2400" b="0" i="0" u="none" strike="noStrike" baseline="0">
              <a:solidFill>
                <a:srgbClr val="000000"/>
              </a:solidFill>
              <a:latin typeface="ＭＳ Ｐゴシック"/>
              <a:ea typeface="ＭＳ Ｐゴシック"/>
            </a:rPr>
            <a:t>（改修前）</a:t>
          </a:r>
        </a:p>
      </xdr:txBody>
    </xdr:sp>
    <xdr:clientData/>
  </xdr:twoCellAnchor>
  <xdr:twoCellAnchor editAs="oneCell">
    <xdr:from>
      <xdr:col>1</xdr:col>
      <xdr:colOff>28575</xdr:colOff>
      <xdr:row>1</xdr:row>
      <xdr:rowOff>38100</xdr:rowOff>
    </xdr:from>
    <xdr:to>
      <xdr:col>9</xdr:col>
      <xdr:colOff>523875</xdr:colOff>
      <xdr:row>4</xdr:row>
      <xdr:rowOff>76200</xdr:rowOff>
    </xdr:to>
    <xdr:pic>
      <xdr:nvPicPr>
        <xdr:cNvPr id="43" name="Picture 98" descr="CASBEE熊本ロゴ（Quarter）（背景透過版）（余白無トリミング）"/>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3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165100</xdr:colOff>
      <xdr:row>22</xdr:row>
      <xdr:rowOff>63500</xdr:rowOff>
    </xdr:from>
    <xdr:to>
      <xdr:col>8</xdr:col>
      <xdr:colOff>215900</xdr:colOff>
      <xdr:row>25</xdr:row>
      <xdr:rowOff>148242</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24</xdr:row>
      <xdr:rowOff>533400</xdr:rowOff>
    </xdr:from>
    <xdr:to>
      <xdr:col>8</xdr:col>
      <xdr:colOff>424100</xdr:colOff>
      <xdr:row>42</xdr:row>
      <xdr:rowOff>25400</xdr:rowOff>
    </xdr:to>
    <xdr:graphicFrame macro="">
      <xdr:nvGraphicFramePr>
        <xdr:cNvPr id="45"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292100</xdr:colOff>
      <xdr:row>41</xdr:row>
      <xdr:rowOff>88900</xdr:rowOff>
    </xdr:from>
    <xdr:to>
      <xdr:col>8</xdr:col>
      <xdr:colOff>19334</xdr:colOff>
      <xdr:row>45</xdr:row>
      <xdr:rowOff>213033</xdr:rowOff>
    </xdr:to>
    <xdr:graphicFrame macro="">
      <xdr:nvGraphicFramePr>
        <xdr:cNvPr id="46"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25400</xdr:colOff>
      <xdr:row>46</xdr:row>
      <xdr:rowOff>292100</xdr:rowOff>
    </xdr:from>
    <xdr:to>
      <xdr:col>11</xdr:col>
      <xdr:colOff>177800</xdr:colOff>
      <xdr:row>50</xdr:row>
      <xdr:rowOff>77434</xdr:rowOff>
    </xdr:to>
    <xdr:graphicFrame macro="">
      <xdr:nvGraphicFramePr>
        <xdr:cNvPr id="47"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0.8384</cdr:y>
    </cdr:from>
    <cdr:to>
      <cdr:x>0.86057</cdr:x>
      <cdr:y>0.93664</cdr:y>
    </cdr:to>
    <cdr:sp macro="" textlink="">
      <cdr:nvSpPr>
        <cdr:cNvPr id="13314" name="Text Box 2"/>
        <cdr:cNvSpPr txBox="1">
          <a:spLocks xmlns:a="http://schemas.openxmlformats.org/drawingml/2006/main" noChangeArrowheads="1"/>
        </cdr:cNvSpPr>
      </cdr:nvSpPr>
      <cdr:spPr bwMode="auto">
        <a:xfrm xmlns:a="http://schemas.openxmlformats.org/drawingml/2006/main">
          <a:off x="1011548" y="3407258"/>
          <a:ext cx="3036573" cy="3992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47625</xdr:colOff>
      <xdr:row>92</xdr:row>
      <xdr:rowOff>47625</xdr:rowOff>
    </xdr:from>
    <xdr:to>
      <xdr:col>15</xdr:col>
      <xdr:colOff>0</xdr:colOff>
      <xdr:row>96</xdr:row>
      <xdr:rowOff>104775</xdr:rowOff>
    </xdr:to>
    <xdr:sp macro="" textlink="">
      <xdr:nvSpPr>
        <xdr:cNvPr id="4126" name="Text Box 141"/>
        <xdr:cNvSpPr txBox="1">
          <a:spLocks noChangeArrowheads="1"/>
        </xdr:cNvSpPr>
      </xdr:nvSpPr>
      <xdr:spPr bwMode="auto">
        <a:xfrm>
          <a:off x="47625" y="15230475"/>
          <a:ext cx="10125075" cy="781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95250</xdr:colOff>
      <xdr:row>52</xdr:row>
      <xdr:rowOff>142875</xdr:rowOff>
    </xdr:from>
    <xdr:to>
      <xdr:col>14</xdr:col>
      <xdr:colOff>600075</xdr:colOff>
      <xdr:row>60</xdr:row>
      <xdr:rowOff>171450</xdr:rowOff>
    </xdr:to>
    <xdr:graphicFrame macro="">
      <xdr:nvGraphicFramePr>
        <xdr:cNvPr id="40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238125</xdr:colOff>
      <xdr:row>52</xdr:row>
      <xdr:rowOff>133350</xdr:rowOff>
    </xdr:from>
    <xdr:to>
      <xdr:col>10</xdr:col>
      <xdr:colOff>752475</xdr:colOff>
      <xdr:row>60</xdr:row>
      <xdr:rowOff>171450</xdr:rowOff>
    </xdr:to>
    <xdr:graphicFrame macro="">
      <xdr:nvGraphicFramePr>
        <xdr:cNvPr id="40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52</xdr:row>
      <xdr:rowOff>133350</xdr:rowOff>
    </xdr:from>
    <xdr:to>
      <xdr:col>6</xdr:col>
      <xdr:colOff>409575</xdr:colOff>
      <xdr:row>60</xdr:row>
      <xdr:rowOff>180975</xdr:rowOff>
    </xdr:to>
    <xdr:graphicFrame macro="">
      <xdr:nvGraphicFramePr>
        <xdr:cNvPr id="40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123825</xdr:rowOff>
    </xdr:from>
    <xdr:to>
      <xdr:col>6</xdr:col>
      <xdr:colOff>428625</xdr:colOff>
      <xdr:row>49</xdr:row>
      <xdr:rowOff>180975</xdr:rowOff>
    </xdr:to>
    <xdr:graphicFrame macro="">
      <xdr:nvGraphicFramePr>
        <xdr:cNvPr id="41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41</xdr:row>
      <xdr:rowOff>133350</xdr:rowOff>
    </xdr:from>
    <xdr:to>
      <xdr:col>14</xdr:col>
      <xdr:colOff>600075</xdr:colOff>
      <xdr:row>50</xdr:row>
      <xdr:rowOff>9525</xdr:rowOff>
    </xdr:to>
    <xdr:graphicFrame macro="">
      <xdr:nvGraphicFramePr>
        <xdr:cNvPr id="41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571500</xdr:colOff>
      <xdr:row>59</xdr:row>
      <xdr:rowOff>104775</xdr:rowOff>
    </xdr:from>
    <xdr:to>
      <xdr:col>8</xdr:col>
      <xdr:colOff>142875</xdr:colOff>
      <xdr:row>60</xdr:row>
      <xdr:rowOff>180975</xdr:rowOff>
    </xdr:to>
    <xdr:sp macro="" textlink="">
      <xdr:nvSpPr>
        <xdr:cNvPr id="4102" name="Text Box 7"/>
        <xdr:cNvSpPr txBox="1">
          <a:spLocks noChangeArrowheads="1"/>
        </xdr:cNvSpPr>
      </xdr:nvSpPr>
      <xdr:spPr bwMode="auto">
        <a:xfrm>
          <a:off x="3933825" y="11896725"/>
          <a:ext cx="5524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695325</xdr:colOff>
      <xdr:row>21</xdr:row>
      <xdr:rowOff>228600</xdr:rowOff>
    </xdr:from>
    <xdr:to>
      <xdr:col>15</xdr:col>
      <xdr:colOff>19050</xdr:colOff>
      <xdr:row>37</xdr:row>
      <xdr:rowOff>133350</xdr:rowOff>
    </xdr:to>
    <xdr:graphicFrame macro="">
      <xdr:nvGraphicFramePr>
        <xdr:cNvPr id="41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257175</xdr:colOff>
      <xdr:row>41</xdr:row>
      <xdr:rowOff>133350</xdr:rowOff>
    </xdr:from>
    <xdr:to>
      <xdr:col>10</xdr:col>
      <xdr:colOff>771525</xdr:colOff>
      <xdr:row>50</xdr:row>
      <xdr:rowOff>0</xdr:rowOff>
    </xdr:to>
    <xdr:graphicFrame macro="">
      <xdr:nvGraphicFramePr>
        <xdr:cNvPr id="410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25</xdr:row>
      <xdr:rowOff>123825</xdr:rowOff>
    </xdr:from>
    <xdr:to>
      <xdr:col>6</xdr:col>
      <xdr:colOff>85725</xdr:colOff>
      <xdr:row>38</xdr:row>
      <xdr:rowOff>66675</xdr:rowOff>
    </xdr:to>
    <xdr:graphicFrame macro="">
      <xdr:nvGraphicFramePr>
        <xdr:cNvPr id="4105"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161925</xdr:colOff>
      <xdr:row>48</xdr:row>
      <xdr:rowOff>152400</xdr:rowOff>
    </xdr:from>
    <xdr:to>
      <xdr:col>2</xdr:col>
      <xdr:colOff>647700</xdr:colOff>
      <xdr:row>49</xdr:row>
      <xdr:rowOff>104775</xdr:rowOff>
    </xdr:to>
    <xdr:sp macro="" textlink="">
      <xdr:nvSpPr>
        <xdr:cNvPr id="4106" name="Text Box 20"/>
        <xdr:cNvSpPr txBox="1">
          <a:spLocks noChangeArrowheads="1"/>
        </xdr:cNvSpPr>
      </xdr:nvSpPr>
      <xdr:spPr bwMode="auto">
        <a:xfrm>
          <a:off x="381000" y="9772650"/>
          <a:ext cx="485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638175</xdr:colOff>
      <xdr:row>48</xdr:row>
      <xdr:rowOff>152400</xdr:rowOff>
    </xdr:from>
    <xdr:to>
      <xdr:col>8</xdr:col>
      <xdr:colOff>161925</xdr:colOff>
      <xdr:row>49</xdr:row>
      <xdr:rowOff>104775</xdr:rowOff>
    </xdr:to>
    <xdr:sp macro="" textlink="">
      <xdr:nvSpPr>
        <xdr:cNvPr id="4107" name="Text Box 21"/>
        <xdr:cNvSpPr txBox="1">
          <a:spLocks noChangeArrowheads="1"/>
        </xdr:cNvSpPr>
      </xdr:nvSpPr>
      <xdr:spPr bwMode="auto">
        <a:xfrm>
          <a:off x="4000500" y="9772650"/>
          <a:ext cx="5048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571500</xdr:colOff>
      <xdr:row>48</xdr:row>
      <xdr:rowOff>142875</xdr:rowOff>
    </xdr:from>
    <xdr:ext cx="410369" cy="133370"/>
    <xdr:sp macro="" textlink="">
      <xdr:nvSpPr>
        <xdr:cNvPr id="5142" name="Text Box 22"/>
        <xdr:cNvSpPr txBox="1">
          <a:spLocks noChangeArrowheads="1"/>
        </xdr:cNvSpPr>
      </xdr:nvSpPr>
      <xdr:spPr bwMode="auto">
        <a:xfrm>
          <a:off x="7286625" y="9763125"/>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466725</xdr:colOff>
      <xdr:row>59</xdr:row>
      <xdr:rowOff>104775</xdr:rowOff>
    </xdr:from>
    <xdr:to>
      <xdr:col>9</xdr:col>
      <xdr:colOff>628650</xdr:colOff>
      <xdr:row>60</xdr:row>
      <xdr:rowOff>180975</xdr:rowOff>
    </xdr:to>
    <xdr:sp macro="" textlink="">
      <xdr:nvSpPr>
        <xdr:cNvPr id="4109" name="Text Box 104"/>
        <xdr:cNvSpPr txBox="1">
          <a:spLocks noChangeArrowheads="1"/>
        </xdr:cNvSpPr>
      </xdr:nvSpPr>
      <xdr:spPr bwMode="auto">
        <a:xfrm>
          <a:off x="4810125" y="1189672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28575</xdr:colOff>
      <xdr:row>48</xdr:row>
      <xdr:rowOff>104775</xdr:rowOff>
    </xdr:from>
    <xdr:to>
      <xdr:col>9</xdr:col>
      <xdr:colOff>523875</xdr:colOff>
      <xdr:row>49</xdr:row>
      <xdr:rowOff>180975</xdr:rowOff>
    </xdr:to>
    <xdr:sp macro="" textlink="">
      <xdr:nvSpPr>
        <xdr:cNvPr id="4110" name="Text Box 107"/>
        <xdr:cNvSpPr txBox="1">
          <a:spLocks noChangeArrowheads="1"/>
        </xdr:cNvSpPr>
      </xdr:nvSpPr>
      <xdr:spPr bwMode="auto">
        <a:xfrm>
          <a:off x="4914900" y="9725025"/>
          <a:ext cx="495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9525</xdr:colOff>
      <xdr:row>48</xdr:row>
      <xdr:rowOff>104775</xdr:rowOff>
    </xdr:from>
    <xdr:to>
      <xdr:col>10</xdr:col>
      <xdr:colOff>514350</xdr:colOff>
      <xdr:row>49</xdr:row>
      <xdr:rowOff>180975</xdr:rowOff>
    </xdr:to>
    <xdr:sp macro="" textlink="">
      <xdr:nvSpPr>
        <xdr:cNvPr id="4111" name="Text Box 108"/>
        <xdr:cNvSpPr txBox="1">
          <a:spLocks noChangeArrowheads="1"/>
        </xdr:cNvSpPr>
      </xdr:nvSpPr>
      <xdr:spPr bwMode="auto">
        <a:xfrm>
          <a:off x="5819775" y="9725025"/>
          <a:ext cx="5048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476250</xdr:colOff>
      <xdr:row>48</xdr:row>
      <xdr:rowOff>104775</xdr:rowOff>
    </xdr:from>
    <xdr:to>
      <xdr:col>13</xdr:col>
      <xdr:colOff>314325</xdr:colOff>
      <xdr:row>49</xdr:row>
      <xdr:rowOff>180975</xdr:rowOff>
    </xdr:to>
    <xdr:sp macro="" textlink="">
      <xdr:nvSpPr>
        <xdr:cNvPr id="4112" name="Text Box 109"/>
        <xdr:cNvSpPr txBox="1">
          <a:spLocks noChangeArrowheads="1"/>
        </xdr:cNvSpPr>
      </xdr:nvSpPr>
      <xdr:spPr bwMode="auto">
        <a:xfrm>
          <a:off x="8010525" y="9725025"/>
          <a:ext cx="7429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504825</xdr:colOff>
      <xdr:row>48</xdr:row>
      <xdr:rowOff>104775</xdr:rowOff>
    </xdr:from>
    <xdr:to>
      <xdr:col>14</xdr:col>
      <xdr:colOff>152400</xdr:colOff>
      <xdr:row>49</xdr:row>
      <xdr:rowOff>180975</xdr:rowOff>
    </xdr:to>
    <xdr:sp macro="" textlink="">
      <xdr:nvSpPr>
        <xdr:cNvPr id="4113" name="Text Box 110"/>
        <xdr:cNvSpPr txBox="1">
          <a:spLocks noChangeArrowheads="1"/>
        </xdr:cNvSpPr>
      </xdr:nvSpPr>
      <xdr:spPr bwMode="auto">
        <a:xfrm>
          <a:off x="8943975" y="9725025"/>
          <a:ext cx="514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647700</xdr:colOff>
      <xdr:row>21</xdr:row>
      <xdr:rowOff>200025</xdr:rowOff>
    </xdr:from>
    <xdr:to>
      <xdr:col>7</xdr:col>
      <xdr:colOff>9525</xdr:colOff>
      <xdr:row>25</xdr:row>
      <xdr:rowOff>66675</xdr:rowOff>
    </xdr:to>
    <xdr:graphicFrame macro="">
      <xdr:nvGraphicFramePr>
        <xdr:cNvPr id="411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104775</xdr:colOff>
      <xdr:row>24</xdr:row>
      <xdr:rowOff>180975</xdr:rowOff>
    </xdr:from>
    <xdr:to>
      <xdr:col>7</xdr:col>
      <xdr:colOff>38100</xdr:colOff>
      <xdr:row>26</xdr:row>
      <xdr:rowOff>19050</xdr:rowOff>
    </xdr:to>
    <xdr:sp macro="" textlink="">
      <xdr:nvSpPr>
        <xdr:cNvPr id="4115" name="Text Box 129"/>
        <xdr:cNvSpPr txBox="1">
          <a:spLocks noChangeArrowheads="1"/>
        </xdr:cNvSpPr>
      </xdr:nvSpPr>
      <xdr:spPr bwMode="auto">
        <a:xfrm>
          <a:off x="161925" y="5143500"/>
          <a:ext cx="3238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twoCellAnchor>
  <xdr:oneCellAnchor>
    <xdr:from>
      <xdr:col>10</xdr:col>
      <xdr:colOff>104775</xdr:colOff>
      <xdr:row>34</xdr:row>
      <xdr:rowOff>28575</xdr:rowOff>
    </xdr:from>
    <xdr:ext cx="800100" cy="171450"/>
    <xdr:sp macro="" textlink="">
      <xdr:nvSpPr>
        <xdr:cNvPr id="4119" name="Text Box 134"/>
        <xdr:cNvSpPr txBox="1">
          <a:spLocks noChangeArrowheads="1"/>
        </xdr:cNvSpPr>
      </xdr:nvSpPr>
      <xdr:spPr bwMode="auto">
        <a:xfrm>
          <a:off x="5915025" y="6896100"/>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13</xdr:col>
      <xdr:colOff>257175</xdr:colOff>
      <xdr:row>40</xdr:row>
      <xdr:rowOff>180975</xdr:rowOff>
    </xdr:from>
    <xdr:ext cx="779957" cy="201850"/>
    <xdr:sp macro="" textlink="">
      <xdr:nvSpPr>
        <xdr:cNvPr id="5255" name="Text Box 135"/>
        <xdr:cNvSpPr txBox="1">
          <a:spLocks noChangeArrowheads="1"/>
        </xdr:cNvSpPr>
      </xdr:nvSpPr>
      <xdr:spPr bwMode="auto">
        <a:xfrm>
          <a:off x="8696325" y="82772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190500</xdr:colOff>
      <xdr:row>52</xdr:row>
      <xdr:rowOff>0</xdr:rowOff>
    </xdr:from>
    <xdr:ext cx="845040" cy="201850"/>
    <xdr:sp macro="" textlink="">
      <xdr:nvSpPr>
        <xdr:cNvPr id="5256" name="Text Box 136"/>
        <xdr:cNvSpPr txBox="1">
          <a:spLocks noChangeArrowheads="1"/>
        </xdr:cNvSpPr>
      </xdr:nvSpPr>
      <xdr:spPr bwMode="auto">
        <a:xfrm>
          <a:off x="8629650" y="104203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485775</xdr:colOff>
      <xdr:row>51</xdr:row>
      <xdr:rowOff>180975</xdr:rowOff>
    </xdr:from>
    <xdr:ext cx="845040" cy="201850"/>
    <xdr:sp macro="" textlink="">
      <xdr:nvSpPr>
        <xdr:cNvPr id="5257" name="Text Box 137"/>
        <xdr:cNvSpPr txBox="1">
          <a:spLocks noChangeArrowheads="1"/>
        </xdr:cNvSpPr>
      </xdr:nvSpPr>
      <xdr:spPr bwMode="auto">
        <a:xfrm>
          <a:off x="4829175" y="104108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0</xdr:colOff>
      <xdr:row>40</xdr:row>
      <xdr:rowOff>171450</xdr:rowOff>
    </xdr:from>
    <xdr:ext cx="779957" cy="201850"/>
    <xdr:sp macro="" textlink="">
      <xdr:nvSpPr>
        <xdr:cNvPr id="5258" name="Text Box 138"/>
        <xdr:cNvSpPr txBox="1">
          <a:spLocks noChangeArrowheads="1"/>
        </xdr:cNvSpPr>
      </xdr:nvSpPr>
      <xdr:spPr bwMode="auto">
        <a:xfrm>
          <a:off x="4886325" y="82677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314325</xdr:colOff>
      <xdr:row>40</xdr:row>
      <xdr:rowOff>171450</xdr:rowOff>
    </xdr:from>
    <xdr:ext cx="779957" cy="201850"/>
    <xdr:sp macro="" textlink="">
      <xdr:nvSpPr>
        <xdr:cNvPr id="5259" name="Text Box 139"/>
        <xdr:cNvSpPr txBox="1">
          <a:spLocks noChangeArrowheads="1"/>
        </xdr:cNvSpPr>
      </xdr:nvSpPr>
      <xdr:spPr bwMode="auto">
        <a:xfrm>
          <a:off x="1962150" y="82677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52</xdr:row>
      <xdr:rowOff>0</xdr:rowOff>
    </xdr:from>
    <xdr:ext cx="845040" cy="201850"/>
    <xdr:sp macro="" textlink="">
      <xdr:nvSpPr>
        <xdr:cNvPr id="5260" name="Text Box 140"/>
        <xdr:cNvSpPr txBox="1">
          <a:spLocks noChangeArrowheads="1"/>
        </xdr:cNvSpPr>
      </xdr:nvSpPr>
      <xdr:spPr bwMode="auto">
        <a:xfrm>
          <a:off x="1905000" y="104203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876300</xdr:colOff>
      <xdr:row>48</xdr:row>
      <xdr:rowOff>161925</xdr:rowOff>
    </xdr:from>
    <xdr:to>
      <xdr:col>4</xdr:col>
      <xdr:colOff>19050</xdr:colOff>
      <xdr:row>49</xdr:row>
      <xdr:rowOff>85725</xdr:rowOff>
    </xdr:to>
    <xdr:sp macro="" textlink="">
      <xdr:nvSpPr>
        <xdr:cNvPr id="4127" name="Text Box 142"/>
        <xdr:cNvSpPr txBox="1">
          <a:spLocks noChangeArrowheads="1"/>
        </xdr:cNvSpPr>
      </xdr:nvSpPr>
      <xdr:spPr bwMode="auto">
        <a:xfrm>
          <a:off x="1095375" y="9782175"/>
          <a:ext cx="571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257175</xdr:colOff>
      <xdr:row>48</xdr:row>
      <xdr:rowOff>180975</xdr:rowOff>
    </xdr:from>
    <xdr:ext cx="660117" cy="133370"/>
    <xdr:sp macro="" textlink="">
      <xdr:nvSpPr>
        <xdr:cNvPr id="5263" name="Text Box 143"/>
        <xdr:cNvSpPr txBox="1">
          <a:spLocks noChangeArrowheads="1"/>
        </xdr:cNvSpPr>
      </xdr:nvSpPr>
      <xdr:spPr bwMode="auto">
        <a:xfrm>
          <a:off x="1905000" y="980122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114300</xdr:colOff>
      <xdr:row>48</xdr:row>
      <xdr:rowOff>152400</xdr:rowOff>
    </xdr:from>
    <xdr:to>
      <xdr:col>6</xdr:col>
      <xdr:colOff>342900</xdr:colOff>
      <xdr:row>49</xdr:row>
      <xdr:rowOff>104775</xdr:rowOff>
    </xdr:to>
    <xdr:sp macro="" textlink="">
      <xdr:nvSpPr>
        <xdr:cNvPr id="4129" name="Text Box 144"/>
        <xdr:cNvSpPr txBox="1">
          <a:spLocks noChangeArrowheads="1"/>
        </xdr:cNvSpPr>
      </xdr:nvSpPr>
      <xdr:spPr bwMode="auto">
        <a:xfrm>
          <a:off x="2505075" y="9772650"/>
          <a:ext cx="704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819150</xdr:colOff>
      <xdr:row>59</xdr:row>
      <xdr:rowOff>104775</xdr:rowOff>
    </xdr:from>
    <xdr:to>
      <xdr:col>10</xdr:col>
      <xdr:colOff>600075</xdr:colOff>
      <xdr:row>60</xdr:row>
      <xdr:rowOff>180975</xdr:rowOff>
    </xdr:to>
    <xdr:sp macro="" textlink="">
      <xdr:nvSpPr>
        <xdr:cNvPr id="4130" name="Text Box 145"/>
        <xdr:cNvSpPr txBox="1">
          <a:spLocks noChangeArrowheads="1"/>
        </xdr:cNvSpPr>
      </xdr:nvSpPr>
      <xdr:spPr bwMode="auto">
        <a:xfrm>
          <a:off x="5705475" y="1189672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123825</xdr:colOff>
      <xdr:row>59</xdr:row>
      <xdr:rowOff>104775</xdr:rowOff>
    </xdr:from>
    <xdr:to>
      <xdr:col>2</xdr:col>
      <xdr:colOff>628650</xdr:colOff>
      <xdr:row>60</xdr:row>
      <xdr:rowOff>180975</xdr:rowOff>
    </xdr:to>
    <xdr:sp macro="" textlink="">
      <xdr:nvSpPr>
        <xdr:cNvPr id="4131" name="Text Box 23"/>
        <xdr:cNvSpPr txBox="1">
          <a:spLocks noChangeArrowheads="1"/>
        </xdr:cNvSpPr>
      </xdr:nvSpPr>
      <xdr:spPr bwMode="auto">
        <a:xfrm>
          <a:off x="342900" y="1189672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866775</xdr:colOff>
      <xdr:row>59</xdr:row>
      <xdr:rowOff>104775</xdr:rowOff>
    </xdr:from>
    <xdr:to>
      <xdr:col>4</xdr:col>
      <xdr:colOff>0</xdr:colOff>
      <xdr:row>60</xdr:row>
      <xdr:rowOff>180975</xdr:rowOff>
    </xdr:to>
    <xdr:sp macro="" textlink="">
      <xdr:nvSpPr>
        <xdr:cNvPr id="4132" name="Text Box 101"/>
        <xdr:cNvSpPr txBox="1">
          <a:spLocks noChangeArrowheads="1"/>
        </xdr:cNvSpPr>
      </xdr:nvSpPr>
      <xdr:spPr bwMode="auto">
        <a:xfrm>
          <a:off x="1085850" y="11896725"/>
          <a:ext cx="561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133350</xdr:colOff>
      <xdr:row>59</xdr:row>
      <xdr:rowOff>104775</xdr:rowOff>
    </xdr:from>
    <xdr:to>
      <xdr:col>5</xdr:col>
      <xdr:colOff>57150</xdr:colOff>
      <xdr:row>60</xdr:row>
      <xdr:rowOff>171450</xdr:rowOff>
    </xdr:to>
    <xdr:sp macro="" textlink="">
      <xdr:nvSpPr>
        <xdr:cNvPr id="4133" name="Text Box 102"/>
        <xdr:cNvSpPr txBox="1">
          <a:spLocks noChangeArrowheads="1"/>
        </xdr:cNvSpPr>
      </xdr:nvSpPr>
      <xdr:spPr bwMode="auto">
        <a:xfrm>
          <a:off x="1781175" y="11896725"/>
          <a:ext cx="666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276225</xdr:colOff>
      <xdr:row>59</xdr:row>
      <xdr:rowOff>104775</xdr:rowOff>
    </xdr:from>
    <xdr:to>
      <xdr:col>6</xdr:col>
      <xdr:colOff>200025</xdr:colOff>
      <xdr:row>60</xdr:row>
      <xdr:rowOff>171450</xdr:rowOff>
    </xdr:to>
    <xdr:sp macro="" textlink="">
      <xdr:nvSpPr>
        <xdr:cNvPr id="4134" name="Text Box 103"/>
        <xdr:cNvSpPr txBox="1">
          <a:spLocks noChangeArrowheads="1"/>
        </xdr:cNvSpPr>
      </xdr:nvSpPr>
      <xdr:spPr bwMode="auto">
        <a:xfrm>
          <a:off x="2667000" y="11896725"/>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400050</xdr:colOff>
      <xdr:row>59</xdr:row>
      <xdr:rowOff>95250</xdr:rowOff>
    </xdr:from>
    <xdr:to>
      <xdr:col>12</xdr:col>
      <xdr:colOff>200025</xdr:colOff>
      <xdr:row>60</xdr:row>
      <xdr:rowOff>171450</xdr:rowOff>
    </xdr:to>
    <xdr:sp macro="" textlink="">
      <xdr:nvSpPr>
        <xdr:cNvPr id="4135" name="Text Box 148"/>
        <xdr:cNvSpPr txBox="1">
          <a:spLocks noChangeArrowheads="1"/>
        </xdr:cNvSpPr>
      </xdr:nvSpPr>
      <xdr:spPr bwMode="auto">
        <a:xfrm>
          <a:off x="7115175" y="11887200"/>
          <a:ext cx="6191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390525</xdr:colOff>
      <xdr:row>59</xdr:row>
      <xdr:rowOff>95250</xdr:rowOff>
    </xdr:from>
    <xdr:to>
      <xdr:col>13</xdr:col>
      <xdr:colOff>390525</xdr:colOff>
      <xdr:row>60</xdr:row>
      <xdr:rowOff>171450</xdr:rowOff>
    </xdr:to>
    <xdr:sp macro="" textlink="">
      <xdr:nvSpPr>
        <xdr:cNvPr id="4136" name="Text Box 149"/>
        <xdr:cNvSpPr txBox="1">
          <a:spLocks noChangeArrowheads="1"/>
        </xdr:cNvSpPr>
      </xdr:nvSpPr>
      <xdr:spPr bwMode="auto">
        <a:xfrm>
          <a:off x="7924800" y="11887200"/>
          <a:ext cx="904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409575</xdr:colOff>
      <xdr:row>59</xdr:row>
      <xdr:rowOff>95250</xdr:rowOff>
    </xdr:from>
    <xdr:to>
      <xdr:col>14</xdr:col>
      <xdr:colOff>285750</xdr:colOff>
      <xdr:row>60</xdr:row>
      <xdr:rowOff>171450</xdr:rowOff>
    </xdr:to>
    <xdr:sp macro="" textlink="">
      <xdr:nvSpPr>
        <xdr:cNvPr id="4137" name="Text Box 150"/>
        <xdr:cNvSpPr txBox="1">
          <a:spLocks noChangeArrowheads="1"/>
        </xdr:cNvSpPr>
      </xdr:nvSpPr>
      <xdr:spPr bwMode="auto">
        <a:xfrm>
          <a:off x="8848725" y="11887200"/>
          <a:ext cx="7429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1</xdr:col>
      <xdr:colOff>0</xdr:colOff>
      <xdr:row>23</xdr:row>
      <xdr:rowOff>0</xdr:rowOff>
    </xdr:from>
    <xdr:ext cx="561975" cy="247650"/>
    <xdr:sp macro="" textlink="">
      <xdr:nvSpPr>
        <xdr:cNvPr id="4141" name="Text Box 45"/>
        <xdr:cNvSpPr txBox="1">
          <a:spLocks noChangeArrowheads="1"/>
        </xdr:cNvSpPr>
      </xdr:nvSpPr>
      <xdr:spPr bwMode="auto">
        <a:xfrm>
          <a:off x="57150" y="4772025"/>
          <a:ext cx="5619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ja-JP" altLang="en-US" sz="1300" b="1" i="0" u="none" strike="noStrike" baseline="0">
              <a:solidFill>
                <a:srgbClr val="000000"/>
              </a:solidFill>
              <a:latin typeface="Arial"/>
              <a:cs typeface="Arial"/>
            </a:rPr>
            <a:t>BEE = </a:t>
          </a:r>
        </a:p>
      </xdr:txBody>
    </xdr:sp>
    <xdr:clientData/>
  </xdr:oneCellAnchor>
  <xdr:oneCellAnchor>
    <xdr:from>
      <xdr:col>7</xdr:col>
      <xdr:colOff>257175</xdr:colOff>
      <xdr:row>25</xdr:row>
      <xdr:rowOff>38100</xdr:rowOff>
    </xdr:from>
    <xdr:ext cx="3114675" cy="152400"/>
    <xdr:sp macro="" textlink="">
      <xdr:nvSpPr>
        <xdr:cNvPr id="4146" name="Text Box 129"/>
        <xdr:cNvSpPr txBox="1">
          <a:spLocks noChangeArrowheads="1"/>
        </xdr:cNvSpPr>
      </xdr:nvSpPr>
      <xdr:spPr bwMode="auto">
        <a:xfrm>
          <a:off x="3619500" y="5191125"/>
          <a:ext cx="31146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438150</xdr:colOff>
      <xdr:row>21</xdr:row>
      <xdr:rowOff>180975</xdr:rowOff>
    </xdr:from>
    <xdr:to>
      <xdr:col>10</xdr:col>
      <xdr:colOff>504825</xdr:colOff>
      <xdr:row>25</xdr:row>
      <xdr:rowOff>133350</xdr:rowOff>
    </xdr:to>
    <xdr:graphicFrame macro="">
      <xdr:nvGraphicFramePr>
        <xdr:cNvPr id="41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28575</xdr:colOff>
      <xdr:row>27</xdr:row>
      <xdr:rowOff>0</xdr:rowOff>
    </xdr:from>
    <xdr:to>
      <xdr:col>7</xdr:col>
      <xdr:colOff>933450</xdr:colOff>
      <xdr:row>28</xdr:row>
      <xdr:rowOff>38100</xdr:rowOff>
    </xdr:to>
    <xdr:sp macro="" textlink="">
      <xdr:nvSpPr>
        <xdr:cNvPr id="4151" name="Text Box 131"/>
        <xdr:cNvSpPr txBox="1">
          <a:spLocks noChangeArrowheads="1"/>
        </xdr:cNvSpPr>
      </xdr:nvSpPr>
      <xdr:spPr bwMode="auto">
        <a:xfrm>
          <a:off x="3390900" y="5534025"/>
          <a:ext cx="904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19050</xdr:colOff>
      <xdr:row>28</xdr:row>
      <xdr:rowOff>66675</xdr:rowOff>
    </xdr:from>
    <xdr:to>
      <xdr:col>8</xdr:col>
      <xdr:colOff>19050</xdr:colOff>
      <xdr:row>29</xdr:row>
      <xdr:rowOff>104775</xdr:rowOff>
    </xdr:to>
    <xdr:sp macro="" textlink="">
      <xdr:nvSpPr>
        <xdr:cNvPr id="4152" name="Text Box 131"/>
        <xdr:cNvSpPr txBox="1">
          <a:spLocks noChangeArrowheads="1"/>
        </xdr:cNvSpPr>
      </xdr:nvSpPr>
      <xdr:spPr bwMode="auto">
        <a:xfrm>
          <a:off x="3381375" y="5791200"/>
          <a:ext cx="981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0</xdr:rowOff>
    </xdr:from>
    <xdr:to>
      <xdr:col>8</xdr:col>
      <xdr:colOff>19050</xdr:colOff>
      <xdr:row>31</xdr:row>
      <xdr:rowOff>104775</xdr:rowOff>
    </xdr:to>
    <xdr:sp macro="" textlink="">
      <xdr:nvSpPr>
        <xdr:cNvPr id="4153" name="Text Box 131"/>
        <xdr:cNvSpPr txBox="1">
          <a:spLocks noChangeArrowheads="1"/>
        </xdr:cNvSpPr>
      </xdr:nvSpPr>
      <xdr:spPr bwMode="auto">
        <a:xfrm>
          <a:off x="3381375" y="6105525"/>
          <a:ext cx="9810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③上記+②以外の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876300</xdr:colOff>
      <xdr:row>25</xdr:row>
      <xdr:rowOff>180975</xdr:rowOff>
    </xdr:from>
    <xdr:to>
      <xdr:col>11</xdr:col>
      <xdr:colOff>19050</xdr:colOff>
      <xdr:row>34</xdr:row>
      <xdr:rowOff>114300</xdr:rowOff>
    </xdr:to>
    <xdr:graphicFrame macro="">
      <xdr:nvGraphicFramePr>
        <xdr:cNvPr id="416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19050</xdr:colOff>
      <xdr:row>31</xdr:row>
      <xdr:rowOff>133350</xdr:rowOff>
    </xdr:from>
    <xdr:to>
      <xdr:col>8</xdr:col>
      <xdr:colOff>323850</xdr:colOff>
      <xdr:row>33</xdr:row>
      <xdr:rowOff>47625</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editAs="oneCell">
    <xdr:from>
      <xdr:col>1</xdr:col>
      <xdr:colOff>12700</xdr:colOff>
      <xdr:row>0</xdr:row>
      <xdr:rowOff>63500</xdr:rowOff>
    </xdr:from>
    <xdr:to>
      <xdr:col>9</xdr:col>
      <xdr:colOff>508000</xdr:colOff>
      <xdr:row>3</xdr:row>
      <xdr:rowOff>228600</xdr:rowOff>
    </xdr:to>
    <xdr:pic>
      <xdr:nvPicPr>
        <xdr:cNvPr id="51" name="Picture 91" descr="CASBEE熊本ロゴ（Quarter）（背景透過版）（余白無トリミング）"/>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200" y="63500"/>
          <a:ext cx="5334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495300</xdr:colOff>
      <xdr:row>0</xdr:row>
      <xdr:rowOff>38100</xdr:rowOff>
    </xdr:from>
    <xdr:to>
      <xdr:col>12</xdr:col>
      <xdr:colOff>9525</xdr:colOff>
      <xdr:row>5</xdr:row>
      <xdr:rowOff>57150</xdr:rowOff>
    </xdr:to>
    <xdr:sp macro="" textlink="">
      <xdr:nvSpPr>
        <xdr:cNvPr id="52" name="Text Box 92"/>
        <xdr:cNvSpPr txBox="1">
          <a:spLocks noChangeArrowheads="1"/>
        </xdr:cNvSpPr>
      </xdr:nvSpPr>
      <xdr:spPr bwMode="auto">
        <a:xfrm>
          <a:off x="5397500" y="38100"/>
          <a:ext cx="2168525" cy="99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500"/>
            </a:lnSpc>
            <a:defRPr sz="1000"/>
          </a:pPr>
          <a:r>
            <a:rPr lang="ja-JP" altLang="en-US" sz="2400" b="0" i="0" u="none" strike="noStrike" baseline="0">
              <a:solidFill>
                <a:srgbClr val="000000"/>
              </a:solidFill>
              <a:latin typeface="ＭＳ Ｐゴシック"/>
              <a:ea typeface="ＭＳ Ｐゴシック"/>
            </a:rPr>
            <a:t>（改修後）</a:t>
          </a:r>
        </a:p>
      </xdr:txBody>
    </xdr:sp>
    <xdr:clientData/>
  </xdr:twoCellAnchor>
  <xdr:twoCellAnchor>
    <xdr:from>
      <xdr:col>11</xdr:col>
      <xdr:colOff>304800</xdr:colOff>
      <xdr:row>1</xdr:row>
      <xdr:rowOff>63500</xdr:rowOff>
    </xdr:from>
    <xdr:to>
      <xdr:col>15</xdr:col>
      <xdr:colOff>0</xdr:colOff>
      <xdr:row>3</xdr:row>
      <xdr:rowOff>200025</xdr:rowOff>
    </xdr:to>
    <xdr:sp macro="" textlink="">
      <xdr:nvSpPr>
        <xdr:cNvPr id="54" name="Text Box 90"/>
        <xdr:cNvSpPr txBox="1">
          <a:spLocks noChangeArrowheads="1"/>
        </xdr:cNvSpPr>
      </xdr:nvSpPr>
      <xdr:spPr bwMode="auto">
        <a:xfrm>
          <a:off x="7035800" y="139700"/>
          <a:ext cx="3149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6</xdr:row>
          <xdr:rowOff>215900</xdr:rowOff>
        </xdr:from>
        <xdr:to>
          <xdr:col>15</xdr:col>
          <xdr:colOff>0</xdr:colOff>
          <xdr:row>16</xdr:row>
          <xdr:rowOff>0</xdr:rowOff>
        </xdr:to>
        <xdr:pic>
          <xdr:nvPicPr>
            <xdr:cNvPr id="57" name="Picture 52"/>
            <xdr:cNvPicPr>
              <a:picLocks noChangeAspect="1" noChangeArrowheads="1"/>
              <a:extLst>
                <a:ext uri="{84589F7E-364E-4C9E-8A38-B11213B215E9}">
                  <a14:cameraTool cellRange="外観図!$A$2" spid="_x0000_s198683"/>
                </a:ext>
              </a:extLst>
            </xdr:cNvPicPr>
          </xdr:nvPicPr>
          <xdr:blipFill>
            <a:blip xmlns:r="http://schemas.openxmlformats.org/officeDocument/2006/relationships" r:embed="rId13"/>
            <a:srcRect/>
            <a:stretch>
              <a:fillRect/>
            </a:stretch>
          </xdr:blipFill>
          <xdr:spPr bwMode="auto">
            <a:xfrm>
              <a:off x="6731000" y="1270000"/>
              <a:ext cx="3454400" cy="20701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oneCellAnchor>
    <xdr:from>
      <xdr:col>9</xdr:col>
      <xdr:colOff>720725</xdr:colOff>
      <xdr:row>64</xdr:row>
      <xdr:rowOff>0</xdr:rowOff>
    </xdr:from>
    <xdr:ext cx="567271" cy="201850"/>
    <xdr:sp macro="" textlink="">
      <xdr:nvSpPr>
        <xdr:cNvPr id="58" name="Text Box 140"/>
        <xdr:cNvSpPr txBox="1">
          <a:spLocks noChangeArrowheads="1"/>
        </xdr:cNvSpPr>
      </xdr:nvSpPr>
      <xdr:spPr bwMode="auto">
        <a:xfrm>
          <a:off x="5607050" y="1262062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oneCellAnchor>
    <xdr:from>
      <xdr:col>9</xdr:col>
      <xdr:colOff>844550</xdr:colOff>
      <xdr:row>67</xdr:row>
      <xdr:rowOff>180975</xdr:rowOff>
    </xdr:from>
    <xdr:ext cx="518155" cy="185179"/>
    <xdr:sp macro="" textlink="">
      <xdr:nvSpPr>
        <xdr:cNvPr id="59" name="Text Box 140"/>
        <xdr:cNvSpPr txBox="1">
          <a:spLocks noChangeArrowheads="1"/>
        </xdr:cNvSpPr>
      </xdr:nvSpPr>
      <xdr:spPr bwMode="auto">
        <a:xfrm>
          <a:off x="5730875"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835025</xdr:colOff>
      <xdr:row>66</xdr:row>
      <xdr:rowOff>6350</xdr:rowOff>
    </xdr:from>
    <xdr:ext cx="518155" cy="185179"/>
    <xdr:sp macro="" textlink="">
      <xdr:nvSpPr>
        <xdr:cNvPr id="60" name="Text Box 140"/>
        <xdr:cNvSpPr txBox="1">
          <a:spLocks noChangeArrowheads="1"/>
        </xdr:cNvSpPr>
      </xdr:nvSpPr>
      <xdr:spPr bwMode="auto">
        <a:xfrm>
          <a:off x="5721350" y="134747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695325</xdr:colOff>
      <xdr:row>66</xdr:row>
      <xdr:rowOff>6350</xdr:rowOff>
    </xdr:from>
    <xdr:ext cx="518155" cy="185179"/>
    <xdr:sp macro="" textlink="">
      <xdr:nvSpPr>
        <xdr:cNvPr id="61" name="Text Box 140"/>
        <xdr:cNvSpPr txBox="1">
          <a:spLocks noChangeArrowheads="1"/>
        </xdr:cNvSpPr>
      </xdr:nvSpPr>
      <xdr:spPr bwMode="auto">
        <a:xfrm>
          <a:off x="2343150" y="134747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733425</xdr:colOff>
      <xdr:row>67</xdr:row>
      <xdr:rowOff>180975</xdr:rowOff>
    </xdr:from>
    <xdr:ext cx="518155" cy="185179"/>
    <xdr:sp macro="" textlink="">
      <xdr:nvSpPr>
        <xdr:cNvPr id="62" name="Text Box 140"/>
        <xdr:cNvSpPr txBox="1">
          <a:spLocks noChangeArrowheads="1"/>
        </xdr:cNvSpPr>
      </xdr:nvSpPr>
      <xdr:spPr bwMode="auto">
        <a:xfrm>
          <a:off x="2381250"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720725</xdr:colOff>
      <xdr:row>64</xdr:row>
      <xdr:rowOff>0</xdr:rowOff>
    </xdr:from>
    <xdr:ext cx="567271" cy="201850"/>
    <xdr:sp macro="" textlink="">
      <xdr:nvSpPr>
        <xdr:cNvPr id="64" name="Text Box 140"/>
        <xdr:cNvSpPr txBox="1">
          <a:spLocks noChangeArrowheads="1"/>
        </xdr:cNvSpPr>
      </xdr:nvSpPr>
      <xdr:spPr bwMode="auto">
        <a:xfrm>
          <a:off x="5607050" y="1262062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oneCellAnchor>
    <xdr:from>
      <xdr:col>9</xdr:col>
      <xdr:colOff>844550</xdr:colOff>
      <xdr:row>67</xdr:row>
      <xdr:rowOff>180975</xdr:rowOff>
    </xdr:from>
    <xdr:ext cx="518155" cy="185179"/>
    <xdr:sp macro="" textlink="">
      <xdr:nvSpPr>
        <xdr:cNvPr id="65" name="Text Box 140"/>
        <xdr:cNvSpPr txBox="1">
          <a:spLocks noChangeArrowheads="1"/>
        </xdr:cNvSpPr>
      </xdr:nvSpPr>
      <xdr:spPr bwMode="auto">
        <a:xfrm>
          <a:off x="5730875"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835025</xdr:colOff>
      <xdr:row>66</xdr:row>
      <xdr:rowOff>6350</xdr:rowOff>
    </xdr:from>
    <xdr:ext cx="518155" cy="185179"/>
    <xdr:sp macro="" textlink="">
      <xdr:nvSpPr>
        <xdr:cNvPr id="66" name="Text Box 140"/>
        <xdr:cNvSpPr txBox="1">
          <a:spLocks noChangeArrowheads="1"/>
        </xdr:cNvSpPr>
      </xdr:nvSpPr>
      <xdr:spPr bwMode="auto">
        <a:xfrm>
          <a:off x="5721350" y="134747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695325</xdr:colOff>
      <xdr:row>66</xdr:row>
      <xdr:rowOff>6350</xdr:rowOff>
    </xdr:from>
    <xdr:ext cx="518155" cy="185179"/>
    <xdr:sp macro="" textlink="">
      <xdr:nvSpPr>
        <xdr:cNvPr id="67" name="Text Box 140"/>
        <xdr:cNvSpPr txBox="1">
          <a:spLocks noChangeArrowheads="1"/>
        </xdr:cNvSpPr>
      </xdr:nvSpPr>
      <xdr:spPr bwMode="auto">
        <a:xfrm>
          <a:off x="2343150" y="134747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733425</xdr:colOff>
      <xdr:row>67</xdr:row>
      <xdr:rowOff>180975</xdr:rowOff>
    </xdr:from>
    <xdr:ext cx="518155" cy="185179"/>
    <xdr:sp macro="" textlink="">
      <xdr:nvSpPr>
        <xdr:cNvPr id="68" name="Text Box 140"/>
        <xdr:cNvSpPr txBox="1">
          <a:spLocks noChangeArrowheads="1"/>
        </xdr:cNvSpPr>
      </xdr:nvSpPr>
      <xdr:spPr bwMode="auto">
        <a:xfrm>
          <a:off x="2381250"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9525</xdr:colOff>
      <xdr:row>65</xdr:row>
      <xdr:rowOff>85725</xdr:rowOff>
    </xdr:from>
    <xdr:to>
      <xdr:col>6</xdr:col>
      <xdr:colOff>276225</xdr:colOff>
      <xdr:row>68</xdr:row>
      <xdr:rowOff>0</xdr:rowOff>
    </xdr:to>
    <xdr:graphicFrame macro="">
      <xdr:nvGraphicFramePr>
        <xdr:cNvPr id="69"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28575</xdr:colOff>
      <xdr:row>65</xdr:row>
      <xdr:rowOff>95250</xdr:rowOff>
    </xdr:from>
    <xdr:to>
      <xdr:col>10</xdr:col>
      <xdr:colOff>647700</xdr:colOff>
      <xdr:row>68</xdr:row>
      <xdr:rowOff>0</xdr:rowOff>
    </xdr:to>
    <xdr:graphicFrame macro="">
      <xdr:nvGraphicFramePr>
        <xdr:cNvPr id="70"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704850</xdr:colOff>
      <xdr:row>62</xdr:row>
      <xdr:rowOff>114300</xdr:rowOff>
    </xdr:from>
    <xdr:to>
      <xdr:col>9</xdr:col>
      <xdr:colOff>504825</xdr:colOff>
      <xdr:row>66</xdr:row>
      <xdr:rowOff>57150</xdr:rowOff>
    </xdr:to>
    <xdr:graphicFrame macro="">
      <xdr:nvGraphicFramePr>
        <xdr:cNvPr id="71"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19050</xdr:colOff>
      <xdr:row>67</xdr:row>
      <xdr:rowOff>95250</xdr:rowOff>
    </xdr:from>
    <xdr:to>
      <xdr:col>6</xdr:col>
      <xdr:colOff>323850</xdr:colOff>
      <xdr:row>92</xdr:row>
      <xdr:rowOff>0</xdr:rowOff>
    </xdr:to>
    <xdr:graphicFrame macro="">
      <xdr:nvGraphicFramePr>
        <xdr:cNvPr id="72"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38100</xdr:colOff>
      <xdr:row>67</xdr:row>
      <xdr:rowOff>85725</xdr:rowOff>
    </xdr:from>
    <xdr:to>
      <xdr:col>10</xdr:col>
      <xdr:colOff>676275</xdr:colOff>
      <xdr:row>69</xdr:row>
      <xdr:rowOff>47625</xdr:rowOff>
    </xdr:to>
    <xdr:graphicFrame macro="">
      <xdr:nvGraphicFramePr>
        <xdr:cNvPr id="73"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88900</xdr:colOff>
      <xdr:row>63</xdr:row>
      <xdr:rowOff>12700</xdr:rowOff>
    </xdr:from>
    <xdr:to>
      <xdr:col>14</xdr:col>
      <xdr:colOff>790575</xdr:colOff>
      <xdr:row>69</xdr:row>
      <xdr:rowOff>3175</xdr:rowOff>
    </xdr:to>
    <xdr:graphicFrame macro="">
      <xdr:nvGraphicFramePr>
        <xdr:cNvPr id="74"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結果(改修後)'!$Z$59">
      <cdr:nvSpPr>
        <cdr:cNvPr id="5121"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DC05C606-982A-4B07-8307-4028818BFB20}" type="TxLink">
            <a:rPr lang="ja-JP" altLang="en-US" sz="1100" b="0" i="0" u="none" strike="noStrike" baseline="0">
              <a:solidFill>
                <a:srgbClr val="000000"/>
              </a:solidFill>
              <a:latin typeface="Arial"/>
              <a:cs typeface="Arial"/>
            </a:rPr>
            <a:pPr algn="ctr" rtl="0">
              <a:defRPr sz="1000"/>
            </a:pPr>
            <a:t> </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0.43772</cdr:x>
      <cdr:y>0.63313</cdr:y>
    </cdr:from>
    <cdr:to>
      <cdr:x>0.6122</cdr:x>
      <cdr:y>0.76955</cdr:y>
    </cdr:to>
    <cdr:sp macro="" textlink="'結果(改修後)'!$Z$60">
      <cdr:nvSpPr>
        <cdr:cNvPr id="5122"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D7ED9761-DF4E-4AFD-B90A-1CDB5DB6D1D2}" type="TxLink">
            <a:rPr lang="ja-JP" altLang="en-US"/>
            <a:pPr algn="ctr" rtl="0">
              <a:defRPr sz="1000"/>
            </a:pPr>
            <a:t> </a:t>
          </a:fld>
          <a:endParaRPr lang="ja-JP" altLang="en-US"/>
        </a:p>
      </cdr:txBody>
    </cdr:sp>
  </cdr:relSizeAnchor>
  <cdr:relSizeAnchor xmlns:cdr="http://schemas.openxmlformats.org/drawingml/2006/chartDrawing">
    <cdr:from>
      <cdr:x>0.74063</cdr:x>
      <cdr:y>0.63313</cdr:y>
    </cdr:from>
    <cdr:to>
      <cdr:x>0.9139</cdr:x>
      <cdr:y>0.76955</cdr:y>
    </cdr:to>
    <cdr:sp macro="" textlink="'結果(改修後)'!$Z$61">
      <cdr:nvSpPr>
        <cdr:cNvPr id="5123"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1F17955-6343-424F-B214-C6DA47343E45}" type="TxLink">
            <a:rPr lang="ja-JP" altLang="en-US"/>
            <a:pPr algn="ctr" rtl="0">
              <a:defRPr sz="1000"/>
            </a:pPr>
            <a:t> </a:t>
          </a:fld>
          <a:endParaRPr lang="ja-JP" altLang="en-US"/>
        </a:p>
      </cdr:txBody>
    </cdr:sp>
  </cdr:relSizeAnchor>
  <cdr:relSizeAnchor xmlns:cdr="http://schemas.openxmlformats.org/drawingml/2006/chartDrawing">
    <cdr:from>
      <cdr:x>0.06453</cdr:x>
      <cdr:y>0.44543</cdr:y>
    </cdr:from>
    <cdr:to>
      <cdr:x>0.98175</cdr:x>
      <cdr:y>0.44543</cdr:y>
    </cdr:to>
    <cdr:sp macro="" textlink="">
      <cdr:nvSpPr>
        <cdr:cNvPr id="5124" name="Line 4"/>
        <cdr:cNvSpPr>
          <a:spLocks xmlns:a="http://schemas.openxmlformats.org/drawingml/2006/main" noChangeShapeType="1"/>
        </cdr:cNvSpPr>
      </cdr:nvSpPr>
      <cdr:spPr bwMode="auto">
        <a:xfrm xmlns:a="http://schemas.openxmlformats.org/drawingml/2006/main">
          <a:off x="203552" y="720198"/>
          <a:ext cx="2848118"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結果(改修後)'!$W$59">
      <cdr:nvSpPr>
        <cdr:cNvPr id="6145"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516A4F9-ECB4-40E0-B620-A6520FDD99B3}" type="TxLink">
            <a:rPr lang="ja-JP" altLang="en-US"/>
            <a:pPr algn="ctr" rtl="0">
              <a:defRPr sz="1000"/>
            </a:pPr>
            <a:t> </a:t>
          </a:fld>
          <a:endParaRPr lang="ja-JP" altLang="en-US"/>
        </a:p>
      </cdr:txBody>
    </cdr:sp>
  </cdr:relSizeAnchor>
  <cdr:relSizeAnchor xmlns:cdr="http://schemas.openxmlformats.org/drawingml/2006/chartDrawing">
    <cdr:from>
      <cdr:x>0.43539</cdr:x>
      <cdr:y>0.63506</cdr:y>
    </cdr:from>
    <cdr:to>
      <cdr:x>0.60599</cdr:x>
      <cdr:y>0.77035</cdr:y>
    </cdr:to>
    <cdr:sp macro="" textlink="'結果(改修後)'!$W$60">
      <cdr:nvSpPr>
        <cdr:cNvPr id="6146"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5DFD1BA8-F4BF-4091-A228-F8DAB9A298F0}" type="TxLink">
            <a:rPr lang="ja-JP" altLang="en-US"/>
            <a:pPr algn="ctr" rtl="0">
              <a:defRPr sz="1000"/>
            </a:pPr>
            <a:t> </a:t>
          </a:fld>
          <a:endParaRPr lang="ja-JP" altLang="en-US"/>
        </a:p>
      </cdr:txBody>
    </cdr:sp>
  </cdr:relSizeAnchor>
  <cdr:relSizeAnchor xmlns:cdr="http://schemas.openxmlformats.org/drawingml/2006/chartDrawing">
    <cdr:from>
      <cdr:x>0.74392</cdr:x>
      <cdr:y>0.63506</cdr:y>
    </cdr:from>
    <cdr:to>
      <cdr:x>0.90702</cdr:x>
      <cdr:y>0.77035</cdr:y>
    </cdr:to>
    <cdr:sp macro="" textlink="'結果(改修後)'!$W$61">
      <cdr:nvSpPr>
        <cdr:cNvPr id="6147"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B98E4422-471F-4D9D-B2F1-0932E15E74DA}" type="TxLink">
            <a:rPr lang="ja-JP" altLang="en-US"/>
            <a:pPr algn="ctr" rtl="0">
              <a:defRPr sz="1000"/>
            </a:pPr>
            <a:t> </a:t>
          </a:fld>
          <a:endParaRPr lang="ja-JP" altLang="en-US"/>
        </a:p>
      </cdr:txBody>
    </cdr:sp>
  </cdr:relSizeAnchor>
  <cdr:relSizeAnchor xmlns:cdr="http://schemas.openxmlformats.org/drawingml/2006/chartDrawing">
    <cdr:from>
      <cdr:x>0.07362</cdr:x>
      <cdr:y>0.44847</cdr:y>
    </cdr:from>
    <cdr:to>
      <cdr:x>0.97889</cdr:x>
      <cdr:y>0.44847</cdr:y>
    </cdr:to>
    <cdr:sp macro="" textlink="">
      <cdr:nvSpPr>
        <cdr:cNvPr id="6148"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oleObject" Target="../embeddings/oleObject10.bin"/><Relationship Id="rId3" Type="http://schemas.openxmlformats.org/officeDocument/2006/relationships/vmlDrawing" Target="../drawings/vmlDrawing8.vml"/><Relationship Id="rId7" Type="http://schemas.openxmlformats.org/officeDocument/2006/relationships/image" Target="../media/image3.emf"/><Relationship Id="rId12" Type="http://schemas.openxmlformats.org/officeDocument/2006/relationships/oleObject" Target="../embeddings/oleObject9.bin"/><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6.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oleObject" Target="../embeddings/oleObject12.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4.emf"/><Relationship Id="rId14" Type="http://schemas.openxmlformats.org/officeDocument/2006/relationships/oleObject" Target="../embeddings/oleObject1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7.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autoPageBreaks="0" fitToPage="1"/>
  </sheetPr>
  <dimension ref="A1:Z123"/>
  <sheetViews>
    <sheetView showGridLines="0" tabSelected="1" zoomScaleNormal="100" workbookViewId="0">
      <selection activeCell="F13" sqref="F13"/>
    </sheetView>
  </sheetViews>
  <sheetFormatPr defaultColWidth="0" defaultRowHeight="13.5" zeroHeight="1"/>
  <cols>
    <col min="1" max="1" width="1.625" style="63" customWidth="1"/>
    <col min="2" max="2" width="15.125" style="63" customWidth="1"/>
    <col min="3" max="3" width="14.25" style="63" customWidth="1"/>
    <col min="4" max="4" width="16" style="63" customWidth="1"/>
    <col min="5" max="5" width="10.75" style="63" customWidth="1"/>
    <col min="6" max="6" width="4" style="63" customWidth="1"/>
    <col min="7" max="7" width="13.625" style="63" customWidth="1"/>
    <col min="8" max="8" width="13.375" style="63" customWidth="1"/>
    <col min="9" max="9" width="16.25" style="63" customWidth="1"/>
    <col min="10" max="10" width="9.125" style="63" customWidth="1"/>
    <col min="11" max="11" width="4.375" style="63" customWidth="1"/>
    <col min="12" max="12" width="18.375" style="63" customWidth="1"/>
    <col min="13" max="13" width="10.125" style="63" customWidth="1"/>
    <col min="14" max="14" width="20.125" style="63" hidden="1" customWidth="1"/>
    <col min="15" max="15" width="16.875" style="63" hidden="1" customWidth="1"/>
    <col min="16" max="16" width="33.875" style="63" hidden="1" customWidth="1"/>
    <col min="17" max="17" width="13" style="63" hidden="1" customWidth="1"/>
    <col min="18" max="18" width="28.25" style="63" hidden="1" customWidth="1"/>
    <col min="19" max="19" width="16.25" style="21" hidden="1" customWidth="1"/>
    <col min="20" max="20" width="8" style="6" hidden="1" customWidth="1"/>
    <col min="21" max="21" width="11.625" style="6" hidden="1" customWidth="1"/>
    <col min="22" max="22" width="16.875" style="21" hidden="1" customWidth="1"/>
    <col min="23" max="23" width="11.25" style="21" hidden="1" customWidth="1"/>
    <col min="24" max="24" width="9.125" style="21" hidden="1" customWidth="1"/>
    <col min="25" max="25" width="2.5" style="21" hidden="1" customWidth="1"/>
    <col min="26" max="26" width="10.375" style="21" hidden="1" customWidth="1"/>
    <col min="27" max="16384" width="9" style="21" hidden="1"/>
  </cols>
  <sheetData>
    <row r="1" spans="1:22" s="6" customFormat="1">
      <c r="A1" s="2"/>
      <c r="B1" s="3"/>
      <c r="C1" s="2"/>
      <c r="D1" s="2"/>
      <c r="E1" s="2"/>
      <c r="F1" s="2"/>
      <c r="G1" s="2"/>
      <c r="H1" s="2"/>
      <c r="I1" s="2"/>
      <c r="J1" s="2"/>
      <c r="K1" s="2"/>
      <c r="L1" s="2"/>
      <c r="M1" s="2"/>
      <c r="N1" s="4"/>
      <c r="O1" s="4"/>
      <c r="P1" s="4"/>
      <c r="Q1" s="5"/>
      <c r="R1" s="4"/>
    </row>
    <row r="2" spans="1:22" s="6" customFormat="1">
      <c r="A2" s="2"/>
      <c r="B2" s="3"/>
      <c r="C2" s="2"/>
      <c r="D2" s="2"/>
      <c r="E2" s="2"/>
      <c r="F2" s="2"/>
      <c r="G2" s="2"/>
      <c r="H2" s="2"/>
      <c r="I2" s="2"/>
      <c r="J2" s="2"/>
      <c r="K2" s="2"/>
      <c r="L2" s="2"/>
      <c r="M2" s="2"/>
      <c r="N2"/>
      <c r="O2"/>
      <c r="P2" s="4"/>
      <c r="Q2" s="4"/>
      <c r="R2" s="4"/>
    </row>
    <row r="3" spans="1:22" s="11" customFormat="1" ht="34.5" customHeight="1">
      <c r="A3" s="2"/>
      <c r="B3" s="3"/>
      <c r="C3" s="2"/>
      <c r="D3" s="2"/>
      <c r="E3" s="2"/>
      <c r="F3" s="2"/>
      <c r="G3" s="2"/>
      <c r="H3" s="2"/>
      <c r="I3" s="2"/>
      <c r="J3" s="2"/>
      <c r="K3" s="2"/>
      <c r="L3" s="2"/>
      <c r="M3" s="2"/>
      <c r="N3" s="7"/>
      <c r="O3" s="8"/>
      <c r="P3" s="9"/>
      <c r="Q3" s="10"/>
      <c r="R3" s="4"/>
      <c r="S3" s="6"/>
    </row>
    <row r="4" spans="1:22" s="11" customFormat="1" ht="25.5">
      <c r="A4" s="2"/>
      <c r="B4" s="12" t="s">
        <v>464</v>
      </c>
      <c r="C4" s="13"/>
      <c r="D4" s="13"/>
      <c r="E4" s="13"/>
      <c r="F4" s="13"/>
      <c r="G4" s="13"/>
      <c r="H4" s="13"/>
      <c r="I4" s="13"/>
      <c r="J4" s="13"/>
      <c r="K4" s="12"/>
      <c r="L4" s="2"/>
      <c r="M4" s="2"/>
      <c r="N4" s="14"/>
      <c r="O4" s="14"/>
      <c r="P4" s="14"/>
      <c r="Q4" s="14"/>
      <c r="R4" s="14"/>
      <c r="S4" s="6"/>
    </row>
    <row r="5" spans="1:22" s="23" customFormat="1">
      <c r="A5" s="15"/>
      <c r="B5" s="16" t="s">
        <v>465</v>
      </c>
      <c r="C5" s="17" t="s">
        <v>1843</v>
      </c>
      <c r="D5" s="17"/>
      <c r="E5" s="17"/>
      <c r="F5" s="17"/>
      <c r="G5" s="17" t="s">
        <v>2028</v>
      </c>
      <c r="H5" s="18"/>
      <c r="I5" s="2"/>
      <c r="J5" s="2"/>
      <c r="K5" s="2"/>
      <c r="L5" s="2"/>
      <c r="M5" s="19"/>
      <c r="N5" s="20"/>
      <c r="O5" s="20"/>
      <c r="P5" s="20"/>
      <c r="Q5" s="20"/>
      <c r="R5" s="20"/>
      <c r="S5" s="21"/>
      <c r="T5" s="22"/>
      <c r="U5" s="22"/>
      <c r="V5" s="22"/>
    </row>
    <row r="6" spans="1:22" s="23" customFormat="1">
      <c r="A6" s="15"/>
      <c r="B6" s="24" t="s">
        <v>466</v>
      </c>
      <c r="C6" s="24" t="s">
        <v>1336</v>
      </c>
      <c r="D6" s="25"/>
      <c r="E6" s="25"/>
      <c r="F6" s="25"/>
      <c r="G6" s="2666" t="s">
        <v>1924</v>
      </c>
      <c r="H6" s="18"/>
      <c r="I6" s="18"/>
      <c r="J6" s="18"/>
      <c r="K6" s="2"/>
      <c r="L6" s="2"/>
      <c r="M6" s="19"/>
      <c r="N6" t="s">
        <v>1337</v>
      </c>
      <c r="O6" t="s">
        <v>979</v>
      </c>
      <c r="P6">
        <v>1</v>
      </c>
      <c r="Q6" s="20"/>
      <c r="R6" s="20"/>
      <c r="S6" s="21"/>
      <c r="T6" s="22"/>
      <c r="U6" s="22"/>
      <c r="V6" s="22"/>
    </row>
    <row r="7" spans="1:22" s="23" customFormat="1" ht="14.25" thickBot="1">
      <c r="A7" s="15"/>
      <c r="B7" s="19"/>
      <c r="C7" s="19"/>
      <c r="D7" s="19"/>
      <c r="E7" s="19"/>
      <c r="F7" s="19"/>
      <c r="G7" s="19"/>
      <c r="H7" s="19"/>
      <c r="I7" s="19"/>
      <c r="J7" s="19"/>
      <c r="K7" s="19"/>
      <c r="L7" s="2"/>
      <c r="M7" s="19"/>
      <c r="N7" t="s">
        <v>1338</v>
      </c>
      <c r="O7" t="s">
        <v>471</v>
      </c>
      <c r="P7">
        <v>2</v>
      </c>
      <c r="Q7" s="20"/>
      <c r="R7" s="20"/>
      <c r="S7" s="21"/>
      <c r="T7" s="22"/>
      <c r="U7" s="22"/>
      <c r="V7" s="22"/>
    </row>
    <row r="8" spans="1:22" s="23" customFormat="1">
      <c r="A8" s="15"/>
      <c r="B8" s="26" t="s">
        <v>467</v>
      </c>
      <c r="C8" s="27"/>
      <c r="D8" s="27"/>
      <c r="E8" s="27"/>
      <c r="F8" s="27"/>
      <c r="G8" s="27"/>
      <c r="H8" s="27"/>
      <c r="I8" s="27"/>
      <c r="J8" s="27"/>
      <c r="K8" s="28"/>
      <c r="L8" s="2"/>
      <c r="M8" s="19"/>
      <c r="N8" t="s">
        <v>1339</v>
      </c>
      <c r="O8" t="s">
        <v>475</v>
      </c>
      <c r="P8">
        <v>3</v>
      </c>
      <c r="Q8" s="29"/>
      <c r="R8" s="30"/>
      <c r="S8" s="21"/>
    </row>
    <row r="9" spans="1:22" s="23" customFormat="1">
      <c r="A9" s="15"/>
      <c r="B9" s="31" t="s">
        <v>468</v>
      </c>
      <c r="C9" s="32"/>
      <c r="D9" s="32"/>
      <c r="E9" s="32"/>
      <c r="F9" s="32"/>
      <c r="G9" s="32"/>
      <c r="H9" s="32"/>
      <c r="I9" s="32"/>
      <c r="J9" s="32"/>
      <c r="K9" s="33"/>
      <c r="L9" s="2"/>
      <c r="M9" s="34"/>
      <c r="N9" t="s">
        <v>1340</v>
      </c>
      <c r="O9" t="s">
        <v>478</v>
      </c>
      <c r="P9">
        <v>4</v>
      </c>
      <c r="Q9" s="29"/>
      <c r="R9" s="30"/>
      <c r="S9" s="21"/>
    </row>
    <row r="10" spans="1:22" s="23" customFormat="1">
      <c r="A10" s="36"/>
      <c r="B10" s="37"/>
      <c r="C10" s="38" t="s">
        <v>469</v>
      </c>
      <c r="D10" s="38"/>
      <c r="E10" s="38"/>
      <c r="F10" s="39"/>
      <c r="G10" s="40"/>
      <c r="H10" s="41" t="s">
        <v>470</v>
      </c>
      <c r="I10" s="41"/>
      <c r="J10" s="41"/>
      <c r="K10" s="42"/>
      <c r="L10" s="2"/>
      <c r="M10" s="43"/>
      <c r="N10" t="s">
        <v>1341</v>
      </c>
      <c r="O10" t="s">
        <v>480</v>
      </c>
      <c r="P10">
        <v>5</v>
      </c>
      <c r="Q10" s="29"/>
      <c r="R10" s="30"/>
      <c r="S10" s="21"/>
    </row>
    <row r="11" spans="1:22">
      <c r="A11" s="36"/>
      <c r="B11" s="37" t="s">
        <v>472</v>
      </c>
      <c r="C11" s="2688" t="s">
        <v>473</v>
      </c>
      <c r="D11" s="2689"/>
      <c r="E11" s="2689"/>
      <c r="F11" s="2690"/>
      <c r="G11" s="44" t="s">
        <v>472</v>
      </c>
      <c r="H11" s="2688" t="s">
        <v>474</v>
      </c>
      <c r="I11" s="2689"/>
      <c r="J11" s="2689"/>
      <c r="K11" s="2691"/>
      <c r="L11" s="2"/>
      <c r="M11" s="43"/>
      <c r="N11" t="s">
        <v>1342</v>
      </c>
      <c r="O11" t="s">
        <v>483</v>
      </c>
      <c r="P11">
        <v>6</v>
      </c>
      <c r="Q11" s="30"/>
      <c r="R11" s="30"/>
      <c r="T11" s="21"/>
      <c r="U11" s="21"/>
    </row>
    <row r="12" spans="1:22">
      <c r="A12" s="36"/>
      <c r="B12" s="37"/>
      <c r="C12" s="36"/>
      <c r="D12" s="36"/>
      <c r="E12" s="36"/>
      <c r="F12" s="46"/>
      <c r="G12" s="47" t="s">
        <v>476</v>
      </c>
      <c r="H12" s="2692" t="s">
        <v>477</v>
      </c>
      <c r="I12" s="2693"/>
      <c r="J12" s="2693"/>
      <c r="K12" s="2694"/>
      <c r="L12" s="2"/>
      <c r="M12" s="49"/>
      <c r="N12" t="s">
        <v>1343</v>
      </c>
      <c r="O12"/>
      <c r="P12">
        <v>7</v>
      </c>
      <c r="Q12" s="30"/>
      <c r="R12" s="30"/>
      <c r="T12" s="21"/>
      <c r="U12" s="21"/>
    </row>
    <row r="13" spans="1:22" s="52" customFormat="1">
      <c r="A13" s="36"/>
      <c r="B13" s="37"/>
      <c r="C13" s="36"/>
      <c r="D13" s="36"/>
      <c r="E13" s="36"/>
      <c r="F13"/>
      <c r="G13" s="47" t="s">
        <v>479</v>
      </c>
      <c r="H13" s="1791"/>
      <c r="I13" s="55"/>
      <c r="J13" s="55"/>
      <c r="K13" s="42"/>
      <c r="L13" s="2"/>
      <c r="M13" s="49"/>
      <c r="N13" t="s">
        <v>1344</v>
      </c>
      <c r="O13"/>
      <c r="P13">
        <v>8</v>
      </c>
      <c r="Q13" s="45"/>
      <c r="R13" s="30"/>
      <c r="S13" s="21"/>
    </row>
    <row r="14" spans="1:22">
      <c r="A14" s="36"/>
      <c r="B14" s="47" t="s">
        <v>481</v>
      </c>
      <c r="C14" s="2692" t="s">
        <v>482</v>
      </c>
      <c r="D14" s="2693"/>
      <c r="E14" s="2693"/>
      <c r="F14" s="2694"/>
      <c r="G14" s="47" t="s">
        <v>481</v>
      </c>
      <c r="H14" s="2692" t="s">
        <v>482</v>
      </c>
      <c r="I14" s="2693"/>
      <c r="J14" s="2693"/>
      <c r="K14" s="2694"/>
      <c r="L14" s="2"/>
      <c r="M14" s="53"/>
      <c r="N14"/>
      <c r="O14"/>
      <c r="P14"/>
      <c r="Q14" s="30"/>
      <c r="R14" s="30"/>
      <c r="T14" s="21"/>
      <c r="U14" s="21"/>
    </row>
    <row r="15" spans="1:22">
      <c r="A15" s="36"/>
      <c r="B15" s="47" t="s">
        <v>484</v>
      </c>
      <c r="C15" s="54">
        <v>21976</v>
      </c>
      <c r="D15" s="55"/>
      <c r="E15" s="55"/>
      <c r="F15" s="46"/>
      <c r="G15" s="47" t="s">
        <v>485</v>
      </c>
      <c r="H15" s="54">
        <v>41974</v>
      </c>
      <c r="I15" s="55"/>
      <c r="J15" s="55"/>
      <c r="K15" s="42"/>
      <c r="L15" s="2"/>
      <c r="M15" s="56"/>
      <c r="N15"/>
      <c r="O15"/>
      <c r="P15"/>
      <c r="Q15" s="30"/>
      <c r="R15" s="30"/>
      <c r="T15" s="21"/>
      <c r="U15" s="21"/>
    </row>
    <row r="16" spans="1:22">
      <c r="A16" s="36"/>
      <c r="B16" s="47"/>
      <c r="C16" s="55"/>
      <c r="D16" s="55"/>
      <c r="E16" s="55"/>
      <c r="F16" s="46"/>
      <c r="G16" s="57" t="s">
        <v>486</v>
      </c>
      <c r="H16" s="50"/>
      <c r="I16" s="51"/>
      <c r="J16" s="51"/>
      <c r="K16" s="58"/>
      <c r="L16" s="2"/>
      <c r="M16" s="56"/>
      <c r="N16"/>
      <c r="O16"/>
      <c r="P16" s="1" t="e">
        <f>VLOOKUP(H13,N6:P13,3)</f>
        <v>#N/A</v>
      </c>
      <c r="Q16" s="30"/>
      <c r="R16" s="30"/>
      <c r="T16" s="21"/>
      <c r="U16" s="21"/>
    </row>
    <row r="17" spans="1:21">
      <c r="A17" s="36"/>
      <c r="B17" s="47"/>
      <c r="C17" s="36"/>
      <c r="D17" s="36"/>
      <c r="E17" s="36"/>
      <c r="F17" s="36"/>
      <c r="G17" s="59" t="s">
        <v>487</v>
      </c>
      <c r="H17" s="2434">
        <v>2000</v>
      </c>
      <c r="I17" s="60" t="s">
        <v>488</v>
      </c>
      <c r="J17" s="67"/>
      <c r="K17" s="61"/>
      <c r="L17" s="2"/>
      <c r="M17" s="56"/>
      <c r="N17" s="30"/>
      <c r="O17" s="30"/>
      <c r="P17" s="30"/>
      <c r="Q17" s="30"/>
      <c r="R17" s="30"/>
      <c r="T17" s="21"/>
      <c r="U17" s="21"/>
    </row>
    <row r="18" spans="1:21">
      <c r="A18" s="36"/>
      <c r="B18" s="47" t="s">
        <v>489</v>
      </c>
      <c r="C18" s="2434">
        <v>1400</v>
      </c>
      <c r="D18" s="62" t="s">
        <v>490</v>
      </c>
      <c r="E18" s="62"/>
      <c r="F18" s="39"/>
      <c r="G18" s="59" t="s">
        <v>489</v>
      </c>
      <c r="H18" s="2434">
        <v>1400</v>
      </c>
      <c r="I18" s="60" t="s">
        <v>491</v>
      </c>
      <c r="J18" s="67"/>
      <c r="K18" s="61"/>
      <c r="L18" s="2"/>
      <c r="M18" s="56"/>
      <c r="O18" s="30"/>
      <c r="P18" s="30"/>
      <c r="Q18" s="30"/>
      <c r="R18" s="30"/>
      <c r="T18" s="21"/>
      <c r="U18" s="21"/>
    </row>
    <row r="19" spans="1:21">
      <c r="A19" s="36"/>
      <c r="B19" s="47" t="s">
        <v>492</v>
      </c>
      <c r="C19" s="64">
        <f>O67</f>
        <v>10000</v>
      </c>
      <c r="D19" s="65" t="s">
        <v>490</v>
      </c>
      <c r="E19" s="65"/>
      <c r="F19" s="39"/>
      <c r="G19" s="59" t="s">
        <v>492</v>
      </c>
      <c r="H19" s="64">
        <f>V67</f>
        <v>10000</v>
      </c>
      <c r="I19" s="60" t="s">
        <v>488</v>
      </c>
      <c r="J19" s="67"/>
      <c r="K19" s="66"/>
      <c r="L19" s="2"/>
      <c r="M19" s="67"/>
      <c r="N19" s="68"/>
      <c r="O19" s="68"/>
      <c r="P19" s="68"/>
      <c r="Q19" s="68"/>
      <c r="R19" s="69"/>
      <c r="S19" s="69"/>
      <c r="T19" s="21"/>
      <c r="U19" s="21"/>
    </row>
    <row r="20" spans="1:21">
      <c r="A20" s="36"/>
      <c r="B20" s="47" t="s">
        <v>493</v>
      </c>
      <c r="C20" s="2692" t="s">
        <v>494</v>
      </c>
      <c r="D20" s="2693"/>
      <c r="E20" s="2693"/>
      <c r="F20" s="2694"/>
      <c r="G20" s="59" t="s">
        <v>493</v>
      </c>
      <c r="H20" s="2692" t="s">
        <v>494</v>
      </c>
      <c r="I20" s="2693"/>
      <c r="J20" s="2693"/>
      <c r="K20" s="2694"/>
      <c r="L20" s="2"/>
      <c r="M20" s="34"/>
      <c r="Q20" s="30"/>
      <c r="R20" s="30"/>
      <c r="T20" s="21"/>
      <c r="U20" s="21"/>
    </row>
    <row r="21" spans="1:21">
      <c r="A21" s="36"/>
      <c r="B21" s="70"/>
      <c r="C21" s="2713" t="str">
        <f>S68</f>
        <v>事務所,</v>
      </c>
      <c r="D21" s="2714"/>
      <c r="E21" s="2714"/>
      <c r="F21" s="2715"/>
      <c r="G21" s="40"/>
      <c r="H21" s="2713" t="str">
        <f>Z68</f>
        <v>事務所,物販店,</v>
      </c>
      <c r="I21" s="2714"/>
      <c r="J21" s="2714"/>
      <c r="K21" s="2715"/>
      <c r="L21" s="2"/>
      <c r="M21" s="34"/>
      <c r="Q21" s="30"/>
      <c r="R21" s="30"/>
      <c r="T21" s="21"/>
      <c r="U21" s="21"/>
    </row>
    <row r="22" spans="1:21">
      <c r="A22" s="36"/>
      <c r="B22" s="47" t="s">
        <v>495</v>
      </c>
      <c r="C22" s="71" t="s">
        <v>496</v>
      </c>
      <c r="D22" s="72"/>
      <c r="E22" s="72"/>
      <c r="F22" s="72"/>
      <c r="G22" s="47" t="s">
        <v>495</v>
      </c>
      <c r="H22" s="73" t="s">
        <v>496</v>
      </c>
      <c r="I22" s="72"/>
      <c r="J22" s="72"/>
      <c r="K22" s="42"/>
      <c r="L22" s="2"/>
      <c r="M22" s="74"/>
      <c r="N22" s="21"/>
      <c r="O22" s="68"/>
      <c r="P22" s="30"/>
      <c r="Q22" s="30"/>
      <c r="R22" s="30"/>
      <c r="T22" s="21"/>
      <c r="U22" s="21"/>
    </row>
    <row r="23" spans="1:21" s="78" customFormat="1">
      <c r="A23" s="36"/>
      <c r="B23" s="47" t="s">
        <v>497</v>
      </c>
      <c r="C23" s="71" t="s">
        <v>498</v>
      </c>
      <c r="D23" s="72"/>
      <c r="E23" s="72"/>
      <c r="F23" s="72"/>
      <c r="G23" s="47" t="s">
        <v>497</v>
      </c>
      <c r="H23" s="71" t="s">
        <v>498</v>
      </c>
      <c r="I23" s="72"/>
      <c r="J23" s="72"/>
      <c r="K23" s="42"/>
      <c r="L23" s="2"/>
      <c r="M23" s="75"/>
      <c r="N23" s="76" t="s">
        <v>498</v>
      </c>
      <c r="O23" s="76" t="s">
        <v>499</v>
      </c>
      <c r="P23" s="76" t="s">
        <v>500</v>
      </c>
      <c r="Q23" s="76" t="s">
        <v>311</v>
      </c>
      <c r="R23" s="77"/>
    </row>
    <row r="24" spans="1:21" s="78" customFormat="1">
      <c r="A24" s="36"/>
      <c r="B24" s="47" t="s">
        <v>501</v>
      </c>
      <c r="C24" s="79" t="s">
        <v>502</v>
      </c>
      <c r="D24" s="67" t="s">
        <v>503</v>
      </c>
      <c r="E24" s="67"/>
      <c r="F24" s="39"/>
      <c r="G24" s="47" t="s">
        <v>501</v>
      </c>
      <c r="H24" s="79" t="s">
        <v>502</v>
      </c>
      <c r="I24" s="60" t="s">
        <v>503</v>
      </c>
      <c r="J24" s="67"/>
      <c r="K24" s="61"/>
      <c r="L24" s="2"/>
      <c r="M24" s="80"/>
      <c r="N24" s="21">
        <f>IF(C23=N23,1,IF(C23=O23,2,3))</f>
        <v>1</v>
      </c>
      <c r="O24" s="21"/>
      <c r="P24" s="21">
        <f>IF(H23=N23,1,IF(H23=O23,2,3))</f>
        <v>1</v>
      </c>
      <c r="Q24" s="30"/>
      <c r="R24" s="77"/>
    </row>
    <row r="25" spans="1:21" s="78" customFormat="1">
      <c r="A25" s="36"/>
      <c r="B25" s="47" t="s">
        <v>504</v>
      </c>
      <c r="C25" s="79" t="s">
        <v>505</v>
      </c>
      <c r="D25" s="67" t="s">
        <v>506</v>
      </c>
      <c r="E25" s="67"/>
      <c r="F25" s="39"/>
      <c r="G25" s="47" t="s">
        <v>504</v>
      </c>
      <c r="H25" s="79" t="s">
        <v>505</v>
      </c>
      <c r="I25" s="60" t="s">
        <v>506</v>
      </c>
      <c r="J25" s="67"/>
      <c r="K25" s="61"/>
      <c r="L25" s="2"/>
      <c r="M25" s="81"/>
      <c r="N25" s="30"/>
      <c r="O25" s="68"/>
      <c r="P25" s="30"/>
      <c r="Q25" s="30"/>
      <c r="R25" s="77"/>
    </row>
    <row r="26" spans="1:21" s="78" customFormat="1" ht="24">
      <c r="A26" s="36"/>
      <c r="B26" s="82" t="s">
        <v>507</v>
      </c>
      <c r="C26" s="83" t="s">
        <v>505</v>
      </c>
      <c r="D26" s="84" t="s">
        <v>508</v>
      </c>
      <c r="E26" s="84"/>
      <c r="F26" s="39"/>
      <c r="G26" s="85" t="s">
        <v>509</v>
      </c>
      <c r="H26" s="83" t="s">
        <v>510</v>
      </c>
      <c r="I26" s="86" t="s">
        <v>508</v>
      </c>
      <c r="J26" s="308"/>
      <c r="K26" s="66"/>
      <c r="L26" s="2"/>
      <c r="M26" s="81"/>
      <c r="N26" s="30"/>
      <c r="O26" s="68"/>
      <c r="P26" s="30"/>
      <c r="Q26" s="30"/>
      <c r="R26" s="77"/>
    </row>
    <row r="27" spans="1:21" s="78" customFormat="1">
      <c r="A27" s="36"/>
      <c r="B27" s="85" t="s">
        <v>511</v>
      </c>
      <c r="C27" s="2701" t="s">
        <v>512</v>
      </c>
      <c r="D27" s="2702"/>
      <c r="E27" s="2702"/>
      <c r="F27" s="2703"/>
      <c r="G27" s="87" t="s">
        <v>513</v>
      </c>
      <c r="H27" s="2701" t="s">
        <v>514</v>
      </c>
      <c r="I27" s="2702"/>
      <c r="J27" s="2702"/>
      <c r="K27" s="2703"/>
      <c r="L27" s="2"/>
      <c r="M27" s="81"/>
      <c r="N27" s="30"/>
      <c r="O27" s="68"/>
      <c r="P27" s="30"/>
      <c r="Q27" s="30"/>
      <c r="R27" s="77"/>
    </row>
    <row r="28" spans="1:21" s="78" customFormat="1">
      <c r="A28" s="36"/>
      <c r="B28" s="88" t="s">
        <v>515</v>
      </c>
      <c r="C28" s="2704"/>
      <c r="D28" s="2705"/>
      <c r="E28" s="2705"/>
      <c r="F28" s="2706"/>
      <c r="G28" s="89"/>
      <c r="H28" s="2704"/>
      <c r="I28" s="2705"/>
      <c r="J28" s="2705"/>
      <c r="K28" s="2706"/>
      <c r="L28" s="2"/>
      <c r="M28" s="81"/>
      <c r="N28" s="30"/>
      <c r="O28" s="68"/>
      <c r="P28" s="30"/>
      <c r="Q28" s="30"/>
      <c r="R28" s="77"/>
    </row>
    <row r="29" spans="1:21" s="78" customFormat="1">
      <c r="A29" s="36"/>
      <c r="B29" s="47"/>
      <c r="C29" s="2704"/>
      <c r="D29" s="2705"/>
      <c r="E29" s="2705"/>
      <c r="F29" s="2706"/>
      <c r="G29" s="90"/>
      <c r="H29" s="2704"/>
      <c r="I29" s="2705"/>
      <c r="J29" s="2705"/>
      <c r="K29" s="2706"/>
      <c r="L29" s="2"/>
      <c r="M29" s="81"/>
      <c r="N29" s="30"/>
      <c r="O29" s="68"/>
      <c r="P29" s="30"/>
      <c r="Q29" s="30"/>
      <c r="R29" s="77"/>
    </row>
    <row r="30" spans="1:21" s="78" customFormat="1">
      <c r="A30" s="36"/>
      <c r="B30" s="47"/>
      <c r="C30" s="2704"/>
      <c r="D30" s="2705"/>
      <c r="E30" s="2705"/>
      <c r="F30" s="2706"/>
      <c r="G30" s="90"/>
      <c r="H30" s="2704"/>
      <c r="I30" s="2705"/>
      <c r="J30" s="2705"/>
      <c r="K30" s="2706"/>
      <c r="L30" s="2"/>
      <c r="M30" s="81"/>
      <c r="N30" s="30"/>
      <c r="O30" s="68"/>
      <c r="P30" s="30"/>
      <c r="Q30" s="30"/>
      <c r="R30" s="77"/>
    </row>
    <row r="31" spans="1:21" s="78" customFormat="1">
      <c r="A31" s="36"/>
      <c r="B31" s="47"/>
      <c r="C31" s="2707"/>
      <c r="D31" s="2708"/>
      <c r="E31" s="2708"/>
      <c r="F31" s="2709"/>
      <c r="G31" s="90"/>
      <c r="H31" s="2707"/>
      <c r="I31" s="2708"/>
      <c r="J31" s="2708"/>
      <c r="K31" s="2709"/>
      <c r="L31" s="2"/>
      <c r="M31" s="81"/>
      <c r="N31" s="30"/>
      <c r="O31" s="68"/>
      <c r="P31" s="30"/>
      <c r="Q31" s="30"/>
      <c r="R31" s="77"/>
    </row>
    <row r="32" spans="1:21" s="78" customFormat="1">
      <c r="A32" s="36"/>
      <c r="B32" s="47"/>
      <c r="C32" s="90"/>
      <c r="D32" s="90"/>
      <c r="E32" s="90"/>
      <c r="F32" s="90"/>
      <c r="G32" s="47" t="s">
        <v>516</v>
      </c>
      <c r="H32" s="90"/>
      <c r="I32" s="90"/>
      <c r="J32" s="90"/>
      <c r="K32" s="91"/>
      <c r="L32" s="2"/>
      <c r="M32" s="81"/>
      <c r="N32" s="30"/>
      <c r="O32" s="68"/>
      <c r="P32" s="30"/>
      <c r="Q32" s="30"/>
      <c r="R32" s="77"/>
    </row>
    <row r="33" spans="1:26" s="78" customFormat="1">
      <c r="A33" s="36"/>
      <c r="B33" s="47"/>
      <c r="C33" s="90"/>
      <c r="D33" s="90"/>
      <c r="E33" s="90"/>
      <c r="F33" s="90"/>
      <c r="G33" s="92" t="s">
        <v>517</v>
      </c>
      <c r="H33" s="48" t="s">
        <v>518</v>
      </c>
      <c r="I33" s="93"/>
      <c r="J33" s="93"/>
      <c r="K33" s="91"/>
      <c r="L33" s="2"/>
      <c r="M33" s="81"/>
      <c r="N33" s="30"/>
      <c r="O33" s="68"/>
      <c r="P33" s="30"/>
      <c r="Q33" s="30"/>
      <c r="R33" s="77"/>
    </row>
    <row r="34" spans="1:26" s="78" customFormat="1">
      <c r="A34" s="36"/>
      <c r="B34" s="47"/>
      <c r="C34" s="90"/>
      <c r="D34" s="90"/>
      <c r="E34" s="90"/>
      <c r="F34" s="90"/>
      <c r="G34" s="92" t="s">
        <v>519</v>
      </c>
      <c r="H34" s="48" t="s">
        <v>427</v>
      </c>
      <c r="I34" s="93"/>
      <c r="J34" s="93"/>
      <c r="K34" s="91"/>
      <c r="L34" s="90"/>
      <c r="M34" s="81"/>
      <c r="N34" s="30"/>
      <c r="O34" s="68"/>
      <c r="P34" s="30"/>
      <c r="Q34" s="30"/>
      <c r="R34" s="77"/>
    </row>
    <row r="35" spans="1:26" s="78" customFormat="1">
      <c r="A35" s="36"/>
      <c r="B35" s="47"/>
      <c r="C35" s="90"/>
      <c r="D35" s="90"/>
      <c r="E35" s="90"/>
      <c r="F35" s="90"/>
      <c r="G35" s="92" t="s">
        <v>520</v>
      </c>
      <c r="H35" s="48" t="s">
        <v>427</v>
      </c>
      <c r="I35" s="93"/>
      <c r="J35" s="93"/>
      <c r="K35" s="91"/>
      <c r="L35" s="90"/>
      <c r="M35" s="81"/>
      <c r="N35" s="30"/>
      <c r="O35" s="68"/>
      <c r="P35" s="30"/>
      <c r="Q35" s="30"/>
      <c r="R35" s="77"/>
    </row>
    <row r="36" spans="1:26" s="78" customFormat="1">
      <c r="A36" s="36"/>
      <c r="B36" s="47"/>
      <c r="C36" s="90"/>
      <c r="D36" s="90"/>
      <c r="E36" s="90"/>
      <c r="F36" s="90"/>
      <c r="G36" s="92" t="s">
        <v>521</v>
      </c>
      <c r="H36" s="94" t="s">
        <v>427</v>
      </c>
      <c r="I36" s="93"/>
      <c r="J36" s="93"/>
      <c r="K36" s="91"/>
      <c r="L36" s="90"/>
      <c r="M36" s="81"/>
      <c r="N36" s="30"/>
      <c r="O36" s="68"/>
      <c r="P36" s="30"/>
    </row>
    <row r="37" spans="1:26" s="78" customFormat="1">
      <c r="A37" s="36"/>
      <c r="B37" s="47"/>
      <c r="C37" s="90"/>
      <c r="D37" s="90"/>
      <c r="E37" s="90"/>
      <c r="F37" s="90"/>
      <c r="G37" s="47" t="s">
        <v>522</v>
      </c>
      <c r="H37" s="2710" t="s">
        <v>1796</v>
      </c>
      <c r="I37" s="2711"/>
      <c r="J37" s="2711"/>
      <c r="K37" s="2712"/>
      <c r="L37" s="90"/>
      <c r="M37" s="81"/>
      <c r="N37" s="30"/>
      <c r="O37" s="68"/>
      <c r="P37" s="30"/>
    </row>
    <row r="38" spans="1:26" s="78" customFormat="1">
      <c r="A38" s="95"/>
      <c r="B38" s="96" t="s">
        <v>523</v>
      </c>
      <c r="C38" s="97"/>
      <c r="D38" s="97"/>
      <c r="E38" s="97"/>
      <c r="F38" s="97"/>
      <c r="G38" s="97"/>
      <c r="H38" s="97"/>
      <c r="I38" s="97"/>
      <c r="J38" s="97"/>
      <c r="K38" s="98"/>
      <c r="L38" s="90"/>
      <c r="M38" s="81"/>
      <c r="N38" s="30"/>
      <c r="O38" t="s">
        <v>848</v>
      </c>
      <c r="P38"/>
      <c r="Q38" s="1" t="s">
        <v>849</v>
      </c>
      <c r="R38" s="1" t="s">
        <v>850</v>
      </c>
    </row>
    <row r="39" spans="1:26" s="23" customFormat="1">
      <c r="A39" s="95"/>
      <c r="B39" s="99" t="s">
        <v>524</v>
      </c>
      <c r="C39" s="100">
        <v>41821</v>
      </c>
      <c r="D39" s="101"/>
      <c r="E39" s="101"/>
      <c r="F39" s="101"/>
      <c r="G39" s="99" t="s">
        <v>524</v>
      </c>
      <c r="H39" s="100">
        <v>41828</v>
      </c>
      <c r="I39" s="2695" t="s">
        <v>853</v>
      </c>
      <c r="J39" s="2696"/>
      <c r="K39" s="2697"/>
      <c r="L39" s="90"/>
      <c r="M39" s="81"/>
      <c r="N39" s="1992" t="s">
        <v>219</v>
      </c>
      <c r="O39" t="s">
        <v>851</v>
      </c>
      <c r="P39"/>
      <c r="Q39" s="1" t="s">
        <v>851</v>
      </c>
      <c r="R39" s="1" t="s">
        <v>852</v>
      </c>
    </row>
    <row r="40" spans="1:26" s="23" customFormat="1">
      <c r="A40" s="95"/>
      <c r="B40" s="99" t="s">
        <v>525</v>
      </c>
      <c r="C40" s="71" t="s">
        <v>512</v>
      </c>
      <c r="D40" s="72"/>
      <c r="E40" s="72"/>
      <c r="F40" s="72"/>
      <c r="G40" s="99" t="s">
        <v>525</v>
      </c>
      <c r="H40" s="71" t="s">
        <v>512</v>
      </c>
      <c r="I40" s="72"/>
      <c r="J40" s="72"/>
      <c r="K40" s="42"/>
      <c r="L40" s="90"/>
      <c r="M40" s="81"/>
      <c r="N40" s="1992" t="s">
        <v>220</v>
      </c>
      <c r="O40" t="s">
        <v>853</v>
      </c>
      <c r="P40"/>
      <c r="Q40" s="1" t="s">
        <v>853</v>
      </c>
      <c r="R40" s="1" t="s">
        <v>854</v>
      </c>
    </row>
    <row r="41" spans="1:26" s="23" customFormat="1">
      <c r="A41" s="102"/>
      <c r="B41" s="99" t="s">
        <v>526</v>
      </c>
      <c r="C41" s="103">
        <v>41822</v>
      </c>
      <c r="D41" s="101"/>
      <c r="E41" s="101"/>
      <c r="F41" s="101"/>
      <c r="G41" s="99" t="s">
        <v>526</v>
      </c>
      <c r="H41" s="103">
        <v>41830</v>
      </c>
      <c r="I41" s="101"/>
      <c r="J41" s="101"/>
      <c r="K41" s="42"/>
      <c r="L41" s="90"/>
      <c r="M41" s="81"/>
      <c r="N41" s="1993"/>
      <c r="O41" t="s">
        <v>855</v>
      </c>
      <c r="P41"/>
      <c r="Q41" s="1" t="s">
        <v>855</v>
      </c>
      <c r="R41" s="1"/>
    </row>
    <row r="42" spans="1:26" s="23" customFormat="1">
      <c r="A42" s="102"/>
      <c r="B42" s="99" t="s">
        <v>527</v>
      </c>
      <c r="C42" s="71" t="s">
        <v>512</v>
      </c>
      <c r="D42" s="72"/>
      <c r="E42" s="72"/>
      <c r="F42" s="72"/>
      <c r="G42" s="99" t="s">
        <v>527</v>
      </c>
      <c r="H42" s="71" t="s">
        <v>512</v>
      </c>
      <c r="I42" s="72"/>
      <c r="J42" s="72"/>
      <c r="K42" s="42"/>
      <c r="L42" s="90"/>
      <c r="M42" s="81"/>
      <c r="N42" s="30"/>
      <c r="O42" s="1">
        <f>IF(I39=O39,1,2)</f>
        <v>2</v>
      </c>
      <c r="P42"/>
      <c r="Q42"/>
      <c r="R42"/>
      <c r="T42" s="104"/>
      <c r="U42" s="35"/>
      <c r="V42" s="104"/>
    </row>
    <row r="43" spans="1:26" s="23" customFormat="1" ht="26.25" customHeight="1" thickBot="1">
      <c r="A43" s="102"/>
      <c r="B43" s="105" t="s">
        <v>528</v>
      </c>
      <c r="C43" s="106" t="str">
        <f>H43</f>
        <v>標準計算</v>
      </c>
      <c r="D43" s="2698" t="str">
        <f>IF(C43=$N43,$P43,$P44)</f>
        <v>→LCCO2算定条件シート（標準計算）を入力</v>
      </c>
      <c r="E43" s="2699"/>
      <c r="F43" s="2700">
        <f>IF(D43=I43,M43,M44)</f>
        <v>0</v>
      </c>
      <c r="G43" s="105" t="s">
        <v>528</v>
      </c>
      <c r="H43" s="107" t="s">
        <v>529</v>
      </c>
      <c r="I43" s="2698" t="str">
        <f>IF(H43=$N43,$P43,$P44)</f>
        <v>→LCCO2算定条件シート（標準計算）を入力</v>
      </c>
      <c r="J43" s="2699"/>
      <c r="K43" s="2700">
        <f>IF(I43=O43,Q43,Q44)</f>
        <v>0</v>
      </c>
      <c r="L43" s="90"/>
      <c r="M43" s="81"/>
      <c r="N43" s="52" t="s">
        <v>529</v>
      </c>
      <c r="O43" s="52"/>
      <c r="P43" s="52" t="s">
        <v>530</v>
      </c>
      <c r="Q43" s="30"/>
      <c r="R43" s="30"/>
      <c r="S43" s="21"/>
      <c r="T43" s="108"/>
      <c r="U43" s="109"/>
      <c r="V43" s="108"/>
    </row>
    <row r="44" spans="1:26" s="23" customFormat="1" ht="14.25" thickBot="1">
      <c r="A44" s="110"/>
      <c r="B44" s="111"/>
      <c r="C44" s="111"/>
      <c r="D44" s="111"/>
      <c r="E44" s="111"/>
      <c r="F44" s="111"/>
      <c r="G44" s="112"/>
      <c r="H44" s="112"/>
      <c r="I44" s="112"/>
      <c r="J44" s="112"/>
      <c r="K44" s="112"/>
      <c r="L44" s="90"/>
      <c r="M44" s="81"/>
      <c r="N44" s="52" t="s">
        <v>531</v>
      </c>
      <c r="O44" s="52"/>
      <c r="P44" s="52" t="s">
        <v>532</v>
      </c>
      <c r="Q44" s="30"/>
      <c r="R44" s="30"/>
      <c r="S44" s="21"/>
      <c r="T44" s="108"/>
      <c r="U44" s="109"/>
      <c r="V44" s="108"/>
    </row>
    <row r="45" spans="1:26" s="52" customFormat="1">
      <c r="A45" s="110"/>
      <c r="B45" s="113" t="s">
        <v>533</v>
      </c>
      <c r="C45" s="114"/>
      <c r="D45" s="114"/>
      <c r="E45" s="114"/>
      <c r="F45" s="114"/>
      <c r="G45" s="114"/>
      <c r="H45" s="114"/>
      <c r="I45" s="114"/>
      <c r="J45" s="114"/>
      <c r="K45" s="115"/>
      <c r="L45" s="90"/>
      <c r="M45" s="81"/>
      <c r="N45" s="45"/>
      <c r="O45" s="45"/>
      <c r="P45" s="45"/>
      <c r="Q45" s="45"/>
      <c r="R45" s="29"/>
      <c r="S45" s="21"/>
      <c r="T45" s="108"/>
      <c r="U45" s="109"/>
      <c r="V45" s="108"/>
    </row>
    <row r="46" spans="1:26" s="52" customFormat="1" ht="14.25" thickBot="1">
      <c r="A46" s="110"/>
      <c r="B46" s="116" t="s">
        <v>463</v>
      </c>
      <c r="C46" s="117"/>
      <c r="D46" s="118"/>
      <c r="E46" s="118"/>
      <c r="F46" s="118"/>
      <c r="G46" s="118"/>
      <c r="H46" s="118"/>
      <c r="I46" s="118"/>
      <c r="J46" s="118"/>
      <c r="K46" s="119"/>
      <c r="L46" s="90"/>
      <c r="M46" s="81"/>
      <c r="N46" s="120" t="s">
        <v>534</v>
      </c>
      <c r="O46" s="121" t="s">
        <v>535</v>
      </c>
      <c r="P46" s="76" t="s">
        <v>1795</v>
      </c>
      <c r="Q46" s="120" t="s">
        <v>536</v>
      </c>
      <c r="R46" s="29"/>
      <c r="S46" s="21"/>
      <c r="T46" s="108"/>
      <c r="U46" s="120" t="s">
        <v>537</v>
      </c>
      <c r="V46" s="121" t="s">
        <v>535</v>
      </c>
      <c r="W46" s="76" t="s">
        <v>1795</v>
      </c>
      <c r="X46" s="120" t="s">
        <v>536</v>
      </c>
      <c r="Y46" s="29"/>
      <c r="Z46" s="21"/>
    </row>
    <row r="47" spans="1:26" s="52" customFormat="1">
      <c r="A47" s="110"/>
      <c r="B47" s="2118" t="s">
        <v>1212</v>
      </c>
      <c r="C47" s="64">
        <f>E47+E48</f>
        <v>10000</v>
      </c>
      <c r="D47" s="67" t="s">
        <v>1213</v>
      </c>
      <c r="E47" s="2435">
        <v>10000</v>
      </c>
      <c r="F47" s="2119" t="s">
        <v>490</v>
      </c>
      <c r="G47" s="2118" t="s">
        <v>1212</v>
      </c>
      <c r="H47" s="64">
        <f>J47+J48</f>
        <v>7000</v>
      </c>
      <c r="I47" s="67" t="s">
        <v>1213</v>
      </c>
      <c r="J47" s="2435">
        <v>7000</v>
      </c>
      <c r="K47" s="2119" t="s">
        <v>490</v>
      </c>
      <c r="L47" s="90"/>
      <c r="M47" s="81"/>
      <c r="N47" s="123" t="s">
        <v>539</v>
      </c>
      <c r="O47" s="124">
        <f>C47</f>
        <v>10000</v>
      </c>
      <c r="P47" s="76">
        <f>O47/O$67</f>
        <v>1</v>
      </c>
      <c r="Q47" s="123"/>
      <c r="R47" s="125">
        <f>IF(O47=0,0,RANK(O47,$O$47:$O$63))</f>
        <v>1</v>
      </c>
      <c r="S47" s="76" t="str">
        <f>IF(AND(0&lt;R47,R47&lt;4),N47&amp;",","")</f>
        <v>事務所,</v>
      </c>
      <c r="T47" s="108"/>
      <c r="U47" s="123" t="s">
        <v>539</v>
      </c>
      <c r="V47" s="124">
        <f>H47</f>
        <v>7000</v>
      </c>
      <c r="W47" s="76">
        <f>V47/V$67</f>
        <v>0.7</v>
      </c>
      <c r="X47" s="123"/>
      <c r="Y47" s="125">
        <f>IF(V47=0,0,RANK(V47,$V$47:$V$63))</f>
        <v>1</v>
      </c>
      <c r="Z47" s="76" t="str">
        <f>IF(AND(0&lt;Y47,Y47&lt;4),U47&amp;",","")</f>
        <v>事務所,</v>
      </c>
    </row>
    <row r="48" spans="1:26" s="52" customFormat="1">
      <c r="A48" s="110"/>
      <c r="B48" s="122"/>
      <c r="C48" s="67"/>
      <c r="D48" s="2120" t="s">
        <v>1214</v>
      </c>
      <c r="E48" s="2435"/>
      <c r="F48" s="2119" t="s">
        <v>1215</v>
      </c>
      <c r="G48" s="122"/>
      <c r="H48" s="67"/>
      <c r="I48" s="2120" t="s">
        <v>1214</v>
      </c>
      <c r="J48" s="2435"/>
      <c r="K48" s="2119" t="s">
        <v>1215</v>
      </c>
      <c r="L48" s="90"/>
      <c r="M48" s="81"/>
      <c r="N48" s="123"/>
      <c r="O48" s="124"/>
      <c r="P48" s="76">
        <f t="shared" ref="P48:P62" si="0">O48/O$67</f>
        <v>0</v>
      </c>
      <c r="Q48" s="123"/>
      <c r="R48" s="125">
        <f t="shared" ref="R48:R63" si="1">IF(O48=0,0,RANK(O48,$O$47:$O$63))</f>
        <v>0</v>
      </c>
      <c r="S48" s="76" t="str">
        <f t="shared" ref="S48:S63" si="2">IF(AND(0&lt;R48,R48&lt;4),N48&amp;",","")</f>
        <v/>
      </c>
      <c r="T48" s="108"/>
      <c r="U48" s="123"/>
      <c r="V48" s="124"/>
      <c r="W48" s="76">
        <f t="shared" ref="W48:W62" si="3">V48/V$67</f>
        <v>0</v>
      </c>
      <c r="X48" s="123"/>
      <c r="Y48" s="125">
        <f t="shared" ref="Y48:Y63" si="4">IF(V48=0,0,RANK(V48,$V$47:$V$63))</f>
        <v>0</v>
      </c>
      <c r="Z48" s="76" t="str">
        <f t="shared" ref="Z48:Z63" si="5">IF(AND(0&lt;Y48,Y48&lt;4),U48&amp;",","")</f>
        <v/>
      </c>
    </row>
    <row r="49" spans="1:26" s="52" customFormat="1">
      <c r="A49" s="110"/>
      <c r="B49" s="122" t="s">
        <v>540</v>
      </c>
      <c r="C49" s="64">
        <f>SUM(E49:E53)</f>
        <v>0</v>
      </c>
      <c r="D49" s="67" t="s">
        <v>1216</v>
      </c>
      <c r="E49" s="2435"/>
      <c r="F49" s="2119" t="s">
        <v>1215</v>
      </c>
      <c r="G49" s="122" t="s">
        <v>540</v>
      </c>
      <c r="H49" s="64">
        <f>SUM(J49:J53)</f>
        <v>0</v>
      </c>
      <c r="I49" s="67" t="s">
        <v>1216</v>
      </c>
      <c r="J49" s="2435"/>
      <c r="K49" s="2119" t="s">
        <v>1215</v>
      </c>
      <c r="L49" s="90"/>
      <c r="M49" s="81"/>
      <c r="N49" s="123" t="s">
        <v>541</v>
      </c>
      <c r="O49" s="124">
        <f>C49</f>
        <v>0</v>
      </c>
      <c r="P49" s="76">
        <f t="shared" si="0"/>
        <v>0</v>
      </c>
      <c r="Q49" s="123"/>
      <c r="R49" s="125">
        <f t="shared" si="1"/>
        <v>0</v>
      </c>
      <c r="S49" s="76" t="str">
        <f t="shared" si="2"/>
        <v/>
      </c>
      <c r="T49" s="108"/>
      <c r="U49" s="123" t="s">
        <v>541</v>
      </c>
      <c r="V49" s="124">
        <f>H49</f>
        <v>0</v>
      </c>
      <c r="W49" s="76">
        <f t="shared" si="3"/>
        <v>0</v>
      </c>
      <c r="X49" s="123"/>
      <c r="Y49" s="125">
        <f t="shared" si="4"/>
        <v>0</v>
      </c>
      <c r="Z49" s="76" t="str">
        <f t="shared" si="5"/>
        <v/>
      </c>
    </row>
    <row r="50" spans="1:26" s="52" customFormat="1">
      <c r="A50" s="110"/>
      <c r="B50" s="122"/>
      <c r="C50" s="67"/>
      <c r="D50" s="2120" t="s">
        <v>1207</v>
      </c>
      <c r="E50" s="2435"/>
      <c r="F50" s="2119" t="s">
        <v>1215</v>
      </c>
      <c r="G50" s="122"/>
      <c r="H50" s="67"/>
      <c r="I50" s="2120" t="s">
        <v>1207</v>
      </c>
      <c r="J50" s="2435"/>
      <c r="K50" s="2119" t="s">
        <v>1215</v>
      </c>
      <c r="L50" s="90"/>
      <c r="M50" s="81"/>
      <c r="N50" s="123"/>
      <c r="O50" s="124"/>
      <c r="P50" s="76">
        <f t="shared" si="0"/>
        <v>0</v>
      </c>
      <c r="Q50" s="123"/>
      <c r="R50" s="125">
        <f t="shared" si="1"/>
        <v>0</v>
      </c>
      <c r="S50" s="76" t="str">
        <f t="shared" si="2"/>
        <v/>
      </c>
      <c r="T50" s="108"/>
      <c r="U50" s="123"/>
      <c r="V50" s="124"/>
      <c r="W50" s="76">
        <f t="shared" si="3"/>
        <v>0</v>
      </c>
      <c r="X50" s="123"/>
      <c r="Y50" s="125">
        <f t="shared" si="4"/>
        <v>0</v>
      </c>
      <c r="Z50" s="76" t="str">
        <f t="shared" si="5"/>
        <v/>
      </c>
    </row>
    <row r="51" spans="1:26" s="52" customFormat="1">
      <c r="A51" s="110"/>
      <c r="B51" s="122"/>
      <c r="C51" s="67"/>
      <c r="D51" s="2120" t="s">
        <v>1208</v>
      </c>
      <c r="E51" s="2435"/>
      <c r="F51" s="2119" t="s">
        <v>1215</v>
      </c>
      <c r="G51" s="122"/>
      <c r="H51" s="67"/>
      <c r="I51" s="2120" t="s">
        <v>1208</v>
      </c>
      <c r="J51" s="2435"/>
      <c r="K51" s="2119" t="s">
        <v>1215</v>
      </c>
      <c r="L51" s="90"/>
      <c r="M51" s="81"/>
      <c r="N51" s="123"/>
      <c r="O51" s="124"/>
      <c r="P51" s="76">
        <f t="shared" si="0"/>
        <v>0</v>
      </c>
      <c r="Q51" s="123"/>
      <c r="R51" s="125">
        <f t="shared" si="1"/>
        <v>0</v>
      </c>
      <c r="S51" s="76" t="str">
        <f t="shared" si="2"/>
        <v/>
      </c>
      <c r="T51" s="108"/>
      <c r="U51" s="123"/>
      <c r="V51" s="124"/>
      <c r="W51" s="76">
        <f t="shared" si="3"/>
        <v>0</v>
      </c>
      <c r="X51" s="123"/>
      <c r="Y51" s="125">
        <f t="shared" si="4"/>
        <v>0</v>
      </c>
      <c r="Z51" s="76" t="str">
        <f t="shared" si="5"/>
        <v/>
      </c>
    </row>
    <row r="52" spans="1:26" s="52" customFormat="1">
      <c r="A52" s="110"/>
      <c r="B52" s="122"/>
      <c r="C52" s="67"/>
      <c r="D52" s="2120" t="s">
        <v>1217</v>
      </c>
      <c r="E52" s="2435"/>
      <c r="F52" s="2119" t="s">
        <v>1215</v>
      </c>
      <c r="G52" s="122"/>
      <c r="H52" s="67"/>
      <c r="I52" s="2120" t="s">
        <v>1217</v>
      </c>
      <c r="J52" s="2435"/>
      <c r="K52" s="2119" t="s">
        <v>1215</v>
      </c>
      <c r="L52" s="90"/>
      <c r="M52" s="81"/>
      <c r="N52" s="123"/>
      <c r="O52" s="124"/>
      <c r="P52" s="76">
        <f t="shared" si="0"/>
        <v>0</v>
      </c>
      <c r="Q52" s="123"/>
      <c r="R52" s="125">
        <f t="shared" si="1"/>
        <v>0</v>
      </c>
      <c r="S52" s="76" t="str">
        <f t="shared" si="2"/>
        <v/>
      </c>
      <c r="T52" s="108"/>
      <c r="U52" s="123"/>
      <c r="V52" s="124"/>
      <c r="W52" s="76">
        <f t="shared" si="3"/>
        <v>0</v>
      </c>
      <c r="X52" s="123"/>
      <c r="Y52" s="125">
        <f t="shared" si="4"/>
        <v>0</v>
      </c>
      <c r="Z52" s="76" t="str">
        <f t="shared" si="5"/>
        <v/>
      </c>
    </row>
    <row r="53" spans="1:26" s="52" customFormat="1">
      <c r="A53" s="110"/>
      <c r="B53" s="122"/>
      <c r="C53" s="67"/>
      <c r="D53" s="2120" t="s">
        <v>1218</v>
      </c>
      <c r="E53" s="2435"/>
      <c r="F53" s="2119" t="s">
        <v>1215</v>
      </c>
      <c r="G53" s="122"/>
      <c r="H53" s="67"/>
      <c r="I53" s="2120" t="s">
        <v>1218</v>
      </c>
      <c r="J53" s="2435"/>
      <c r="K53" s="2119" t="s">
        <v>1215</v>
      </c>
      <c r="L53" s="90"/>
      <c r="M53" s="81"/>
      <c r="N53" s="123"/>
      <c r="O53" s="124"/>
      <c r="P53" s="76">
        <f t="shared" si="0"/>
        <v>0</v>
      </c>
      <c r="Q53" s="123"/>
      <c r="R53" s="125">
        <f t="shared" si="1"/>
        <v>0</v>
      </c>
      <c r="S53" s="76" t="str">
        <f t="shared" si="2"/>
        <v/>
      </c>
      <c r="T53" s="108"/>
      <c r="U53" s="123"/>
      <c r="V53" s="124"/>
      <c r="W53" s="76">
        <f t="shared" si="3"/>
        <v>0</v>
      </c>
      <c r="X53" s="123"/>
      <c r="Y53" s="125">
        <f t="shared" si="4"/>
        <v>0</v>
      </c>
      <c r="Z53" s="76" t="str">
        <f t="shared" si="5"/>
        <v/>
      </c>
    </row>
    <row r="54" spans="1:26" s="52" customFormat="1">
      <c r="A54" s="110"/>
      <c r="B54" s="122" t="s">
        <v>542</v>
      </c>
      <c r="C54" s="64">
        <f>E54+E55</f>
        <v>0</v>
      </c>
      <c r="D54" s="67" t="s">
        <v>1219</v>
      </c>
      <c r="E54" s="2435"/>
      <c r="F54" s="2119" t="s">
        <v>1215</v>
      </c>
      <c r="G54" s="122" t="s">
        <v>542</v>
      </c>
      <c r="H54" s="64">
        <f>J54+J55</f>
        <v>3000</v>
      </c>
      <c r="I54" s="67" t="s">
        <v>1219</v>
      </c>
      <c r="J54" s="2435"/>
      <c r="K54" s="2119" t="s">
        <v>1215</v>
      </c>
      <c r="L54" s="90"/>
      <c r="M54" s="81"/>
      <c r="N54" s="123" t="s">
        <v>543</v>
      </c>
      <c r="O54" s="124">
        <f>C54</f>
        <v>0</v>
      </c>
      <c r="P54" s="76">
        <f t="shared" si="0"/>
        <v>0</v>
      </c>
      <c r="Q54" s="123"/>
      <c r="R54" s="125">
        <f t="shared" si="1"/>
        <v>0</v>
      </c>
      <c r="S54" s="76" t="str">
        <f t="shared" si="2"/>
        <v/>
      </c>
      <c r="T54" s="108"/>
      <c r="U54" s="123" t="s">
        <v>543</v>
      </c>
      <c r="V54" s="124">
        <f>H54</f>
        <v>3000</v>
      </c>
      <c r="W54" s="76">
        <f t="shared" si="3"/>
        <v>0.3</v>
      </c>
      <c r="X54" s="123"/>
      <c r="Y54" s="125">
        <f t="shared" si="4"/>
        <v>2</v>
      </c>
      <c r="Z54" s="76" t="str">
        <f t="shared" si="5"/>
        <v>物販店,</v>
      </c>
    </row>
    <row r="55" spans="1:26" s="52" customFormat="1">
      <c r="A55" s="110"/>
      <c r="B55" s="122"/>
      <c r="C55" s="67"/>
      <c r="D55" s="2120" t="s">
        <v>1220</v>
      </c>
      <c r="E55" s="2435"/>
      <c r="F55" s="2119" t="s">
        <v>1215</v>
      </c>
      <c r="G55" s="122"/>
      <c r="H55" s="67"/>
      <c r="I55" s="2120" t="s">
        <v>1220</v>
      </c>
      <c r="J55" s="2435">
        <v>3000</v>
      </c>
      <c r="K55" s="2119" t="s">
        <v>1215</v>
      </c>
      <c r="L55" s="90"/>
      <c r="M55" s="81"/>
      <c r="N55" s="123"/>
      <c r="O55" s="124"/>
      <c r="P55" s="76">
        <f t="shared" si="0"/>
        <v>0</v>
      </c>
      <c r="Q55" s="123"/>
      <c r="R55" s="125">
        <f t="shared" si="1"/>
        <v>0</v>
      </c>
      <c r="S55" s="76" t="str">
        <f t="shared" si="2"/>
        <v/>
      </c>
      <c r="T55" s="108"/>
      <c r="U55" s="123"/>
      <c r="V55" s="124"/>
      <c r="W55" s="76">
        <f t="shared" si="3"/>
        <v>0</v>
      </c>
      <c r="X55" s="123"/>
      <c r="Y55" s="125">
        <f t="shared" si="4"/>
        <v>0</v>
      </c>
      <c r="Z55" s="76" t="str">
        <f t="shared" si="5"/>
        <v/>
      </c>
    </row>
    <row r="56" spans="1:26" s="52" customFormat="1">
      <c r="A56" s="110"/>
      <c r="B56" s="122" t="s">
        <v>544</v>
      </c>
      <c r="C56" s="126"/>
      <c r="D56" s="67" t="s">
        <v>1215</v>
      </c>
      <c r="E56" s="67"/>
      <c r="F56" s="2119"/>
      <c r="G56" s="122" t="s">
        <v>544</v>
      </c>
      <c r="H56" s="126"/>
      <c r="I56" s="67" t="s">
        <v>1215</v>
      </c>
      <c r="J56" s="67"/>
      <c r="K56" s="2119"/>
      <c r="L56" s="90"/>
      <c r="M56" s="81"/>
      <c r="N56" s="123" t="s">
        <v>545</v>
      </c>
      <c r="O56" s="124">
        <f>C56</f>
        <v>0</v>
      </c>
      <c r="P56" s="76">
        <f t="shared" si="0"/>
        <v>0</v>
      </c>
      <c r="Q56" s="123"/>
      <c r="R56" s="125">
        <f t="shared" si="1"/>
        <v>0</v>
      </c>
      <c r="S56" s="76" t="str">
        <f t="shared" si="2"/>
        <v/>
      </c>
      <c r="T56" s="108"/>
      <c r="U56" s="123" t="s">
        <v>545</v>
      </c>
      <c r="V56" s="124">
        <f>H56</f>
        <v>0</v>
      </c>
      <c r="W56" s="76">
        <f t="shared" si="3"/>
        <v>0</v>
      </c>
      <c r="X56" s="123"/>
      <c r="Y56" s="125">
        <f t="shared" si="4"/>
        <v>0</v>
      </c>
      <c r="Z56" s="76" t="str">
        <f t="shared" si="5"/>
        <v/>
      </c>
    </row>
    <row r="57" spans="1:26" s="52" customFormat="1">
      <c r="A57" s="110"/>
      <c r="B57" s="122" t="s">
        <v>546</v>
      </c>
      <c r="C57" s="64">
        <f>E57+E58+E59</f>
        <v>0</v>
      </c>
      <c r="D57" s="67" t="s">
        <v>1221</v>
      </c>
      <c r="E57" s="2435"/>
      <c r="F57" s="2119" t="s">
        <v>1215</v>
      </c>
      <c r="G57" s="122" t="s">
        <v>546</v>
      </c>
      <c r="H57" s="64">
        <f>J57+J58+J59</f>
        <v>0</v>
      </c>
      <c r="I57" s="67" t="s">
        <v>1221</v>
      </c>
      <c r="J57" s="2435"/>
      <c r="K57" s="2119" t="s">
        <v>1215</v>
      </c>
      <c r="L57" s="90"/>
      <c r="M57" s="81"/>
      <c r="N57" s="123" t="s">
        <v>547</v>
      </c>
      <c r="O57" s="124">
        <f>C57</f>
        <v>0</v>
      </c>
      <c r="P57" s="76">
        <f t="shared" si="0"/>
        <v>0</v>
      </c>
      <c r="Q57" s="123"/>
      <c r="R57" s="125">
        <f t="shared" si="1"/>
        <v>0</v>
      </c>
      <c r="S57" s="76" t="str">
        <f t="shared" si="2"/>
        <v/>
      </c>
      <c r="T57" s="108"/>
      <c r="U57" s="123" t="s">
        <v>547</v>
      </c>
      <c r="V57" s="124">
        <f>H57</f>
        <v>0</v>
      </c>
      <c r="W57" s="76">
        <f t="shared" si="3"/>
        <v>0</v>
      </c>
      <c r="X57" s="123"/>
      <c r="Y57" s="125">
        <f t="shared" si="4"/>
        <v>0</v>
      </c>
      <c r="Z57" s="76" t="str">
        <f t="shared" si="5"/>
        <v/>
      </c>
    </row>
    <row r="58" spans="1:26" s="52" customFormat="1">
      <c r="A58" s="110"/>
      <c r="B58" s="122"/>
      <c r="C58" s="67"/>
      <c r="D58" s="2120" t="s">
        <v>1222</v>
      </c>
      <c r="E58" s="2435"/>
      <c r="F58" s="2119" t="s">
        <v>1215</v>
      </c>
      <c r="G58" s="122"/>
      <c r="H58" s="67"/>
      <c r="I58" s="2120" t="s">
        <v>1222</v>
      </c>
      <c r="J58" s="2435"/>
      <c r="K58" s="2119" t="s">
        <v>1215</v>
      </c>
      <c r="L58" s="90"/>
      <c r="M58" s="81"/>
      <c r="N58" s="123"/>
      <c r="O58" s="124"/>
      <c r="P58" s="76">
        <f t="shared" si="0"/>
        <v>0</v>
      </c>
      <c r="Q58" s="123"/>
      <c r="R58" s="125">
        <f t="shared" si="1"/>
        <v>0</v>
      </c>
      <c r="S58" s="76" t="str">
        <f t="shared" si="2"/>
        <v/>
      </c>
      <c r="T58" s="108"/>
      <c r="U58" s="123"/>
      <c r="V58" s="124"/>
      <c r="W58" s="76">
        <f t="shared" si="3"/>
        <v>0</v>
      </c>
      <c r="X58" s="123"/>
      <c r="Y58" s="125">
        <f t="shared" si="4"/>
        <v>0</v>
      </c>
      <c r="Z58" s="76" t="str">
        <f t="shared" si="5"/>
        <v/>
      </c>
    </row>
    <row r="59" spans="1:26" s="52" customFormat="1">
      <c r="A59" s="110"/>
      <c r="B59" s="122"/>
      <c r="C59" s="67"/>
      <c r="D59" s="2120" t="s">
        <v>1223</v>
      </c>
      <c r="E59" s="2435"/>
      <c r="F59" s="2119" t="s">
        <v>1215</v>
      </c>
      <c r="G59" s="122"/>
      <c r="H59" s="67"/>
      <c r="I59" s="2120" t="s">
        <v>1223</v>
      </c>
      <c r="J59" s="2435"/>
      <c r="K59" s="2119" t="s">
        <v>1215</v>
      </c>
      <c r="L59" s="90"/>
      <c r="M59" s="81"/>
      <c r="N59" s="123"/>
      <c r="O59" s="124"/>
      <c r="P59" s="76">
        <f t="shared" si="0"/>
        <v>0</v>
      </c>
      <c r="Q59" s="123"/>
      <c r="R59" s="125">
        <f t="shared" si="1"/>
        <v>0</v>
      </c>
      <c r="S59" s="76" t="str">
        <f t="shared" si="2"/>
        <v/>
      </c>
      <c r="T59" s="108"/>
      <c r="U59" s="123"/>
      <c r="V59" s="124"/>
      <c r="W59" s="76">
        <f t="shared" si="3"/>
        <v>0</v>
      </c>
      <c r="X59" s="123"/>
      <c r="Y59" s="125">
        <f t="shared" si="4"/>
        <v>0</v>
      </c>
      <c r="Z59" s="76" t="str">
        <f t="shared" si="5"/>
        <v/>
      </c>
    </row>
    <row r="60" spans="1:26" s="52" customFormat="1">
      <c r="A60" s="110"/>
      <c r="B60" s="122" t="s">
        <v>548</v>
      </c>
      <c r="C60" s="2435"/>
      <c r="D60" s="2452" t="s">
        <v>1844</v>
      </c>
      <c r="E60" s="126"/>
      <c r="F60" s="2119" t="s">
        <v>1845</v>
      </c>
      <c r="G60" s="122" t="s">
        <v>548</v>
      </c>
      <c r="H60" s="2435"/>
      <c r="I60" s="2452" t="s">
        <v>1844</v>
      </c>
      <c r="J60" s="126"/>
      <c r="K60" s="2119" t="s">
        <v>1845</v>
      </c>
      <c r="L60" s="90"/>
      <c r="M60" s="81"/>
      <c r="N60" s="123" t="s">
        <v>549</v>
      </c>
      <c r="O60" s="124">
        <f>C61</f>
        <v>0</v>
      </c>
      <c r="P60" s="76">
        <f t="shared" si="0"/>
        <v>0</v>
      </c>
      <c r="Q60" s="123">
        <f>O60*E68</f>
        <v>0</v>
      </c>
      <c r="R60" s="125">
        <f t="shared" si="1"/>
        <v>0</v>
      </c>
      <c r="S60" s="76" t="str">
        <f t="shared" si="2"/>
        <v/>
      </c>
      <c r="T60" s="108"/>
      <c r="U60" s="123" t="s">
        <v>549</v>
      </c>
      <c r="V60" s="124">
        <f>H61</f>
        <v>0</v>
      </c>
      <c r="W60" s="76">
        <f t="shared" si="3"/>
        <v>0</v>
      </c>
      <c r="X60" s="123">
        <f>V60*J68</f>
        <v>0</v>
      </c>
      <c r="Y60" s="125">
        <f t="shared" si="4"/>
        <v>0</v>
      </c>
      <c r="Z60" s="76" t="str">
        <f t="shared" si="5"/>
        <v/>
      </c>
    </row>
    <row r="61" spans="1:26">
      <c r="A61" s="110"/>
      <c r="B61" s="122" t="s">
        <v>550</v>
      </c>
      <c r="C61" s="2435"/>
      <c r="D61" s="67" t="s">
        <v>1215</v>
      </c>
      <c r="E61" s="67"/>
      <c r="F61" s="2119"/>
      <c r="G61" s="122" t="s">
        <v>550</v>
      </c>
      <c r="H61" s="2435"/>
      <c r="I61" s="67" t="s">
        <v>1215</v>
      </c>
      <c r="J61" s="67"/>
      <c r="K61" s="2119"/>
      <c r="L61" s="90"/>
      <c r="M61" s="81"/>
      <c r="N61" s="123" t="s">
        <v>551</v>
      </c>
      <c r="O61" s="124">
        <f>C62</f>
        <v>0</v>
      </c>
      <c r="P61" s="76">
        <f t="shared" si="0"/>
        <v>0</v>
      </c>
      <c r="Q61" s="123">
        <f>O61*E69</f>
        <v>0</v>
      </c>
      <c r="R61" s="125">
        <f t="shared" si="1"/>
        <v>0</v>
      </c>
      <c r="S61" s="76" t="str">
        <f>IF(AND(0&lt;R61,R61&lt;4),N61&amp;",","")</f>
        <v/>
      </c>
      <c r="T61" s="108"/>
      <c r="U61" s="123" t="s">
        <v>551</v>
      </c>
      <c r="V61" s="124">
        <f>H62</f>
        <v>0</v>
      </c>
      <c r="W61" s="76">
        <f t="shared" si="3"/>
        <v>0</v>
      </c>
      <c r="X61" s="123">
        <f>V61*J69</f>
        <v>0</v>
      </c>
      <c r="Y61" s="125">
        <f t="shared" si="4"/>
        <v>0</v>
      </c>
      <c r="Z61" s="76" t="str">
        <f t="shared" si="5"/>
        <v/>
      </c>
    </row>
    <row r="62" spans="1:26">
      <c r="A62" s="110"/>
      <c r="B62" s="122" t="s">
        <v>552</v>
      </c>
      <c r="C62" s="2435"/>
      <c r="D62" s="67" t="s">
        <v>1215</v>
      </c>
      <c r="E62" s="67"/>
      <c r="F62" s="2119"/>
      <c r="G62" s="122" t="s">
        <v>552</v>
      </c>
      <c r="H62" s="2435"/>
      <c r="I62" s="67" t="s">
        <v>1215</v>
      </c>
      <c r="J62" s="67"/>
      <c r="K62" s="2119"/>
      <c r="L62" s="90"/>
      <c r="M62" s="81"/>
      <c r="N62" s="123" t="s">
        <v>553</v>
      </c>
      <c r="O62" s="124">
        <f>C64</f>
        <v>0</v>
      </c>
      <c r="P62" s="76">
        <f t="shared" si="0"/>
        <v>0</v>
      </c>
      <c r="Q62" s="123">
        <f>O62*E70</f>
        <v>0</v>
      </c>
      <c r="R62" s="125">
        <f t="shared" si="1"/>
        <v>0</v>
      </c>
      <c r="S62" s="76" t="str">
        <f t="shared" si="2"/>
        <v/>
      </c>
      <c r="T62" s="108"/>
      <c r="U62" s="123" t="s">
        <v>553</v>
      </c>
      <c r="V62" s="124">
        <f>H64</f>
        <v>0</v>
      </c>
      <c r="W62" s="76">
        <f t="shared" si="3"/>
        <v>0</v>
      </c>
      <c r="X62" s="123">
        <f>V62*J70</f>
        <v>0</v>
      </c>
      <c r="Y62" s="125">
        <f t="shared" si="4"/>
        <v>0</v>
      </c>
      <c r="Z62" s="76" t="str">
        <f t="shared" si="5"/>
        <v/>
      </c>
    </row>
    <row r="63" spans="1:26">
      <c r="A63" s="110"/>
      <c r="B63" s="122" t="s">
        <v>1209</v>
      </c>
      <c r="C63" s="64">
        <f>SUM(C47:C62)</f>
        <v>10000</v>
      </c>
      <c r="D63" s="67" t="s">
        <v>1215</v>
      </c>
      <c r="E63" s="67"/>
      <c r="F63" s="2119"/>
      <c r="G63" s="122" t="s">
        <v>1209</v>
      </c>
      <c r="H63" s="64">
        <f>SUM(H47:H62)</f>
        <v>10000</v>
      </c>
      <c r="I63" s="67" t="s">
        <v>1215</v>
      </c>
      <c r="J63" s="67"/>
      <c r="K63" s="2119"/>
      <c r="L63" s="90"/>
      <c r="M63" s="81"/>
      <c r="N63" s="123" t="s">
        <v>555</v>
      </c>
      <c r="O63" s="124">
        <f>C60</f>
        <v>0</v>
      </c>
      <c r="P63" s="76">
        <f>O63/O$67</f>
        <v>0</v>
      </c>
      <c r="Q63" s="123"/>
      <c r="R63" s="125">
        <f t="shared" si="1"/>
        <v>0</v>
      </c>
      <c r="S63" s="76" t="str">
        <f t="shared" si="2"/>
        <v/>
      </c>
      <c r="T63" s="108"/>
      <c r="U63" s="123" t="s">
        <v>555</v>
      </c>
      <c r="V63" s="124">
        <f>H60</f>
        <v>0</v>
      </c>
      <c r="W63" s="76">
        <f>V63/V$67</f>
        <v>0</v>
      </c>
      <c r="X63" s="123"/>
      <c r="Y63" s="125">
        <f t="shared" si="4"/>
        <v>0</v>
      </c>
      <c r="Z63" s="76" t="str">
        <f t="shared" si="5"/>
        <v/>
      </c>
    </row>
    <row r="64" spans="1:26">
      <c r="A64" s="110"/>
      <c r="B64" s="127" t="s">
        <v>554</v>
      </c>
      <c r="C64" s="64">
        <f>E64+E65</f>
        <v>0</v>
      </c>
      <c r="D64" s="67" t="s">
        <v>1210</v>
      </c>
      <c r="E64" s="2435"/>
      <c r="F64" s="2119" t="s">
        <v>1215</v>
      </c>
      <c r="G64" s="127" t="s">
        <v>554</v>
      </c>
      <c r="H64" s="64">
        <f>J64+J65</f>
        <v>0</v>
      </c>
      <c r="I64" s="67" t="s">
        <v>1210</v>
      </c>
      <c r="J64" s="2435"/>
      <c r="K64" s="2119" t="s">
        <v>1215</v>
      </c>
      <c r="L64" s="90"/>
      <c r="M64" s="81"/>
      <c r="N64" s="123"/>
      <c r="O64" s="124"/>
      <c r="P64" s="2394"/>
      <c r="Q64" s="123"/>
      <c r="R64" s="2116"/>
      <c r="S64" s="76"/>
      <c r="T64" s="108"/>
      <c r="U64" s="123"/>
      <c r="V64" s="124"/>
      <c r="W64" s="2394"/>
      <c r="X64" s="123"/>
      <c r="Y64" s="2116"/>
      <c r="Z64" s="76"/>
    </row>
    <row r="65" spans="1:26">
      <c r="A65" s="110"/>
      <c r="B65" s="2121"/>
      <c r="C65" s="67"/>
      <c r="D65" s="2120" t="s">
        <v>1211</v>
      </c>
      <c r="E65" s="2435"/>
      <c r="F65" s="2119" t="s">
        <v>1215</v>
      </c>
      <c r="G65" s="2121"/>
      <c r="H65" s="67"/>
      <c r="I65" s="2120" t="s">
        <v>1211</v>
      </c>
      <c r="J65" s="2435"/>
      <c r="K65" s="2119" t="s">
        <v>1215</v>
      </c>
      <c r="L65" s="90"/>
      <c r="M65" s="81"/>
      <c r="N65" s="123"/>
      <c r="O65" s="124"/>
      <c r="P65" s="2394"/>
      <c r="Q65" s="123"/>
      <c r="R65" s="2116"/>
      <c r="S65" s="76"/>
      <c r="T65" s="108"/>
      <c r="U65" s="123"/>
      <c r="V65" s="124"/>
      <c r="W65" s="2394"/>
      <c r="X65" s="123"/>
      <c r="Y65" s="2116"/>
      <c r="Z65" s="76"/>
    </row>
    <row r="66" spans="1:26">
      <c r="A66" s="110"/>
      <c r="B66" s="2121"/>
      <c r="C66" s="67"/>
      <c r="D66" s="67"/>
      <c r="E66" s="67"/>
      <c r="F66" s="42"/>
      <c r="G66" s="2121"/>
      <c r="H66" s="67"/>
      <c r="I66" s="67"/>
      <c r="J66" s="67"/>
      <c r="K66" s="42"/>
      <c r="L66" s="90"/>
      <c r="M66" s="81"/>
      <c r="N66" s="123"/>
      <c r="O66" s="124"/>
      <c r="P66" s="2394"/>
      <c r="Q66" s="123"/>
      <c r="R66" s="2116"/>
      <c r="S66" s="76"/>
      <c r="T66" s="108"/>
      <c r="U66" s="123"/>
      <c r="V66" s="124"/>
      <c r="W66" s="2394"/>
      <c r="X66" s="123"/>
      <c r="Y66" s="2116"/>
      <c r="Z66" s="76"/>
    </row>
    <row r="67" spans="1:26">
      <c r="A67" s="110"/>
      <c r="B67" s="128" t="s">
        <v>556</v>
      </c>
      <c r="C67" s="129"/>
      <c r="D67" s="129"/>
      <c r="E67" s="2123"/>
      <c r="F67" s="130"/>
      <c r="G67" s="129"/>
      <c r="H67" s="129"/>
      <c r="I67" s="129"/>
      <c r="J67" s="2123"/>
      <c r="K67" s="130"/>
      <c r="L67" s="90"/>
      <c r="M67" s="81"/>
      <c r="N67" s="123" t="s">
        <v>557</v>
      </c>
      <c r="O67" s="131">
        <f>SUM(O47:O63)</f>
        <v>10000</v>
      </c>
      <c r="P67" s="2394"/>
      <c r="Q67" s="131">
        <f>SUM(Q47:Q63)</f>
        <v>0</v>
      </c>
      <c r="R67" s="21"/>
      <c r="S67" s="132" t="str">
        <f>IF(MAX(R47:R63)&gt;3,"等","")</f>
        <v/>
      </c>
      <c r="T67" s="108"/>
      <c r="U67" s="123" t="s">
        <v>557</v>
      </c>
      <c r="V67" s="133">
        <f>SUM(V47:V63)</f>
        <v>10000</v>
      </c>
      <c r="W67" s="2394"/>
      <c r="X67" s="133">
        <f>SUM(X47:X63)</f>
        <v>0</v>
      </c>
      <c r="Z67" s="132" t="str">
        <f>IF(MAX(Y47:Y63)&gt;3,"等","")</f>
        <v/>
      </c>
    </row>
    <row r="68" spans="1:26">
      <c r="A68" s="110"/>
      <c r="B68" s="122" t="s">
        <v>558</v>
      </c>
      <c r="C68" s="84"/>
      <c r="D68" s="2117"/>
      <c r="E68" s="2124"/>
      <c r="F68" s="2119"/>
      <c r="G68" s="122" t="s">
        <v>558</v>
      </c>
      <c r="H68" s="84"/>
      <c r="I68" s="2117"/>
      <c r="J68" s="2124"/>
      <c r="K68" s="2119"/>
      <c r="L68" s="90"/>
      <c r="M68" s="81"/>
      <c r="N68" s="134"/>
      <c r="O68" s="4"/>
      <c r="P68" s="134"/>
      <c r="Q68" s="21"/>
      <c r="R68" s="21"/>
      <c r="S68" s="45" t="str">
        <f>S47&amp;S49&amp;S54&amp;S56&amp;S57&amp;S60&amp;S61&amp;S62&amp;S63&amp;S67</f>
        <v>事務所,</v>
      </c>
      <c r="T68" s="45"/>
      <c r="U68" s="134"/>
      <c r="V68" s="4"/>
      <c r="W68" s="134"/>
      <c r="Z68" s="45" t="str">
        <f>Z47&amp;Z49&amp;Z54&amp;Z56&amp;Z57&amp;Z60&amp;Z61&amp;Z62&amp;Z63&amp;Z67</f>
        <v>事務所,物販店,</v>
      </c>
    </row>
    <row r="69" spans="1:26">
      <c r="A69" s="110"/>
      <c r="B69" s="122" t="s">
        <v>559</v>
      </c>
      <c r="C69" s="84"/>
      <c r="D69" s="2117"/>
      <c r="E69" s="2124"/>
      <c r="F69" s="2119"/>
      <c r="G69" s="122" t="s">
        <v>559</v>
      </c>
      <c r="H69" s="84"/>
      <c r="I69" s="2117"/>
      <c r="J69" s="2124"/>
      <c r="K69" s="2119"/>
      <c r="L69" s="90"/>
      <c r="M69" s="81"/>
      <c r="N69" s="134"/>
      <c r="O69" s="4"/>
      <c r="P69" s="134"/>
      <c r="Q69" s="21"/>
      <c r="R69" s="21"/>
    </row>
    <row r="70" spans="1:26">
      <c r="A70" s="110"/>
      <c r="B70" s="127" t="s">
        <v>1224</v>
      </c>
      <c r="C70" s="2122"/>
      <c r="D70" s="2122"/>
      <c r="E70" s="2200">
        <f>IF(C64=0,0,E64/C64)</f>
        <v>0</v>
      </c>
      <c r="F70" s="2119"/>
      <c r="G70" s="127" t="s">
        <v>1224</v>
      </c>
      <c r="H70" s="2122"/>
      <c r="I70" s="2122"/>
      <c r="J70" s="2200">
        <f>IF(H64=0,0,J64/H64)</f>
        <v>0</v>
      </c>
      <c r="K70" s="2119"/>
      <c r="L70" s="90"/>
      <c r="M70" s="81"/>
      <c r="N70" s="134"/>
      <c r="O70" s="4"/>
      <c r="P70" s="134"/>
      <c r="Q70" s="21"/>
      <c r="R70" s="21"/>
    </row>
    <row r="71" spans="1:26" customFormat="1" ht="14.25" thickBot="1">
      <c r="A71" s="1872"/>
      <c r="B71" s="1873"/>
      <c r="C71" s="1874"/>
      <c r="D71" s="1874"/>
      <c r="E71" s="1874"/>
      <c r="F71" s="1875"/>
      <c r="G71" s="1874"/>
      <c r="H71" s="1874"/>
      <c r="I71" s="1874"/>
      <c r="J71" s="1874"/>
      <c r="K71" s="1875"/>
      <c r="L71" s="1872"/>
      <c r="M71" s="1872"/>
      <c r="N71" s="2187" t="s">
        <v>204</v>
      </c>
      <c r="O71" s="2188" t="s">
        <v>539</v>
      </c>
      <c r="P71" s="2189">
        <f>E47</f>
        <v>10000</v>
      </c>
      <c r="U71" s="2187" t="s">
        <v>204</v>
      </c>
      <c r="V71" s="2188" t="s">
        <v>539</v>
      </c>
      <c r="W71" s="2189">
        <f>J47</f>
        <v>7000</v>
      </c>
    </row>
    <row r="72" spans="1:26" ht="14.25" thickBot="1">
      <c r="A72" s="110"/>
      <c r="B72" s="2687"/>
      <c r="C72" s="2687"/>
      <c r="D72" s="2687"/>
      <c r="E72" s="2687"/>
      <c r="F72" s="2687"/>
      <c r="G72" s="2687"/>
      <c r="H72" s="110"/>
      <c r="I72" s="110"/>
      <c r="J72" s="110"/>
      <c r="K72" s="110"/>
      <c r="L72" s="90"/>
      <c r="M72" s="81"/>
      <c r="N72" s="2190"/>
      <c r="O72" s="2188" t="s">
        <v>1272</v>
      </c>
      <c r="P72" s="2189">
        <f t="shared" ref="P72:P89" si="6">E48</f>
        <v>0</v>
      </c>
      <c r="Q72" s="78"/>
      <c r="R72" s="78"/>
      <c r="U72" s="2190"/>
      <c r="V72" s="2188" t="s">
        <v>1272</v>
      </c>
      <c r="W72" s="2189">
        <f t="shared" ref="W72:W89" si="7">J48</f>
        <v>0</v>
      </c>
    </row>
    <row r="73" spans="1:26" ht="14.25" thickBot="1">
      <c r="A73" s="110"/>
      <c r="B73" s="135" t="s">
        <v>560</v>
      </c>
      <c r="C73" s="136"/>
      <c r="D73" s="136"/>
      <c r="E73" s="136"/>
      <c r="F73" s="136"/>
      <c r="G73" s="136"/>
      <c r="H73" s="137"/>
      <c r="I73" s="137"/>
      <c r="J73" s="137"/>
      <c r="K73" s="138"/>
      <c r="L73" s="90"/>
      <c r="M73" s="81"/>
      <c r="N73" s="2191" t="s">
        <v>1273</v>
      </c>
      <c r="O73" s="2188" t="s">
        <v>1274</v>
      </c>
      <c r="P73" s="2189">
        <f t="shared" si="6"/>
        <v>0</v>
      </c>
      <c r="Q73" s="78"/>
      <c r="R73" s="78"/>
      <c r="U73" s="2191" t="s">
        <v>1273</v>
      </c>
      <c r="V73" s="2188" t="s">
        <v>1274</v>
      </c>
      <c r="W73" s="2189">
        <f t="shared" si="7"/>
        <v>0</v>
      </c>
    </row>
    <row r="74" spans="1:26" ht="14.25" thickBot="1">
      <c r="A74" s="110"/>
      <c r="B74" s="139" t="s">
        <v>561</v>
      </c>
      <c r="C74" s="140" t="s">
        <v>562</v>
      </c>
      <c r="D74" s="141" t="s">
        <v>563</v>
      </c>
      <c r="E74" s="141"/>
      <c r="F74" s="142"/>
      <c r="G74" s="142"/>
      <c r="H74" s="142"/>
      <c r="I74" s="143"/>
      <c r="J74" s="143"/>
      <c r="K74" s="144"/>
      <c r="L74" s="90"/>
      <c r="M74" s="81"/>
      <c r="N74" s="2191"/>
      <c r="O74" s="2188" t="s">
        <v>1345</v>
      </c>
      <c r="P74" s="2189">
        <f t="shared" si="6"/>
        <v>0</v>
      </c>
      <c r="Q74" s="23"/>
      <c r="R74" s="23"/>
      <c r="U74" s="2191"/>
      <c r="V74" s="2188" t="s">
        <v>1345</v>
      </c>
      <c r="W74" s="2189">
        <f t="shared" si="7"/>
        <v>0</v>
      </c>
    </row>
    <row r="75" spans="1:26">
      <c r="A75" s="110"/>
      <c r="B75" s="145" t="s">
        <v>564</v>
      </c>
      <c r="C75" s="146" t="s">
        <v>565</v>
      </c>
      <c r="D75" s="147" t="s">
        <v>566</v>
      </c>
      <c r="E75" s="147"/>
      <c r="F75" s="147"/>
      <c r="G75" s="148" t="s">
        <v>567</v>
      </c>
      <c r="H75" s="148" t="s">
        <v>568</v>
      </c>
      <c r="I75" s="147"/>
      <c r="J75" s="147"/>
      <c r="K75" s="149"/>
      <c r="L75" s="90"/>
      <c r="M75" s="81"/>
      <c r="N75" s="2191"/>
      <c r="O75" s="2188" t="s">
        <v>1346</v>
      </c>
      <c r="P75" s="2189">
        <f t="shared" si="6"/>
        <v>0</v>
      </c>
      <c r="Q75" s="23"/>
      <c r="R75" s="23"/>
      <c r="U75" s="2191"/>
      <c r="V75" s="2188" t="s">
        <v>1346</v>
      </c>
      <c r="W75" s="2189">
        <f t="shared" si="7"/>
        <v>0</v>
      </c>
    </row>
    <row r="76" spans="1:26" ht="14.25" thickBot="1">
      <c r="A76" s="36"/>
      <c r="B76" s="139" t="s">
        <v>569</v>
      </c>
      <c r="C76" s="150" t="s">
        <v>570</v>
      </c>
      <c r="D76" s="151" t="s">
        <v>571</v>
      </c>
      <c r="E76" s="151"/>
      <c r="F76" s="152"/>
      <c r="G76" s="152"/>
      <c r="H76" s="152"/>
      <c r="I76" s="152"/>
      <c r="J76" s="152"/>
      <c r="K76" s="153"/>
      <c r="L76" s="154"/>
      <c r="M76" s="36"/>
      <c r="N76" s="2191"/>
      <c r="O76" s="2188" t="s">
        <v>1276</v>
      </c>
      <c r="P76" s="2189">
        <f t="shared" si="6"/>
        <v>0</v>
      </c>
      <c r="Q76"/>
      <c r="R76"/>
      <c r="U76" s="2191"/>
      <c r="V76" s="2188" t="s">
        <v>1276</v>
      </c>
      <c r="W76" s="2189">
        <f t="shared" si="7"/>
        <v>0</v>
      </c>
    </row>
    <row r="77" spans="1:26">
      <c r="A77" s="110"/>
      <c r="B77" s="110"/>
      <c r="C77" s="110"/>
      <c r="D77" s="110"/>
      <c r="E77" s="110"/>
      <c r="F77" s="110"/>
      <c r="G77" s="110"/>
      <c r="H77" s="110"/>
      <c r="I77" s="110"/>
      <c r="J77" s="110"/>
      <c r="K77" s="110"/>
      <c r="L77" s="110"/>
      <c r="M77" s="81"/>
      <c r="N77" s="2190"/>
      <c r="O77" s="2188" t="s">
        <v>1277</v>
      </c>
      <c r="P77" s="2189">
        <f t="shared" si="6"/>
        <v>0</v>
      </c>
      <c r="Q77" s="23"/>
      <c r="R77" s="23"/>
      <c r="U77" s="2190"/>
      <c r="V77" s="2188" t="s">
        <v>1277</v>
      </c>
      <c r="W77" s="2189">
        <f t="shared" si="7"/>
        <v>0</v>
      </c>
    </row>
    <row r="78" spans="1:26">
      <c r="A78" s="36"/>
      <c r="B78" s="155" t="s">
        <v>572</v>
      </c>
      <c r="C78" s="156" t="s">
        <v>573</v>
      </c>
      <c r="D78" s="157"/>
      <c r="E78" s="157"/>
      <c r="F78" s="158"/>
      <c r="G78" s="157"/>
      <c r="H78" s="159"/>
      <c r="I78" s="159"/>
      <c r="J78" s="159"/>
      <c r="K78" s="160"/>
      <c r="L78" s="161"/>
      <c r="M78" s="36"/>
      <c r="N78" s="2187" t="s">
        <v>1278</v>
      </c>
      <c r="O78" s="2188" t="s">
        <v>955</v>
      </c>
      <c r="P78" s="2189">
        <f t="shared" si="6"/>
        <v>0</v>
      </c>
      <c r="U78" s="2187" t="s">
        <v>1278</v>
      </c>
      <c r="V78" s="2188" t="s">
        <v>955</v>
      </c>
      <c r="W78" s="2189">
        <f t="shared" si="7"/>
        <v>0</v>
      </c>
    </row>
    <row r="79" spans="1:26">
      <c r="A79" s="36"/>
      <c r="B79" s="162" t="s">
        <v>538</v>
      </c>
      <c r="C79" s="163" t="s">
        <v>1839</v>
      </c>
      <c r="D79" s="164"/>
      <c r="E79" s="164"/>
      <c r="F79" s="164"/>
      <c r="G79" s="164"/>
      <c r="H79" s="164"/>
      <c r="I79" s="164"/>
      <c r="J79" s="164"/>
      <c r="K79" s="165"/>
      <c r="L79" s="161"/>
      <c r="M79" s="36"/>
      <c r="N79" s="2190"/>
      <c r="O79" s="2188" t="s">
        <v>1279</v>
      </c>
      <c r="P79" s="2189">
        <f t="shared" si="6"/>
        <v>0</v>
      </c>
      <c r="Q79" s="21"/>
      <c r="R79" s="21"/>
      <c r="T79" s="21"/>
      <c r="U79" s="2190"/>
      <c r="V79" s="2188" t="s">
        <v>1279</v>
      </c>
      <c r="W79" s="2189">
        <f t="shared" si="7"/>
        <v>3000</v>
      </c>
    </row>
    <row r="80" spans="1:26">
      <c r="A80" s="36"/>
      <c r="B80" s="166" t="s">
        <v>540</v>
      </c>
      <c r="C80" s="167" t="s">
        <v>574</v>
      </c>
      <c r="D80" s="168"/>
      <c r="E80" s="168"/>
      <c r="F80" s="168"/>
      <c r="G80" s="168"/>
      <c r="H80" s="168"/>
      <c r="I80" s="168"/>
      <c r="J80" s="168"/>
      <c r="K80" s="169"/>
      <c r="L80" s="161"/>
      <c r="M80" s="36"/>
      <c r="N80" s="2188" t="s">
        <v>545</v>
      </c>
      <c r="O80" s="2192"/>
      <c r="P80" s="2189">
        <f>C56</f>
        <v>0</v>
      </c>
      <c r="Q80" s="21"/>
      <c r="R80" s="21"/>
      <c r="T80" s="21"/>
      <c r="U80" s="2188" t="s">
        <v>545</v>
      </c>
      <c r="V80" s="2192"/>
      <c r="W80" s="2189">
        <f>H56</f>
        <v>0</v>
      </c>
    </row>
    <row r="81" spans="1:23">
      <c r="A81" s="36"/>
      <c r="B81" s="166" t="s">
        <v>542</v>
      </c>
      <c r="C81" s="167" t="s">
        <v>575</v>
      </c>
      <c r="D81" s="168"/>
      <c r="E81" s="168"/>
      <c r="F81" s="168"/>
      <c r="G81" s="168"/>
      <c r="H81" s="168"/>
      <c r="I81" s="168"/>
      <c r="J81" s="168"/>
      <c r="K81" s="169"/>
      <c r="L81" s="161"/>
      <c r="M81" s="36"/>
      <c r="N81" s="2187" t="s">
        <v>1280</v>
      </c>
      <c r="O81" s="2188" t="s">
        <v>1281</v>
      </c>
      <c r="P81" s="2189">
        <f t="shared" si="6"/>
        <v>0</v>
      </c>
      <c r="Q81" s="21"/>
      <c r="R81" s="21"/>
      <c r="T81" s="21"/>
      <c r="U81" s="2187" t="s">
        <v>1280</v>
      </c>
      <c r="V81" s="2188" t="s">
        <v>1281</v>
      </c>
      <c r="W81" s="2189">
        <f t="shared" si="7"/>
        <v>0</v>
      </c>
    </row>
    <row r="82" spans="1:23">
      <c r="A82" s="36"/>
      <c r="B82" s="166" t="s">
        <v>544</v>
      </c>
      <c r="C82" s="167" t="s">
        <v>576</v>
      </c>
      <c r="D82" s="168"/>
      <c r="E82" s="168"/>
      <c r="F82" s="168"/>
      <c r="G82" s="168"/>
      <c r="H82" s="168"/>
      <c r="I82" s="168"/>
      <c r="J82" s="168"/>
      <c r="K82" s="169"/>
      <c r="L82" s="161"/>
      <c r="M82" s="36"/>
      <c r="N82" s="2191"/>
      <c r="O82" s="2188" t="s">
        <v>1282</v>
      </c>
      <c r="P82" s="2189">
        <f t="shared" si="6"/>
        <v>0</v>
      </c>
      <c r="Q82" s="21"/>
      <c r="R82" s="21"/>
      <c r="T82" s="21"/>
      <c r="U82" s="2191"/>
      <c r="V82" s="2188" t="s">
        <v>1282</v>
      </c>
      <c r="W82" s="2189">
        <f t="shared" si="7"/>
        <v>0</v>
      </c>
    </row>
    <row r="83" spans="1:23">
      <c r="A83" s="36"/>
      <c r="B83" s="166" t="s">
        <v>546</v>
      </c>
      <c r="C83" s="167" t="s">
        <v>577</v>
      </c>
      <c r="D83" s="168"/>
      <c r="E83" s="168"/>
      <c r="F83" s="168"/>
      <c r="G83" s="168"/>
      <c r="H83" s="168"/>
      <c r="I83" s="168"/>
      <c r="J83" s="168"/>
      <c r="K83" s="169"/>
      <c r="L83" s="161"/>
      <c r="M83" s="36"/>
      <c r="N83" s="2191"/>
      <c r="O83" s="2193" t="s">
        <v>1283</v>
      </c>
      <c r="P83" s="2189">
        <f t="shared" si="6"/>
        <v>0</v>
      </c>
      <c r="Q83" s="21"/>
      <c r="R83" s="21"/>
      <c r="T83" s="21"/>
      <c r="U83" s="2191"/>
      <c r="V83" s="2193" t="s">
        <v>1283</v>
      </c>
      <c r="W83" s="2189">
        <f t="shared" si="7"/>
        <v>0</v>
      </c>
    </row>
    <row r="84" spans="1:23">
      <c r="A84" s="36"/>
      <c r="B84" s="166" t="s">
        <v>548</v>
      </c>
      <c r="C84" s="167" t="s">
        <v>838</v>
      </c>
      <c r="D84" s="168"/>
      <c r="E84" s="168"/>
      <c r="F84" s="168"/>
      <c r="G84" s="168"/>
      <c r="H84" s="170"/>
      <c r="I84" s="170"/>
      <c r="J84" s="170"/>
      <c r="K84" s="169"/>
      <c r="L84" s="161"/>
      <c r="M84" s="36"/>
      <c r="N84" s="2188" t="s">
        <v>555</v>
      </c>
      <c r="O84" s="2192"/>
      <c r="P84" s="2189">
        <f>C60</f>
        <v>0</v>
      </c>
      <c r="Q84" s="21"/>
      <c r="R84" s="21"/>
      <c r="T84" s="21"/>
      <c r="U84" s="2188" t="s">
        <v>555</v>
      </c>
      <c r="V84" s="2192"/>
      <c r="W84" s="2189">
        <f>H60</f>
        <v>0</v>
      </c>
    </row>
    <row r="85" spans="1:23">
      <c r="A85" s="36"/>
      <c r="B85" s="166" t="s">
        <v>550</v>
      </c>
      <c r="C85" s="167" t="s">
        <v>578</v>
      </c>
      <c r="D85" s="168"/>
      <c r="E85" s="168"/>
      <c r="F85" s="168"/>
      <c r="G85" s="168"/>
      <c r="H85" s="168"/>
      <c r="I85" s="168"/>
      <c r="J85" s="168"/>
      <c r="K85" s="169"/>
      <c r="L85" s="161"/>
      <c r="M85" s="36"/>
      <c r="N85" s="2188" t="s">
        <v>549</v>
      </c>
      <c r="O85" s="2192"/>
      <c r="P85" s="2189">
        <f t="shared" ref="P85:P86" si="8">C61</f>
        <v>0</v>
      </c>
      <c r="Q85" s="21"/>
      <c r="R85" s="21"/>
      <c r="T85" s="21"/>
      <c r="U85" s="2188" t="s">
        <v>549</v>
      </c>
      <c r="V85" s="2192"/>
      <c r="W85" s="2189">
        <f t="shared" ref="W85:W86" si="9">H61</f>
        <v>0</v>
      </c>
    </row>
    <row r="86" spans="1:23">
      <c r="A86" s="36"/>
      <c r="B86" s="166" t="s">
        <v>552</v>
      </c>
      <c r="C86" s="167" t="s">
        <v>579</v>
      </c>
      <c r="D86" s="168"/>
      <c r="E86" s="168"/>
      <c r="F86" s="168"/>
      <c r="G86" s="168"/>
      <c r="H86" s="168"/>
      <c r="I86" s="168"/>
      <c r="J86" s="168"/>
      <c r="K86" s="169"/>
      <c r="L86" s="161"/>
      <c r="M86" s="36"/>
      <c r="N86" s="2188" t="s">
        <v>1284</v>
      </c>
      <c r="O86" s="2192"/>
      <c r="P86" s="2189">
        <f t="shared" si="8"/>
        <v>0</v>
      </c>
      <c r="Q86" s="21"/>
      <c r="R86" s="21"/>
      <c r="T86" s="21"/>
      <c r="U86" s="2188" t="s">
        <v>1284</v>
      </c>
      <c r="V86" s="2192"/>
      <c r="W86" s="2189">
        <f t="shared" si="9"/>
        <v>0</v>
      </c>
    </row>
    <row r="87" spans="1:23">
      <c r="A87" s="36"/>
      <c r="B87" s="171" t="s">
        <v>554</v>
      </c>
      <c r="C87" s="172" t="s">
        <v>580</v>
      </c>
      <c r="D87" s="173"/>
      <c r="E87" s="173"/>
      <c r="F87" s="173"/>
      <c r="G87" s="173"/>
      <c r="H87" s="174"/>
      <c r="I87" s="174"/>
      <c r="J87" s="174"/>
      <c r="K87" s="175"/>
      <c r="L87" s="161"/>
      <c r="M87" s="36"/>
      <c r="N87" s="2194"/>
      <c r="O87" s="2195"/>
      <c r="P87" s="2189">
        <f>C64</f>
        <v>0</v>
      </c>
      <c r="Q87" s="21"/>
      <c r="R87" s="21"/>
      <c r="T87" s="21"/>
      <c r="U87" s="2194"/>
      <c r="V87" s="2195"/>
      <c r="W87" s="2189">
        <f t="shared" si="7"/>
        <v>0</v>
      </c>
    </row>
    <row r="88" spans="1:23">
      <c r="A88" s="36"/>
      <c r="B88" s="36"/>
      <c r="C88" s="36"/>
      <c r="D88" s="36"/>
      <c r="E88" s="36"/>
      <c r="F88" s="36"/>
      <c r="G88" s="36"/>
      <c r="H88" s="36"/>
      <c r="I88" s="36"/>
      <c r="J88" s="36"/>
      <c r="K88" s="36"/>
      <c r="L88" s="36"/>
      <c r="M88" s="36"/>
      <c r="N88" s="2196" t="s">
        <v>858</v>
      </c>
      <c r="O88" s="2197" t="s">
        <v>1285</v>
      </c>
      <c r="P88" s="2189">
        <f t="shared" si="6"/>
        <v>0</v>
      </c>
      <c r="Q88" s="21"/>
      <c r="R88" s="21"/>
      <c r="T88" s="21"/>
      <c r="U88" s="2196" t="s">
        <v>858</v>
      </c>
      <c r="V88" s="2197" t="s">
        <v>1285</v>
      </c>
      <c r="W88" s="2189">
        <f>J64</f>
        <v>0</v>
      </c>
    </row>
    <row r="89" spans="1:23" hidden="1">
      <c r="N89" s="2198"/>
      <c r="O89" s="2199" t="s">
        <v>1286</v>
      </c>
      <c r="P89" s="2189">
        <f t="shared" si="6"/>
        <v>0</v>
      </c>
      <c r="Q89" s="21"/>
      <c r="R89" s="21"/>
      <c r="T89" s="21"/>
      <c r="U89" s="2198"/>
      <c r="V89" s="2199" t="s">
        <v>1286</v>
      </c>
      <c r="W89" s="2189">
        <f t="shared" si="7"/>
        <v>0</v>
      </c>
    </row>
    <row r="90" spans="1:23" hidden="1"/>
    <row r="91" spans="1:23" hidden="1"/>
    <row r="92" spans="1:23" hidden="1"/>
    <row r="93" spans="1:23" hidden="1"/>
    <row r="94" spans="1:23" hidden="1"/>
    <row r="95" spans="1:23" hidden="1"/>
    <row r="96" spans="1:23"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sheetData>
  <sheetProtection password="8D30" sheet="1" objects="1" scenarios="1"/>
  <mergeCells count="16">
    <mergeCell ref="B72:G72"/>
    <mergeCell ref="C11:F11"/>
    <mergeCell ref="H11:K11"/>
    <mergeCell ref="H12:K12"/>
    <mergeCell ref="C14:F14"/>
    <mergeCell ref="H14:K14"/>
    <mergeCell ref="I39:K39"/>
    <mergeCell ref="D43:F43"/>
    <mergeCell ref="C20:F20"/>
    <mergeCell ref="H20:K20"/>
    <mergeCell ref="I43:K43"/>
    <mergeCell ref="C27:F31"/>
    <mergeCell ref="H27:K31"/>
    <mergeCell ref="H37:K37"/>
    <mergeCell ref="C21:F21"/>
    <mergeCell ref="H21:K21"/>
  </mergeCells>
  <phoneticPr fontId="20"/>
  <conditionalFormatting sqref="H16 H23 C23 H13">
    <cfRule type="cellIs" dxfId="367" priority="7" stopIfTrue="1" operator="equal">
      <formula>0</formula>
    </cfRule>
  </conditionalFormatting>
  <conditionalFormatting sqref="E68">
    <cfRule type="expression" dxfId="366" priority="9" stopIfTrue="1">
      <formula>AND($C$61&gt;0,$E$68=0)</formula>
    </cfRule>
  </conditionalFormatting>
  <conditionalFormatting sqref="E69">
    <cfRule type="expression" dxfId="365" priority="10" stopIfTrue="1">
      <formula>AND($C$62&gt;0,$E$69=0)</formula>
    </cfRule>
  </conditionalFormatting>
  <conditionalFormatting sqref="J68">
    <cfRule type="expression" dxfId="364" priority="12" stopIfTrue="1">
      <formula>AND($H$61&gt;0,$J$68=0)</formula>
    </cfRule>
  </conditionalFormatting>
  <conditionalFormatting sqref="J69">
    <cfRule type="expression" dxfId="363" priority="13" stopIfTrue="1">
      <formula>AND($H$62&gt;0,$J$69=0)</formula>
    </cfRule>
  </conditionalFormatting>
  <conditionalFormatting sqref="C56 E47:E55 E64:E65 E57:E59 C60:C62">
    <cfRule type="cellIs" dxfId="362" priority="6" stopIfTrue="1" operator="equal">
      <formula>0</formula>
    </cfRule>
  </conditionalFormatting>
  <conditionalFormatting sqref="H56 J47:J55 J64:J65 J57:J59 H60:H62">
    <cfRule type="cellIs" dxfId="361" priority="5" stopIfTrue="1" operator="equal">
      <formula>0</formula>
    </cfRule>
  </conditionalFormatting>
  <conditionalFormatting sqref="E60">
    <cfRule type="cellIs" dxfId="360" priority="2" stopIfTrue="1" operator="equal">
      <formula>0</formula>
    </cfRule>
  </conditionalFormatting>
  <conditionalFormatting sqref="J60">
    <cfRule type="cellIs" dxfId="359" priority="1" stopIfTrue="1" operator="equal">
      <formula>0</formula>
    </cfRule>
  </conditionalFormatting>
  <dataValidations disablePrompts="1" count="6">
    <dataValidation type="decimal" allowBlank="1" showInputMessage="1" showErrorMessage="1" sqref="E68:E69 J68:J69">
      <formula1>0</formula1>
      <formula2>1</formula2>
    </dataValidation>
    <dataValidation type="list" allowBlank="1" showInputMessage="1" showErrorMessage="1" sqref="H16">
      <formula1>"予定,竣工"</formula1>
    </dataValidation>
    <dataValidation type="list" allowBlank="1" showInputMessage="1" showErrorMessage="1" sqref="H43">
      <formula1>$N$43:$N$44</formula1>
    </dataValidation>
    <dataValidation type="list" allowBlank="1" showInputMessage="1" showErrorMessage="1" sqref="H13">
      <formula1>$N$6:$N$13</formula1>
    </dataValidation>
    <dataValidation type="list" allowBlank="1" showInputMessage="1" showErrorMessage="1" sqref="H23 C23">
      <formula1>$N$23:$Q$23</formula1>
    </dataValidation>
    <dataValidation type="list" allowBlank="1" showInputMessage="1" showErrorMessage="1" sqref="I39:K39">
      <formula1>$O$39:$O$41</formula1>
    </dataValidation>
  </dataValidations>
  <hyperlinks>
    <hyperlink ref="C75" location="'結果(改修前)'!A1" tooltip="[改修前の結果]シート" display="●改修前の結果"/>
    <hyperlink ref="C74" location="スコア入力!A1" tooltip="[スコア入力]シート" display="●スコア入力"/>
    <hyperlink ref="C76" location="'条件(標準)_後'!A1" tooltip="[条件（標準）]シート" display="●標準計算"/>
    <hyperlink ref="D76" location="'条件(個別)_後'!A1" tooltip="[条件（個別）]シート" display="●個別計算"/>
    <hyperlink ref="D75" location="'結果(改修後)'!A1" tooltip="[改修前の結果]シート" display="●改修後の結果"/>
    <hyperlink ref="G75" location="改修前後の比較!A1" tooltip="[改修前後の比較]シート" display="●改修前後の比較"/>
    <hyperlink ref="H75" location="CO2計算_後!A1" tooltip="[CO2計算]シート" display="●LCCO2計算"/>
    <hyperlink ref="D74" location="スコア表示!A1" tooltip="[スコア表示]シート" display="●スコア表示"/>
  </hyperlinks>
  <printOptions horizontalCentered="1"/>
  <pageMargins left="0.59055118110236227" right="0.59055118110236227" top="0.78740157480314965" bottom="0.59055118110236227" header="0.51181102362204722" footer="0.51181102362204722"/>
  <pageSetup paperSize="9" scale="76" orientation="portrait" verticalDpi="4294967293" r:id="rId1"/>
  <headerFooter alignWithMargins="0">
    <oddHeader>&amp;L&amp;F&amp;R&amp;A</oddHeader>
    <oddFooter>&amp;C&amp;P/&amp;N</oddFooter>
  </headerFooter>
  <colBreaks count="1" manualBreakCount="1">
    <brk id="19"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pageSetUpPr fitToPage="1"/>
  </sheetPr>
  <dimension ref="A1:WVY183"/>
  <sheetViews>
    <sheetView showGridLines="0" topLeftCell="A14" zoomScale="75" workbookViewId="0">
      <selection activeCell="F13" sqref="F13"/>
    </sheetView>
  </sheetViews>
  <sheetFormatPr defaultColWidth="0" defaultRowHeight="0" customHeight="1" zeroHeight="1"/>
  <cols>
    <col min="1" max="1" width="0.75" style="688" customWidth="1"/>
    <col min="2" max="2" width="2.125" style="704" customWidth="1"/>
    <col min="3" max="3" width="13.375" style="704" customWidth="1"/>
    <col min="4" max="4" width="5.375" style="705" customWidth="1"/>
    <col min="5" max="5" width="9.75" style="1075" customWidth="1"/>
    <col min="6" max="6" width="6.25" style="1050" customWidth="1"/>
    <col min="7" max="7" width="6.5" style="1050" customWidth="1"/>
    <col min="8" max="8" width="12.875" style="1050" customWidth="1"/>
    <col min="9" max="9" width="7.125" style="1051" customWidth="1"/>
    <col min="10" max="10" width="12.125" style="1051" customWidth="1"/>
    <col min="11" max="11" width="11.875" style="1050" customWidth="1"/>
    <col min="12" max="12" width="10.75" style="1050" customWidth="1"/>
    <col min="13" max="13" width="11.875" style="1053" customWidth="1"/>
    <col min="14" max="15" width="11.375" style="1053" customWidth="1"/>
    <col min="16" max="16" width="0.75" style="688" customWidth="1"/>
    <col min="17" max="17" width="3.875" style="688" bestFit="1" customWidth="1"/>
    <col min="18" max="217" width="9" style="1037" hidden="1" customWidth="1"/>
    <col min="218" max="256" width="0" style="1037" hidden="1"/>
    <col min="257" max="257" width="0.75" style="1037" hidden="1" customWidth="1"/>
    <col min="258" max="258" width="2.125" style="1037" hidden="1" customWidth="1"/>
    <col min="259" max="259" width="13.375" style="1037" hidden="1" customWidth="1"/>
    <col min="260" max="260" width="5.375" style="1037" hidden="1" customWidth="1"/>
    <col min="261" max="261" width="9.75" style="1037" hidden="1" customWidth="1"/>
    <col min="262" max="262" width="6.25" style="1037" hidden="1" customWidth="1"/>
    <col min="263" max="263" width="6.5" style="1037" hidden="1" customWidth="1"/>
    <col min="264" max="264" width="12.875" style="1037" hidden="1" customWidth="1"/>
    <col min="265" max="265" width="7.125" style="1037" hidden="1" customWidth="1"/>
    <col min="266" max="266" width="12.125" style="1037" hidden="1" customWidth="1"/>
    <col min="267" max="267" width="11.875" style="1037" hidden="1" customWidth="1"/>
    <col min="268" max="268" width="10.75" style="1037" hidden="1" customWidth="1"/>
    <col min="269" max="269" width="11.875" style="1037" hidden="1" customWidth="1"/>
    <col min="270" max="271" width="11.375" style="1037" hidden="1" customWidth="1"/>
    <col min="272" max="272" width="0.75" style="1037" hidden="1" customWidth="1"/>
    <col min="273" max="273" width="3.875" style="1037" hidden="1" customWidth="1"/>
    <col min="274" max="473" width="0" style="1037" hidden="1" customWidth="1"/>
    <col min="474" max="512" width="0" style="1037" hidden="1"/>
    <col min="513" max="513" width="0.75" style="1037" hidden="1" customWidth="1"/>
    <col min="514" max="514" width="2.125" style="1037" hidden="1" customWidth="1"/>
    <col min="515" max="515" width="13.375" style="1037" hidden="1" customWidth="1"/>
    <col min="516" max="516" width="5.375" style="1037" hidden="1" customWidth="1"/>
    <col min="517" max="517" width="9.75" style="1037" hidden="1" customWidth="1"/>
    <col min="518" max="518" width="6.25" style="1037" hidden="1" customWidth="1"/>
    <col min="519" max="519" width="6.5" style="1037" hidden="1" customWidth="1"/>
    <col min="520" max="520" width="12.875" style="1037" hidden="1" customWidth="1"/>
    <col min="521" max="521" width="7.125" style="1037" hidden="1" customWidth="1"/>
    <col min="522" max="522" width="12.125" style="1037" hidden="1" customWidth="1"/>
    <col min="523" max="523" width="11.875" style="1037" hidden="1" customWidth="1"/>
    <col min="524" max="524" width="10.75" style="1037" hidden="1" customWidth="1"/>
    <col min="525" max="525" width="11.875" style="1037" hidden="1" customWidth="1"/>
    <col min="526" max="527" width="11.375" style="1037" hidden="1" customWidth="1"/>
    <col min="528" max="528" width="0.75" style="1037" hidden="1" customWidth="1"/>
    <col min="529" max="529" width="3.875" style="1037" hidden="1" customWidth="1"/>
    <col min="530" max="729" width="0" style="1037" hidden="1" customWidth="1"/>
    <col min="730" max="768" width="0" style="1037" hidden="1"/>
    <col min="769" max="769" width="0.75" style="1037" hidden="1" customWidth="1"/>
    <col min="770" max="770" width="2.125" style="1037" hidden="1" customWidth="1"/>
    <col min="771" max="771" width="13.375" style="1037" hidden="1" customWidth="1"/>
    <col min="772" max="772" width="5.375" style="1037" hidden="1" customWidth="1"/>
    <col min="773" max="773" width="9.75" style="1037" hidden="1" customWidth="1"/>
    <col min="774" max="774" width="6.25" style="1037" hidden="1" customWidth="1"/>
    <col min="775" max="775" width="6.5" style="1037" hidden="1" customWidth="1"/>
    <col min="776" max="776" width="12.875" style="1037" hidden="1" customWidth="1"/>
    <col min="777" max="777" width="7.125" style="1037" hidden="1" customWidth="1"/>
    <col min="778" max="778" width="12.125" style="1037" hidden="1" customWidth="1"/>
    <col min="779" max="779" width="11.875" style="1037" hidden="1" customWidth="1"/>
    <col min="780" max="780" width="10.75" style="1037" hidden="1" customWidth="1"/>
    <col min="781" max="781" width="11.875" style="1037" hidden="1" customWidth="1"/>
    <col min="782" max="783" width="11.375" style="1037" hidden="1" customWidth="1"/>
    <col min="784" max="784" width="0.75" style="1037" hidden="1" customWidth="1"/>
    <col min="785" max="785" width="3.875" style="1037" hidden="1" customWidth="1"/>
    <col min="786" max="985" width="0" style="1037" hidden="1" customWidth="1"/>
    <col min="986" max="1024" width="0" style="1037" hidden="1"/>
    <col min="1025" max="1025" width="0.75" style="1037" hidden="1" customWidth="1"/>
    <col min="1026" max="1026" width="2.125" style="1037" hidden="1" customWidth="1"/>
    <col min="1027" max="1027" width="13.375" style="1037" hidden="1" customWidth="1"/>
    <col min="1028" max="1028" width="5.375" style="1037" hidden="1" customWidth="1"/>
    <col min="1029" max="1029" width="9.75" style="1037" hidden="1" customWidth="1"/>
    <col min="1030" max="1030" width="6.25" style="1037" hidden="1" customWidth="1"/>
    <col min="1031" max="1031" width="6.5" style="1037" hidden="1" customWidth="1"/>
    <col min="1032" max="1032" width="12.875" style="1037" hidden="1" customWidth="1"/>
    <col min="1033" max="1033" width="7.125" style="1037" hidden="1" customWidth="1"/>
    <col min="1034" max="1034" width="12.125" style="1037" hidden="1" customWidth="1"/>
    <col min="1035" max="1035" width="11.875" style="1037" hidden="1" customWidth="1"/>
    <col min="1036" max="1036" width="10.75" style="1037" hidden="1" customWidth="1"/>
    <col min="1037" max="1037" width="11.875" style="1037" hidden="1" customWidth="1"/>
    <col min="1038" max="1039" width="11.375" style="1037" hidden="1" customWidth="1"/>
    <col min="1040" max="1040" width="0.75" style="1037" hidden="1" customWidth="1"/>
    <col min="1041" max="1041" width="3.875" style="1037" hidden="1" customWidth="1"/>
    <col min="1042" max="1241" width="0" style="1037" hidden="1" customWidth="1"/>
    <col min="1242" max="1280" width="0" style="1037" hidden="1"/>
    <col min="1281" max="1281" width="0.75" style="1037" hidden="1" customWidth="1"/>
    <col min="1282" max="1282" width="2.125" style="1037" hidden="1" customWidth="1"/>
    <col min="1283" max="1283" width="13.375" style="1037" hidden="1" customWidth="1"/>
    <col min="1284" max="1284" width="5.375" style="1037" hidden="1" customWidth="1"/>
    <col min="1285" max="1285" width="9.75" style="1037" hidden="1" customWidth="1"/>
    <col min="1286" max="1286" width="6.25" style="1037" hidden="1" customWidth="1"/>
    <col min="1287" max="1287" width="6.5" style="1037" hidden="1" customWidth="1"/>
    <col min="1288" max="1288" width="12.875" style="1037" hidden="1" customWidth="1"/>
    <col min="1289" max="1289" width="7.125" style="1037" hidden="1" customWidth="1"/>
    <col min="1290" max="1290" width="12.125" style="1037" hidden="1" customWidth="1"/>
    <col min="1291" max="1291" width="11.875" style="1037" hidden="1" customWidth="1"/>
    <col min="1292" max="1292" width="10.75" style="1037" hidden="1" customWidth="1"/>
    <col min="1293" max="1293" width="11.875" style="1037" hidden="1" customWidth="1"/>
    <col min="1294" max="1295" width="11.375" style="1037" hidden="1" customWidth="1"/>
    <col min="1296" max="1296" width="0.75" style="1037" hidden="1" customWidth="1"/>
    <col min="1297" max="1297" width="3.875" style="1037" hidden="1" customWidth="1"/>
    <col min="1298" max="1497" width="0" style="1037" hidden="1" customWidth="1"/>
    <col min="1498" max="1536" width="0" style="1037" hidden="1"/>
    <col min="1537" max="1537" width="0.75" style="1037" hidden="1" customWidth="1"/>
    <col min="1538" max="1538" width="2.125" style="1037" hidden="1" customWidth="1"/>
    <col min="1539" max="1539" width="13.375" style="1037" hidden="1" customWidth="1"/>
    <col min="1540" max="1540" width="5.375" style="1037" hidden="1" customWidth="1"/>
    <col min="1541" max="1541" width="9.75" style="1037" hidden="1" customWidth="1"/>
    <col min="1542" max="1542" width="6.25" style="1037" hidden="1" customWidth="1"/>
    <col min="1543" max="1543" width="6.5" style="1037" hidden="1" customWidth="1"/>
    <col min="1544" max="1544" width="12.875" style="1037" hidden="1" customWidth="1"/>
    <col min="1545" max="1545" width="7.125" style="1037" hidden="1" customWidth="1"/>
    <col min="1546" max="1546" width="12.125" style="1037" hidden="1" customWidth="1"/>
    <col min="1547" max="1547" width="11.875" style="1037" hidden="1" customWidth="1"/>
    <col min="1548" max="1548" width="10.75" style="1037" hidden="1" customWidth="1"/>
    <col min="1549" max="1549" width="11.875" style="1037" hidden="1" customWidth="1"/>
    <col min="1550" max="1551" width="11.375" style="1037" hidden="1" customWidth="1"/>
    <col min="1552" max="1552" width="0.75" style="1037" hidden="1" customWidth="1"/>
    <col min="1553" max="1553" width="3.875" style="1037" hidden="1" customWidth="1"/>
    <col min="1554" max="1753" width="0" style="1037" hidden="1" customWidth="1"/>
    <col min="1754" max="1792" width="0" style="1037" hidden="1"/>
    <col min="1793" max="1793" width="0.75" style="1037" hidden="1" customWidth="1"/>
    <col min="1794" max="1794" width="2.125" style="1037" hidden="1" customWidth="1"/>
    <col min="1795" max="1795" width="13.375" style="1037" hidden="1" customWidth="1"/>
    <col min="1796" max="1796" width="5.375" style="1037" hidden="1" customWidth="1"/>
    <col min="1797" max="1797" width="9.75" style="1037" hidden="1" customWidth="1"/>
    <col min="1798" max="1798" width="6.25" style="1037" hidden="1" customWidth="1"/>
    <col min="1799" max="1799" width="6.5" style="1037" hidden="1" customWidth="1"/>
    <col min="1800" max="1800" width="12.875" style="1037" hidden="1" customWidth="1"/>
    <col min="1801" max="1801" width="7.125" style="1037" hidden="1" customWidth="1"/>
    <col min="1802" max="1802" width="12.125" style="1037" hidden="1" customWidth="1"/>
    <col min="1803" max="1803" width="11.875" style="1037" hidden="1" customWidth="1"/>
    <col min="1804" max="1804" width="10.75" style="1037" hidden="1" customWidth="1"/>
    <col min="1805" max="1805" width="11.875" style="1037" hidden="1" customWidth="1"/>
    <col min="1806" max="1807" width="11.375" style="1037" hidden="1" customWidth="1"/>
    <col min="1808" max="1808" width="0.75" style="1037" hidden="1" customWidth="1"/>
    <col min="1809" max="1809" width="3.875" style="1037" hidden="1" customWidth="1"/>
    <col min="1810" max="2009" width="0" style="1037" hidden="1" customWidth="1"/>
    <col min="2010" max="2048" width="0" style="1037" hidden="1"/>
    <col min="2049" max="2049" width="0.75" style="1037" hidden="1" customWidth="1"/>
    <col min="2050" max="2050" width="2.125" style="1037" hidden="1" customWidth="1"/>
    <col min="2051" max="2051" width="13.375" style="1037" hidden="1" customWidth="1"/>
    <col min="2052" max="2052" width="5.375" style="1037" hidden="1" customWidth="1"/>
    <col min="2053" max="2053" width="9.75" style="1037" hidden="1" customWidth="1"/>
    <col min="2054" max="2054" width="6.25" style="1037" hidden="1" customWidth="1"/>
    <col min="2055" max="2055" width="6.5" style="1037" hidden="1" customWidth="1"/>
    <col min="2056" max="2056" width="12.875" style="1037" hidden="1" customWidth="1"/>
    <col min="2057" max="2057" width="7.125" style="1037" hidden="1" customWidth="1"/>
    <col min="2058" max="2058" width="12.125" style="1037" hidden="1" customWidth="1"/>
    <col min="2059" max="2059" width="11.875" style="1037" hidden="1" customWidth="1"/>
    <col min="2060" max="2060" width="10.75" style="1037" hidden="1" customWidth="1"/>
    <col min="2061" max="2061" width="11.875" style="1037" hidden="1" customWidth="1"/>
    <col min="2062" max="2063" width="11.375" style="1037" hidden="1" customWidth="1"/>
    <col min="2064" max="2064" width="0.75" style="1037" hidden="1" customWidth="1"/>
    <col min="2065" max="2065" width="3.875" style="1037" hidden="1" customWidth="1"/>
    <col min="2066" max="2265" width="0" style="1037" hidden="1" customWidth="1"/>
    <col min="2266" max="2304" width="0" style="1037" hidden="1"/>
    <col min="2305" max="2305" width="0.75" style="1037" hidden="1" customWidth="1"/>
    <col min="2306" max="2306" width="2.125" style="1037" hidden="1" customWidth="1"/>
    <col min="2307" max="2307" width="13.375" style="1037" hidden="1" customWidth="1"/>
    <col min="2308" max="2308" width="5.375" style="1037" hidden="1" customWidth="1"/>
    <col min="2309" max="2309" width="9.75" style="1037" hidden="1" customWidth="1"/>
    <col min="2310" max="2310" width="6.25" style="1037" hidden="1" customWidth="1"/>
    <col min="2311" max="2311" width="6.5" style="1037" hidden="1" customWidth="1"/>
    <col min="2312" max="2312" width="12.875" style="1037" hidden="1" customWidth="1"/>
    <col min="2313" max="2313" width="7.125" style="1037" hidden="1" customWidth="1"/>
    <col min="2314" max="2314" width="12.125" style="1037" hidden="1" customWidth="1"/>
    <col min="2315" max="2315" width="11.875" style="1037" hidden="1" customWidth="1"/>
    <col min="2316" max="2316" width="10.75" style="1037" hidden="1" customWidth="1"/>
    <col min="2317" max="2317" width="11.875" style="1037" hidden="1" customWidth="1"/>
    <col min="2318" max="2319" width="11.375" style="1037" hidden="1" customWidth="1"/>
    <col min="2320" max="2320" width="0.75" style="1037" hidden="1" customWidth="1"/>
    <col min="2321" max="2321" width="3.875" style="1037" hidden="1" customWidth="1"/>
    <col min="2322" max="2521" width="0" style="1037" hidden="1" customWidth="1"/>
    <col min="2522" max="2560" width="0" style="1037" hidden="1"/>
    <col min="2561" max="2561" width="0.75" style="1037" hidden="1" customWidth="1"/>
    <col min="2562" max="2562" width="2.125" style="1037" hidden="1" customWidth="1"/>
    <col min="2563" max="2563" width="13.375" style="1037" hidden="1" customWidth="1"/>
    <col min="2564" max="2564" width="5.375" style="1037" hidden="1" customWidth="1"/>
    <col min="2565" max="2565" width="9.75" style="1037" hidden="1" customWidth="1"/>
    <col min="2566" max="2566" width="6.25" style="1037" hidden="1" customWidth="1"/>
    <col min="2567" max="2567" width="6.5" style="1037" hidden="1" customWidth="1"/>
    <col min="2568" max="2568" width="12.875" style="1037" hidden="1" customWidth="1"/>
    <col min="2569" max="2569" width="7.125" style="1037" hidden="1" customWidth="1"/>
    <col min="2570" max="2570" width="12.125" style="1037" hidden="1" customWidth="1"/>
    <col min="2571" max="2571" width="11.875" style="1037" hidden="1" customWidth="1"/>
    <col min="2572" max="2572" width="10.75" style="1037" hidden="1" customWidth="1"/>
    <col min="2573" max="2573" width="11.875" style="1037" hidden="1" customWidth="1"/>
    <col min="2574" max="2575" width="11.375" style="1037" hidden="1" customWidth="1"/>
    <col min="2576" max="2576" width="0.75" style="1037" hidden="1" customWidth="1"/>
    <col min="2577" max="2577" width="3.875" style="1037" hidden="1" customWidth="1"/>
    <col min="2578" max="2777" width="0" style="1037" hidden="1" customWidth="1"/>
    <col min="2778" max="2816" width="0" style="1037" hidden="1"/>
    <col min="2817" max="2817" width="0.75" style="1037" hidden="1" customWidth="1"/>
    <col min="2818" max="2818" width="2.125" style="1037" hidden="1" customWidth="1"/>
    <col min="2819" max="2819" width="13.375" style="1037" hidden="1" customWidth="1"/>
    <col min="2820" max="2820" width="5.375" style="1037" hidden="1" customWidth="1"/>
    <col min="2821" max="2821" width="9.75" style="1037" hidden="1" customWidth="1"/>
    <col min="2822" max="2822" width="6.25" style="1037" hidden="1" customWidth="1"/>
    <col min="2823" max="2823" width="6.5" style="1037" hidden="1" customWidth="1"/>
    <col min="2824" max="2824" width="12.875" style="1037" hidden="1" customWidth="1"/>
    <col min="2825" max="2825" width="7.125" style="1037" hidden="1" customWidth="1"/>
    <col min="2826" max="2826" width="12.125" style="1037" hidden="1" customWidth="1"/>
    <col min="2827" max="2827" width="11.875" style="1037" hidden="1" customWidth="1"/>
    <col min="2828" max="2828" width="10.75" style="1037" hidden="1" customWidth="1"/>
    <col min="2829" max="2829" width="11.875" style="1037" hidden="1" customWidth="1"/>
    <col min="2830" max="2831" width="11.375" style="1037" hidden="1" customWidth="1"/>
    <col min="2832" max="2832" width="0.75" style="1037" hidden="1" customWidth="1"/>
    <col min="2833" max="2833" width="3.875" style="1037" hidden="1" customWidth="1"/>
    <col min="2834" max="3033" width="0" style="1037" hidden="1" customWidth="1"/>
    <col min="3034" max="3072" width="0" style="1037" hidden="1"/>
    <col min="3073" max="3073" width="0.75" style="1037" hidden="1" customWidth="1"/>
    <col min="3074" max="3074" width="2.125" style="1037" hidden="1" customWidth="1"/>
    <col min="3075" max="3075" width="13.375" style="1037" hidden="1" customWidth="1"/>
    <col min="3076" max="3076" width="5.375" style="1037" hidden="1" customWidth="1"/>
    <col min="3077" max="3077" width="9.75" style="1037" hidden="1" customWidth="1"/>
    <col min="3078" max="3078" width="6.25" style="1037" hidden="1" customWidth="1"/>
    <col min="3079" max="3079" width="6.5" style="1037" hidden="1" customWidth="1"/>
    <col min="3080" max="3080" width="12.875" style="1037" hidden="1" customWidth="1"/>
    <col min="3081" max="3081" width="7.125" style="1037" hidden="1" customWidth="1"/>
    <col min="3082" max="3082" width="12.125" style="1037" hidden="1" customWidth="1"/>
    <col min="3083" max="3083" width="11.875" style="1037" hidden="1" customWidth="1"/>
    <col min="3084" max="3084" width="10.75" style="1037" hidden="1" customWidth="1"/>
    <col min="3085" max="3085" width="11.875" style="1037" hidden="1" customWidth="1"/>
    <col min="3086" max="3087" width="11.375" style="1037" hidden="1" customWidth="1"/>
    <col min="3088" max="3088" width="0.75" style="1037" hidden="1" customWidth="1"/>
    <col min="3089" max="3089" width="3.875" style="1037" hidden="1" customWidth="1"/>
    <col min="3090" max="3289" width="0" style="1037" hidden="1" customWidth="1"/>
    <col min="3290" max="3328" width="0" style="1037" hidden="1"/>
    <col min="3329" max="3329" width="0.75" style="1037" hidden="1" customWidth="1"/>
    <col min="3330" max="3330" width="2.125" style="1037" hidden="1" customWidth="1"/>
    <col min="3331" max="3331" width="13.375" style="1037" hidden="1" customWidth="1"/>
    <col min="3332" max="3332" width="5.375" style="1037" hidden="1" customWidth="1"/>
    <col min="3333" max="3333" width="9.75" style="1037" hidden="1" customWidth="1"/>
    <col min="3334" max="3334" width="6.25" style="1037" hidden="1" customWidth="1"/>
    <col min="3335" max="3335" width="6.5" style="1037" hidden="1" customWidth="1"/>
    <col min="3336" max="3336" width="12.875" style="1037" hidden="1" customWidth="1"/>
    <col min="3337" max="3337" width="7.125" style="1037" hidden="1" customWidth="1"/>
    <col min="3338" max="3338" width="12.125" style="1037" hidden="1" customWidth="1"/>
    <col min="3339" max="3339" width="11.875" style="1037" hidden="1" customWidth="1"/>
    <col min="3340" max="3340" width="10.75" style="1037" hidden="1" customWidth="1"/>
    <col min="3341" max="3341" width="11.875" style="1037" hidden="1" customWidth="1"/>
    <col min="3342" max="3343" width="11.375" style="1037" hidden="1" customWidth="1"/>
    <col min="3344" max="3344" width="0.75" style="1037" hidden="1" customWidth="1"/>
    <col min="3345" max="3345" width="3.875" style="1037" hidden="1" customWidth="1"/>
    <col min="3346" max="3545" width="0" style="1037" hidden="1" customWidth="1"/>
    <col min="3546" max="3584" width="0" style="1037" hidden="1"/>
    <col min="3585" max="3585" width="0.75" style="1037" hidden="1" customWidth="1"/>
    <col min="3586" max="3586" width="2.125" style="1037" hidden="1" customWidth="1"/>
    <col min="3587" max="3587" width="13.375" style="1037" hidden="1" customWidth="1"/>
    <col min="3588" max="3588" width="5.375" style="1037" hidden="1" customWidth="1"/>
    <col min="3589" max="3589" width="9.75" style="1037" hidden="1" customWidth="1"/>
    <col min="3590" max="3590" width="6.25" style="1037" hidden="1" customWidth="1"/>
    <col min="3591" max="3591" width="6.5" style="1037" hidden="1" customWidth="1"/>
    <col min="3592" max="3592" width="12.875" style="1037" hidden="1" customWidth="1"/>
    <col min="3593" max="3593" width="7.125" style="1037" hidden="1" customWidth="1"/>
    <col min="3594" max="3594" width="12.125" style="1037" hidden="1" customWidth="1"/>
    <col min="3595" max="3595" width="11.875" style="1037" hidden="1" customWidth="1"/>
    <col min="3596" max="3596" width="10.75" style="1037" hidden="1" customWidth="1"/>
    <col min="3597" max="3597" width="11.875" style="1037" hidden="1" customWidth="1"/>
    <col min="3598" max="3599" width="11.375" style="1037" hidden="1" customWidth="1"/>
    <col min="3600" max="3600" width="0.75" style="1037" hidden="1" customWidth="1"/>
    <col min="3601" max="3601" width="3.875" style="1037" hidden="1" customWidth="1"/>
    <col min="3602" max="3801" width="0" style="1037" hidden="1" customWidth="1"/>
    <col min="3802" max="3840" width="0" style="1037" hidden="1"/>
    <col min="3841" max="3841" width="0.75" style="1037" hidden="1" customWidth="1"/>
    <col min="3842" max="3842" width="2.125" style="1037" hidden="1" customWidth="1"/>
    <col min="3843" max="3843" width="13.375" style="1037" hidden="1" customWidth="1"/>
    <col min="3844" max="3844" width="5.375" style="1037" hidden="1" customWidth="1"/>
    <col min="3845" max="3845" width="9.75" style="1037" hidden="1" customWidth="1"/>
    <col min="3846" max="3846" width="6.25" style="1037" hidden="1" customWidth="1"/>
    <col min="3847" max="3847" width="6.5" style="1037" hidden="1" customWidth="1"/>
    <col min="3848" max="3848" width="12.875" style="1037" hidden="1" customWidth="1"/>
    <col min="3849" max="3849" width="7.125" style="1037" hidden="1" customWidth="1"/>
    <col min="3850" max="3850" width="12.125" style="1037" hidden="1" customWidth="1"/>
    <col min="3851" max="3851" width="11.875" style="1037" hidden="1" customWidth="1"/>
    <col min="3852" max="3852" width="10.75" style="1037" hidden="1" customWidth="1"/>
    <col min="3853" max="3853" width="11.875" style="1037" hidden="1" customWidth="1"/>
    <col min="3854" max="3855" width="11.375" style="1037" hidden="1" customWidth="1"/>
    <col min="3856" max="3856" width="0.75" style="1037" hidden="1" customWidth="1"/>
    <col min="3857" max="3857" width="3.875" style="1037" hidden="1" customWidth="1"/>
    <col min="3858" max="4057" width="0" style="1037" hidden="1" customWidth="1"/>
    <col min="4058" max="4096" width="0" style="1037" hidden="1"/>
    <col min="4097" max="4097" width="0.75" style="1037" hidden="1" customWidth="1"/>
    <col min="4098" max="4098" width="2.125" style="1037" hidden="1" customWidth="1"/>
    <col min="4099" max="4099" width="13.375" style="1037" hidden="1" customWidth="1"/>
    <col min="4100" max="4100" width="5.375" style="1037" hidden="1" customWidth="1"/>
    <col min="4101" max="4101" width="9.75" style="1037" hidden="1" customWidth="1"/>
    <col min="4102" max="4102" width="6.25" style="1037" hidden="1" customWidth="1"/>
    <col min="4103" max="4103" width="6.5" style="1037" hidden="1" customWidth="1"/>
    <col min="4104" max="4104" width="12.875" style="1037" hidden="1" customWidth="1"/>
    <col min="4105" max="4105" width="7.125" style="1037" hidden="1" customWidth="1"/>
    <col min="4106" max="4106" width="12.125" style="1037" hidden="1" customWidth="1"/>
    <col min="4107" max="4107" width="11.875" style="1037" hidden="1" customWidth="1"/>
    <col min="4108" max="4108" width="10.75" style="1037" hidden="1" customWidth="1"/>
    <col min="4109" max="4109" width="11.875" style="1037" hidden="1" customWidth="1"/>
    <col min="4110" max="4111" width="11.375" style="1037" hidden="1" customWidth="1"/>
    <col min="4112" max="4112" width="0.75" style="1037" hidden="1" customWidth="1"/>
    <col min="4113" max="4113" width="3.875" style="1037" hidden="1" customWidth="1"/>
    <col min="4114" max="4313" width="0" style="1037" hidden="1" customWidth="1"/>
    <col min="4314" max="4352" width="0" style="1037" hidden="1"/>
    <col min="4353" max="4353" width="0.75" style="1037" hidden="1" customWidth="1"/>
    <col min="4354" max="4354" width="2.125" style="1037" hidden="1" customWidth="1"/>
    <col min="4355" max="4355" width="13.375" style="1037" hidden="1" customWidth="1"/>
    <col min="4356" max="4356" width="5.375" style="1037" hidden="1" customWidth="1"/>
    <col min="4357" max="4357" width="9.75" style="1037" hidden="1" customWidth="1"/>
    <col min="4358" max="4358" width="6.25" style="1037" hidden="1" customWidth="1"/>
    <col min="4359" max="4359" width="6.5" style="1037" hidden="1" customWidth="1"/>
    <col min="4360" max="4360" width="12.875" style="1037" hidden="1" customWidth="1"/>
    <col min="4361" max="4361" width="7.125" style="1037" hidden="1" customWidth="1"/>
    <col min="4362" max="4362" width="12.125" style="1037" hidden="1" customWidth="1"/>
    <col min="4363" max="4363" width="11.875" style="1037" hidden="1" customWidth="1"/>
    <col min="4364" max="4364" width="10.75" style="1037" hidden="1" customWidth="1"/>
    <col min="4365" max="4365" width="11.875" style="1037" hidden="1" customWidth="1"/>
    <col min="4366" max="4367" width="11.375" style="1037" hidden="1" customWidth="1"/>
    <col min="4368" max="4368" width="0.75" style="1037" hidden="1" customWidth="1"/>
    <col min="4369" max="4369" width="3.875" style="1037" hidden="1" customWidth="1"/>
    <col min="4370" max="4569" width="0" style="1037" hidden="1" customWidth="1"/>
    <col min="4570" max="4608" width="0" style="1037" hidden="1"/>
    <col min="4609" max="4609" width="0.75" style="1037" hidden="1" customWidth="1"/>
    <col min="4610" max="4610" width="2.125" style="1037" hidden="1" customWidth="1"/>
    <col min="4611" max="4611" width="13.375" style="1037" hidden="1" customWidth="1"/>
    <col min="4612" max="4612" width="5.375" style="1037" hidden="1" customWidth="1"/>
    <col min="4613" max="4613" width="9.75" style="1037" hidden="1" customWidth="1"/>
    <col min="4614" max="4614" width="6.25" style="1037" hidden="1" customWidth="1"/>
    <col min="4615" max="4615" width="6.5" style="1037" hidden="1" customWidth="1"/>
    <col min="4616" max="4616" width="12.875" style="1037" hidden="1" customWidth="1"/>
    <col min="4617" max="4617" width="7.125" style="1037" hidden="1" customWidth="1"/>
    <col min="4618" max="4618" width="12.125" style="1037" hidden="1" customWidth="1"/>
    <col min="4619" max="4619" width="11.875" style="1037" hidden="1" customWidth="1"/>
    <col min="4620" max="4620" width="10.75" style="1037" hidden="1" customWidth="1"/>
    <col min="4621" max="4621" width="11.875" style="1037" hidden="1" customWidth="1"/>
    <col min="4622" max="4623" width="11.375" style="1037" hidden="1" customWidth="1"/>
    <col min="4624" max="4624" width="0.75" style="1037" hidden="1" customWidth="1"/>
    <col min="4625" max="4625" width="3.875" style="1037" hidden="1" customWidth="1"/>
    <col min="4626" max="4825" width="0" style="1037" hidden="1" customWidth="1"/>
    <col min="4826" max="4864" width="0" style="1037" hidden="1"/>
    <col min="4865" max="4865" width="0.75" style="1037" hidden="1" customWidth="1"/>
    <col min="4866" max="4866" width="2.125" style="1037" hidden="1" customWidth="1"/>
    <col min="4867" max="4867" width="13.375" style="1037" hidden="1" customWidth="1"/>
    <col min="4868" max="4868" width="5.375" style="1037" hidden="1" customWidth="1"/>
    <col min="4869" max="4869" width="9.75" style="1037" hidden="1" customWidth="1"/>
    <col min="4870" max="4870" width="6.25" style="1037" hidden="1" customWidth="1"/>
    <col min="4871" max="4871" width="6.5" style="1037" hidden="1" customWidth="1"/>
    <col min="4872" max="4872" width="12.875" style="1037" hidden="1" customWidth="1"/>
    <col min="4873" max="4873" width="7.125" style="1037" hidden="1" customWidth="1"/>
    <col min="4874" max="4874" width="12.125" style="1037" hidden="1" customWidth="1"/>
    <col min="4875" max="4875" width="11.875" style="1037" hidden="1" customWidth="1"/>
    <col min="4876" max="4876" width="10.75" style="1037" hidden="1" customWidth="1"/>
    <col min="4877" max="4877" width="11.875" style="1037" hidden="1" customWidth="1"/>
    <col min="4878" max="4879" width="11.375" style="1037" hidden="1" customWidth="1"/>
    <col min="4880" max="4880" width="0.75" style="1037" hidden="1" customWidth="1"/>
    <col min="4881" max="4881" width="3.875" style="1037" hidden="1" customWidth="1"/>
    <col min="4882" max="5081" width="0" style="1037" hidden="1" customWidth="1"/>
    <col min="5082" max="5120" width="0" style="1037" hidden="1"/>
    <col min="5121" max="5121" width="0.75" style="1037" hidden="1" customWidth="1"/>
    <col min="5122" max="5122" width="2.125" style="1037" hidden="1" customWidth="1"/>
    <col min="5123" max="5123" width="13.375" style="1037" hidden="1" customWidth="1"/>
    <col min="5124" max="5124" width="5.375" style="1037" hidden="1" customWidth="1"/>
    <col min="5125" max="5125" width="9.75" style="1037" hidden="1" customWidth="1"/>
    <col min="5126" max="5126" width="6.25" style="1037" hidden="1" customWidth="1"/>
    <col min="5127" max="5127" width="6.5" style="1037" hidden="1" customWidth="1"/>
    <col min="5128" max="5128" width="12.875" style="1037" hidden="1" customWidth="1"/>
    <col min="5129" max="5129" width="7.125" style="1037" hidden="1" customWidth="1"/>
    <col min="5130" max="5130" width="12.125" style="1037" hidden="1" customWidth="1"/>
    <col min="5131" max="5131" width="11.875" style="1037" hidden="1" customWidth="1"/>
    <col min="5132" max="5132" width="10.75" style="1037" hidden="1" customWidth="1"/>
    <col min="5133" max="5133" width="11.875" style="1037" hidden="1" customWidth="1"/>
    <col min="5134" max="5135" width="11.375" style="1037" hidden="1" customWidth="1"/>
    <col min="5136" max="5136" width="0.75" style="1037" hidden="1" customWidth="1"/>
    <col min="5137" max="5137" width="3.875" style="1037" hidden="1" customWidth="1"/>
    <col min="5138" max="5337" width="0" style="1037" hidden="1" customWidth="1"/>
    <col min="5338" max="5376" width="0" style="1037" hidden="1"/>
    <col min="5377" max="5377" width="0.75" style="1037" hidden="1" customWidth="1"/>
    <col min="5378" max="5378" width="2.125" style="1037" hidden="1" customWidth="1"/>
    <col min="5379" max="5379" width="13.375" style="1037" hidden="1" customWidth="1"/>
    <col min="5380" max="5380" width="5.375" style="1037" hidden="1" customWidth="1"/>
    <col min="5381" max="5381" width="9.75" style="1037" hidden="1" customWidth="1"/>
    <col min="5382" max="5382" width="6.25" style="1037" hidden="1" customWidth="1"/>
    <col min="5383" max="5383" width="6.5" style="1037" hidden="1" customWidth="1"/>
    <col min="5384" max="5384" width="12.875" style="1037" hidden="1" customWidth="1"/>
    <col min="5385" max="5385" width="7.125" style="1037" hidden="1" customWidth="1"/>
    <col min="5386" max="5386" width="12.125" style="1037" hidden="1" customWidth="1"/>
    <col min="5387" max="5387" width="11.875" style="1037" hidden="1" customWidth="1"/>
    <col min="5388" max="5388" width="10.75" style="1037" hidden="1" customWidth="1"/>
    <col min="5389" max="5389" width="11.875" style="1037" hidden="1" customWidth="1"/>
    <col min="5390" max="5391" width="11.375" style="1037" hidden="1" customWidth="1"/>
    <col min="5392" max="5392" width="0.75" style="1037" hidden="1" customWidth="1"/>
    <col min="5393" max="5393" width="3.875" style="1037" hidden="1" customWidth="1"/>
    <col min="5394" max="5593" width="0" style="1037" hidden="1" customWidth="1"/>
    <col min="5594" max="5632" width="0" style="1037" hidden="1"/>
    <col min="5633" max="5633" width="0.75" style="1037" hidden="1" customWidth="1"/>
    <col min="5634" max="5634" width="2.125" style="1037" hidden="1" customWidth="1"/>
    <col min="5635" max="5635" width="13.375" style="1037" hidden="1" customWidth="1"/>
    <col min="5636" max="5636" width="5.375" style="1037" hidden="1" customWidth="1"/>
    <col min="5637" max="5637" width="9.75" style="1037" hidden="1" customWidth="1"/>
    <col min="5638" max="5638" width="6.25" style="1037" hidden="1" customWidth="1"/>
    <col min="5639" max="5639" width="6.5" style="1037" hidden="1" customWidth="1"/>
    <col min="5640" max="5640" width="12.875" style="1037" hidden="1" customWidth="1"/>
    <col min="5641" max="5641" width="7.125" style="1037" hidden="1" customWidth="1"/>
    <col min="5642" max="5642" width="12.125" style="1037" hidden="1" customWidth="1"/>
    <col min="5643" max="5643" width="11.875" style="1037" hidden="1" customWidth="1"/>
    <col min="5644" max="5644" width="10.75" style="1037" hidden="1" customWidth="1"/>
    <col min="5645" max="5645" width="11.875" style="1037" hidden="1" customWidth="1"/>
    <col min="5646" max="5647" width="11.375" style="1037" hidden="1" customWidth="1"/>
    <col min="5648" max="5648" width="0.75" style="1037" hidden="1" customWidth="1"/>
    <col min="5649" max="5649" width="3.875" style="1037" hidden="1" customWidth="1"/>
    <col min="5650" max="5849" width="0" style="1037" hidden="1" customWidth="1"/>
    <col min="5850" max="5888" width="0" style="1037" hidden="1"/>
    <col min="5889" max="5889" width="0.75" style="1037" hidden="1" customWidth="1"/>
    <col min="5890" max="5890" width="2.125" style="1037" hidden="1" customWidth="1"/>
    <col min="5891" max="5891" width="13.375" style="1037" hidden="1" customWidth="1"/>
    <col min="5892" max="5892" width="5.375" style="1037" hidden="1" customWidth="1"/>
    <col min="5893" max="5893" width="9.75" style="1037" hidden="1" customWidth="1"/>
    <col min="5894" max="5894" width="6.25" style="1037" hidden="1" customWidth="1"/>
    <col min="5895" max="5895" width="6.5" style="1037" hidden="1" customWidth="1"/>
    <col min="5896" max="5896" width="12.875" style="1037" hidden="1" customWidth="1"/>
    <col min="5897" max="5897" width="7.125" style="1037" hidden="1" customWidth="1"/>
    <col min="5898" max="5898" width="12.125" style="1037" hidden="1" customWidth="1"/>
    <col min="5899" max="5899" width="11.875" style="1037" hidden="1" customWidth="1"/>
    <col min="5900" max="5900" width="10.75" style="1037" hidden="1" customWidth="1"/>
    <col min="5901" max="5901" width="11.875" style="1037" hidden="1" customWidth="1"/>
    <col min="5902" max="5903" width="11.375" style="1037" hidden="1" customWidth="1"/>
    <col min="5904" max="5904" width="0.75" style="1037" hidden="1" customWidth="1"/>
    <col min="5905" max="5905" width="3.875" style="1037" hidden="1" customWidth="1"/>
    <col min="5906" max="6105" width="0" style="1037" hidden="1" customWidth="1"/>
    <col min="6106" max="6144" width="0" style="1037" hidden="1"/>
    <col min="6145" max="6145" width="0.75" style="1037" hidden="1" customWidth="1"/>
    <col min="6146" max="6146" width="2.125" style="1037" hidden="1" customWidth="1"/>
    <col min="6147" max="6147" width="13.375" style="1037" hidden="1" customWidth="1"/>
    <col min="6148" max="6148" width="5.375" style="1037" hidden="1" customWidth="1"/>
    <col min="6149" max="6149" width="9.75" style="1037" hidden="1" customWidth="1"/>
    <col min="6150" max="6150" width="6.25" style="1037" hidden="1" customWidth="1"/>
    <col min="6151" max="6151" width="6.5" style="1037" hidden="1" customWidth="1"/>
    <col min="6152" max="6152" width="12.875" style="1037" hidden="1" customWidth="1"/>
    <col min="6153" max="6153" width="7.125" style="1037" hidden="1" customWidth="1"/>
    <col min="6154" max="6154" width="12.125" style="1037" hidden="1" customWidth="1"/>
    <col min="6155" max="6155" width="11.875" style="1037" hidden="1" customWidth="1"/>
    <col min="6156" max="6156" width="10.75" style="1037" hidden="1" customWidth="1"/>
    <col min="6157" max="6157" width="11.875" style="1037" hidden="1" customWidth="1"/>
    <col min="6158" max="6159" width="11.375" style="1037" hidden="1" customWidth="1"/>
    <col min="6160" max="6160" width="0.75" style="1037" hidden="1" customWidth="1"/>
    <col min="6161" max="6161" width="3.875" style="1037" hidden="1" customWidth="1"/>
    <col min="6162" max="6361" width="0" style="1037" hidden="1" customWidth="1"/>
    <col min="6362" max="6400" width="0" style="1037" hidden="1"/>
    <col min="6401" max="6401" width="0.75" style="1037" hidden="1" customWidth="1"/>
    <col min="6402" max="6402" width="2.125" style="1037" hidden="1" customWidth="1"/>
    <col min="6403" max="6403" width="13.375" style="1037" hidden="1" customWidth="1"/>
    <col min="6404" max="6404" width="5.375" style="1037" hidden="1" customWidth="1"/>
    <col min="6405" max="6405" width="9.75" style="1037" hidden="1" customWidth="1"/>
    <col min="6406" max="6406" width="6.25" style="1037" hidden="1" customWidth="1"/>
    <col min="6407" max="6407" width="6.5" style="1037" hidden="1" customWidth="1"/>
    <col min="6408" max="6408" width="12.875" style="1037" hidden="1" customWidth="1"/>
    <col min="6409" max="6409" width="7.125" style="1037" hidden="1" customWidth="1"/>
    <col min="6410" max="6410" width="12.125" style="1037" hidden="1" customWidth="1"/>
    <col min="6411" max="6411" width="11.875" style="1037" hidden="1" customWidth="1"/>
    <col min="6412" max="6412" width="10.75" style="1037" hidden="1" customWidth="1"/>
    <col min="6413" max="6413" width="11.875" style="1037" hidden="1" customWidth="1"/>
    <col min="6414" max="6415" width="11.375" style="1037" hidden="1" customWidth="1"/>
    <col min="6416" max="6416" width="0.75" style="1037" hidden="1" customWidth="1"/>
    <col min="6417" max="6417" width="3.875" style="1037" hidden="1" customWidth="1"/>
    <col min="6418" max="6617" width="0" style="1037" hidden="1" customWidth="1"/>
    <col min="6618" max="6656" width="0" style="1037" hidden="1"/>
    <col min="6657" max="6657" width="0.75" style="1037" hidden="1" customWidth="1"/>
    <col min="6658" max="6658" width="2.125" style="1037" hidden="1" customWidth="1"/>
    <col min="6659" max="6659" width="13.375" style="1037" hidden="1" customWidth="1"/>
    <col min="6660" max="6660" width="5.375" style="1037" hidden="1" customWidth="1"/>
    <col min="6661" max="6661" width="9.75" style="1037" hidden="1" customWidth="1"/>
    <col min="6662" max="6662" width="6.25" style="1037" hidden="1" customWidth="1"/>
    <col min="6663" max="6663" width="6.5" style="1037" hidden="1" customWidth="1"/>
    <col min="6664" max="6664" width="12.875" style="1037" hidden="1" customWidth="1"/>
    <col min="6665" max="6665" width="7.125" style="1037" hidden="1" customWidth="1"/>
    <col min="6666" max="6666" width="12.125" style="1037" hidden="1" customWidth="1"/>
    <col min="6667" max="6667" width="11.875" style="1037" hidden="1" customWidth="1"/>
    <col min="6668" max="6668" width="10.75" style="1037" hidden="1" customWidth="1"/>
    <col min="6669" max="6669" width="11.875" style="1037" hidden="1" customWidth="1"/>
    <col min="6670" max="6671" width="11.375" style="1037" hidden="1" customWidth="1"/>
    <col min="6672" max="6672" width="0.75" style="1037" hidden="1" customWidth="1"/>
    <col min="6673" max="6673" width="3.875" style="1037" hidden="1" customWidth="1"/>
    <col min="6674" max="6873" width="0" style="1037" hidden="1" customWidth="1"/>
    <col min="6874" max="6912" width="0" style="1037" hidden="1"/>
    <col min="6913" max="6913" width="0.75" style="1037" hidden="1" customWidth="1"/>
    <col min="6914" max="6914" width="2.125" style="1037" hidden="1" customWidth="1"/>
    <col min="6915" max="6915" width="13.375" style="1037" hidden="1" customWidth="1"/>
    <col min="6916" max="6916" width="5.375" style="1037" hidden="1" customWidth="1"/>
    <col min="6917" max="6917" width="9.75" style="1037" hidden="1" customWidth="1"/>
    <col min="6918" max="6918" width="6.25" style="1037" hidden="1" customWidth="1"/>
    <col min="6919" max="6919" width="6.5" style="1037" hidden="1" customWidth="1"/>
    <col min="6920" max="6920" width="12.875" style="1037" hidden="1" customWidth="1"/>
    <col min="6921" max="6921" width="7.125" style="1037" hidden="1" customWidth="1"/>
    <col min="6922" max="6922" width="12.125" style="1037" hidden="1" customWidth="1"/>
    <col min="6923" max="6923" width="11.875" style="1037" hidden="1" customWidth="1"/>
    <col min="6924" max="6924" width="10.75" style="1037" hidden="1" customWidth="1"/>
    <col min="6925" max="6925" width="11.875" style="1037" hidden="1" customWidth="1"/>
    <col min="6926" max="6927" width="11.375" style="1037" hidden="1" customWidth="1"/>
    <col min="6928" max="6928" width="0.75" style="1037" hidden="1" customWidth="1"/>
    <col min="6929" max="6929" width="3.875" style="1037" hidden="1" customWidth="1"/>
    <col min="6930" max="7129" width="0" style="1037" hidden="1" customWidth="1"/>
    <col min="7130" max="7168" width="0" style="1037" hidden="1"/>
    <col min="7169" max="7169" width="0.75" style="1037" hidden="1" customWidth="1"/>
    <col min="7170" max="7170" width="2.125" style="1037" hidden="1" customWidth="1"/>
    <col min="7171" max="7171" width="13.375" style="1037" hidden="1" customWidth="1"/>
    <col min="7172" max="7172" width="5.375" style="1037" hidden="1" customWidth="1"/>
    <col min="7173" max="7173" width="9.75" style="1037" hidden="1" customWidth="1"/>
    <col min="7174" max="7174" width="6.25" style="1037" hidden="1" customWidth="1"/>
    <col min="7175" max="7175" width="6.5" style="1037" hidden="1" customWidth="1"/>
    <col min="7176" max="7176" width="12.875" style="1037" hidden="1" customWidth="1"/>
    <col min="7177" max="7177" width="7.125" style="1037" hidden="1" customWidth="1"/>
    <col min="7178" max="7178" width="12.125" style="1037" hidden="1" customWidth="1"/>
    <col min="7179" max="7179" width="11.875" style="1037" hidden="1" customWidth="1"/>
    <col min="7180" max="7180" width="10.75" style="1037" hidden="1" customWidth="1"/>
    <col min="7181" max="7181" width="11.875" style="1037" hidden="1" customWidth="1"/>
    <col min="7182" max="7183" width="11.375" style="1037" hidden="1" customWidth="1"/>
    <col min="7184" max="7184" width="0.75" style="1037" hidden="1" customWidth="1"/>
    <col min="7185" max="7185" width="3.875" style="1037" hidden="1" customWidth="1"/>
    <col min="7186" max="7385" width="0" style="1037" hidden="1" customWidth="1"/>
    <col min="7386" max="7424" width="0" style="1037" hidden="1"/>
    <col min="7425" max="7425" width="0.75" style="1037" hidden="1" customWidth="1"/>
    <col min="7426" max="7426" width="2.125" style="1037" hidden="1" customWidth="1"/>
    <col min="7427" max="7427" width="13.375" style="1037" hidden="1" customWidth="1"/>
    <col min="7428" max="7428" width="5.375" style="1037" hidden="1" customWidth="1"/>
    <col min="7429" max="7429" width="9.75" style="1037" hidden="1" customWidth="1"/>
    <col min="7430" max="7430" width="6.25" style="1037" hidden="1" customWidth="1"/>
    <col min="7431" max="7431" width="6.5" style="1037" hidden="1" customWidth="1"/>
    <col min="7432" max="7432" width="12.875" style="1037" hidden="1" customWidth="1"/>
    <col min="7433" max="7433" width="7.125" style="1037" hidden="1" customWidth="1"/>
    <col min="7434" max="7434" width="12.125" style="1037" hidden="1" customWidth="1"/>
    <col min="7435" max="7435" width="11.875" style="1037" hidden="1" customWidth="1"/>
    <col min="7436" max="7436" width="10.75" style="1037" hidden="1" customWidth="1"/>
    <col min="7437" max="7437" width="11.875" style="1037" hidden="1" customWidth="1"/>
    <col min="7438" max="7439" width="11.375" style="1037" hidden="1" customWidth="1"/>
    <col min="7440" max="7440" width="0.75" style="1037" hidden="1" customWidth="1"/>
    <col min="7441" max="7441" width="3.875" style="1037" hidden="1" customWidth="1"/>
    <col min="7442" max="7641" width="0" style="1037" hidden="1" customWidth="1"/>
    <col min="7642" max="7680" width="0" style="1037" hidden="1"/>
    <col min="7681" max="7681" width="0.75" style="1037" hidden="1" customWidth="1"/>
    <col min="7682" max="7682" width="2.125" style="1037" hidden="1" customWidth="1"/>
    <col min="7683" max="7683" width="13.375" style="1037" hidden="1" customWidth="1"/>
    <col min="7684" max="7684" width="5.375" style="1037" hidden="1" customWidth="1"/>
    <col min="7685" max="7685" width="9.75" style="1037" hidden="1" customWidth="1"/>
    <col min="7686" max="7686" width="6.25" style="1037" hidden="1" customWidth="1"/>
    <col min="7687" max="7687" width="6.5" style="1037" hidden="1" customWidth="1"/>
    <col min="7688" max="7688" width="12.875" style="1037" hidden="1" customWidth="1"/>
    <col min="7689" max="7689" width="7.125" style="1037" hidden="1" customWidth="1"/>
    <col min="7690" max="7690" width="12.125" style="1037" hidden="1" customWidth="1"/>
    <col min="7691" max="7691" width="11.875" style="1037" hidden="1" customWidth="1"/>
    <col min="7692" max="7692" width="10.75" style="1037" hidden="1" customWidth="1"/>
    <col min="7693" max="7693" width="11.875" style="1037" hidden="1" customWidth="1"/>
    <col min="7694" max="7695" width="11.375" style="1037" hidden="1" customWidth="1"/>
    <col min="7696" max="7696" width="0.75" style="1037" hidden="1" customWidth="1"/>
    <col min="7697" max="7697" width="3.875" style="1037" hidden="1" customWidth="1"/>
    <col min="7698" max="7897" width="0" style="1037" hidden="1" customWidth="1"/>
    <col min="7898" max="7936" width="0" style="1037" hidden="1"/>
    <col min="7937" max="7937" width="0.75" style="1037" hidden="1" customWidth="1"/>
    <col min="7938" max="7938" width="2.125" style="1037" hidden="1" customWidth="1"/>
    <col min="7939" max="7939" width="13.375" style="1037" hidden="1" customWidth="1"/>
    <col min="7940" max="7940" width="5.375" style="1037" hidden="1" customWidth="1"/>
    <col min="7941" max="7941" width="9.75" style="1037" hidden="1" customWidth="1"/>
    <col min="7942" max="7942" width="6.25" style="1037" hidden="1" customWidth="1"/>
    <col min="7943" max="7943" width="6.5" style="1037" hidden="1" customWidth="1"/>
    <col min="7944" max="7944" width="12.875" style="1037" hidden="1" customWidth="1"/>
    <col min="7945" max="7945" width="7.125" style="1037" hidden="1" customWidth="1"/>
    <col min="7946" max="7946" width="12.125" style="1037" hidden="1" customWidth="1"/>
    <col min="7947" max="7947" width="11.875" style="1037" hidden="1" customWidth="1"/>
    <col min="7948" max="7948" width="10.75" style="1037" hidden="1" customWidth="1"/>
    <col min="7949" max="7949" width="11.875" style="1037" hidden="1" customWidth="1"/>
    <col min="7950" max="7951" width="11.375" style="1037" hidden="1" customWidth="1"/>
    <col min="7952" max="7952" width="0.75" style="1037" hidden="1" customWidth="1"/>
    <col min="7953" max="7953" width="3.875" style="1037" hidden="1" customWidth="1"/>
    <col min="7954" max="8153" width="0" style="1037" hidden="1" customWidth="1"/>
    <col min="8154" max="8192" width="0" style="1037" hidden="1"/>
    <col min="8193" max="8193" width="0.75" style="1037" hidden="1" customWidth="1"/>
    <col min="8194" max="8194" width="2.125" style="1037" hidden="1" customWidth="1"/>
    <col min="8195" max="8195" width="13.375" style="1037" hidden="1" customWidth="1"/>
    <col min="8196" max="8196" width="5.375" style="1037" hidden="1" customWidth="1"/>
    <col min="8197" max="8197" width="9.75" style="1037" hidden="1" customWidth="1"/>
    <col min="8198" max="8198" width="6.25" style="1037" hidden="1" customWidth="1"/>
    <col min="8199" max="8199" width="6.5" style="1037" hidden="1" customWidth="1"/>
    <col min="8200" max="8200" width="12.875" style="1037" hidden="1" customWidth="1"/>
    <col min="8201" max="8201" width="7.125" style="1037" hidden="1" customWidth="1"/>
    <col min="8202" max="8202" width="12.125" style="1037" hidden="1" customWidth="1"/>
    <col min="8203" max="8203" width="11.875" style="1037" hidden="1" customWidth="1"/>
    <col min="8204" max="8204" width="10.75" style="1037" hidden="1" customWidth="1"/>
    <col min="8205" max="8205" width="11.875" style="1037" hidden="1" customWidth="1"/>
    <col min="8206" max="8207" width="11.375" style="1037" hidden="1" customWidth="1"/>
    <col min="8208" max="8208" width="0.75" style="1037" hidden="1" customWidth="1"/>
    <col min="8209" max="8209" width="3.875" style="1037" hidden="1" customWidth="1"/>
    <col min="8210" max="8409" width="0" style="1037" hidden="1" customWidth="1"/>
    <col min="8410" max="8448" width="0" style="1037" hidden="1"/>
    <col min="8449" max="8449" width="0.75" style="1037" hidden="1" customWidth="1"/>
    <col min="8450" max="8450" width="2.125" style="1037" hidden="1" customWidth="1"/>
    <col min="8451" max="8451" width="13.375" style="1037" hidden="1" customWidth="1"/>
    <col min="8452" max="8452" width="5.375" style="1037" hidden="1" customWidth="1"/>
    <col min="8453" max="8453" width="9.75" style="1037" hidden="1" customWidth="1"/>
    <col min="8454" max="8454" width="6.25" style="1037" hidden="1" customWidth="1"/>
    <col min="8455" max="8455" width="6.5" style="1037" hidden="1" customWidth="1"/>
    <col min="8456" max="8456" width="12.875" style="1037" hidden="1" customWidth="1"/>
    <col min="8457" max="8457" width="7.125" style="1037" hidden="1" customWidth="1"/>
    <col min="8458" max="8458" width="12.125" style="1037" hidden="1" customWidth="1"/>
    <col min="8459" max="8459" width="11.875" style="1037" hidden="1" customWidth="1"/>
    <col min="8460" max="8460" width="10.75" style="1037" hidden="1" customWidth="1"/>
    <col min="8461" max="8461" width="11.875" style="1037" hidden="1" customWidth="1"/>
    <col min="8462" max="8463" width="11.375" style="1037" hidden="1" customWidth="1"/>
    <col min="8464" max="8464" width="0.75" style="1037" hidden="1" customWidth="1"/>
    <col min="8465" max="8465" width="3.875" style="1037" hidden="1" customWidth="1"/>
    <col min="8466" max="8665" width="0" style="1037" hidden="1" customWidth="1"/>
    <col min="8666" max="8704" width="0" style="1037" hidden="1"/>
    <col min="8705" max="8705" width="0.75" style="1037" hidden="1" customWidth="1"/>
    <col min="8706" max="8706" width="2.125" style="1037" hidden="1" customWidth="1"/>
    <col min="8707" max="8707" width="13.375" style="1037" hidden="1" customWidth="1"/>
    <col min="8708" max="8708" width="5.375" style="1037" hidden="1" customWidth="1"/>
    <col min="8709" max="8709" width="9.75" style="1037" hidden="1" customWidth="1"/>
    <col min="8710" max="8710" width="6.25" style="1037" hidden="1" customWidth="1"/>
    <col min="8711" max="8711" width="6.5" style="1037" hidden="1" customWidth="1"/>
    <col min="8712" max="8712" width="12.875" style="1037" hidden="1" customWidth="1"/>
    <col min="8713" max="8713" width="7.125" style="1037" hidden="1" customWidth="1"/>
    <col min="8714" max="8714" width="12.125" style="1037" hidden="1" customWidth="1"/>
    <col min="8715" max="8715" width="11.875" style="1037" hidden="1" customWidth="1"/>
    <col min="8716" max="8716" width="10.75" style="1037" hidden="1" customWidth="1"/>
    <col min="8717" max="8717" width="11.875" style="1037" hidden="1" customWidth="1"/>
    <col min="8718" max="8719" width="11.375" style="1037" hidden="1" customWidth="1"/>
    <col min="8720" max="8720" width="0.75" style="1037" hidden="1" customWidth="1"/>
    <col min="8721" max="8721" width="3.875" style="1037" hidden="1" customWidth="1"/>
    <col min="8722" max="8921" width="0" style="1037" hidden="1" customWidth="1"/>
    <col min="8922" max="8960" width="0" style="1037" hidden="1"/>
    <col min="8961" max="8961" width="0.75" style="1037" hidden="1" customWidth="1"/>
    <col min="8962" max="8962" width="2.125" style="1037" hidden="1" customWidth="1"/>
    <col min="8963" max="8963" width="13.375" style="1037" hidden="1" customWidth="1"/>
    <col min="8964" max="8964" width="5.375" style="1037" hidden="1" customWidth="1"/>
    <col min="8965" max="8965" width="9.75" style="1037" hidden="1" customWidth="1"/>
    <col min="8966" max="8966" width="6.25" style="1037" hidden="1" customWidth="1"/>
    <col min="8967" max="8967" width="6.5" style="1037" hidden="1" customWidth="1"/>
    <col min="8968" max="8968" width="12.875" style="1037" hidden="1" customWidth="1"/>
    <col min="8969" max="8969" width="7.125" style="1037" hidden="1" customWidth="1"/>
    <col min="8970" max="8970" width="12.125" style="1037" hidden="1" customWidth="1"/>
    <col min="8971" max="8971" width="11.875" style="1037" hidden="1" customWidth="1"/>
    <col min="8972" max="8972" width="10.75" style="1037" hidden="1" customWidth="1"/>
    <col min="8973" max="8973" width="11.875" style="1037" hidden="1" customWidth="1"/>
    <col min="8974" max="8975" width="11.375" style="1037" hidden="1" customWidth="1"/>
    <col min="8976" max="8976" width="0.75" style="1037" hidden="1" customWidth="1"/>
    <col min="8977" max="8977" width="3.875" style="1037" hidden="1" customWidth="1"/>
    <col min="8978" max="9177" width="0" style="1037" hidden="1" customWidth="1"/>
    <col min="9178" max="9216" width="0" style="1037" hidden="1"/>
    <col min="9217" max="9217" width="0.75" style="1037" hidden="1" customWidth="1"/>
    <col min="9218" max="9218" width="2.125" style="1037" hidden="1" customWidth="1"/>
    <col min="9219" max="9219" width="13.375" style="1037" hidden="1" customWidth="1"/>
    <col min="9220" max="9220" width="5.375" style="1037" hidden="1" customWidth="1"/>
    <col min="9221" max="9221" width="9.75" style="1037" hidden="1" customWidth="1"/>
    <col min="9222" max="9222" width="6.25" style="1037" hidden="1" customWidth="1"/>
    <col min="9223" max="9223" width="6.5" style="1037" hidden="1" customWidth="1"/>
    <col min="9224" max="9224" width="12.875" style="1037" hidden="1" customWidth="1"/>
    <col min="9225" max="9225" width="7.125" style="1037" hidden="1" customWidth="1"/>
    <col min="9226" max="9226" width="12.125" style="1037" hidden="1" customWidth="1"/>
    <col min="9227" max="9227" width="11.875" style="1037" hidden="1" customWidth="1"/>
    <col min="9228" max="9228" width="10.75" style="1037" hidden="1" customWidth="1"/>
    <col min="9229" max="9229" width="11.875" style="1037" hidden="1" customWidth="1"/>
    <col min="9230" max="9231" width="11.375" style="1037" hidden="1" customWidth="1"/>
    <col min="9232" max="9232" width="0.75" style="1037" hidden="1" customWidth="1"/>
    <col min="9233" max="9233" width="3.875" style="1037" hidden="1" customWidth="1"/>
    <col min="9234" max="9433" width="0" style="1037" hidden="1" customWidth="1"/>
    <col min="9434" max="9472" width="0" style="1037" hidden="1"/>
    <col min="9473" max="9473" width="0.75" style="1037" hidden="1" customWidth="1"/>
    <col min="9474" max="9474" width="2.125" style="1037" hidden="1" customWidth="1"/>
    <col min="9475" max="9475" width="13.375" style="1037" hidden="1" customWidth="1"/>
    <col min="9476" max="9476" width="5.375" style="1037" hidden="1" customWidth="1"/>
    <col min="9477" max="9477" width="9.75" style="1037" hidden="1" customWidth="1"/>
    <col min="9478" max="9478" width="6.25" style="1037" hidden="1" customWidth="1"/>
    <col min="9479" max="9479" width="6.5" style="1037" hidden="1" customWidth="1"/>
    <col min="9480" max="9480" width="12.875" style="1037" hidden="1" customWidth="1"/>
    <col min="9481" max="9481" width="7.125" style="1037" hidden="1" customWidth="1"/>
    <col min="9482" max="9482" width="12.125" style="1037" hidden="1" customWidth="1"/>
    <col min="9483" max="9483" width="11.875" style="1037" hidden="1" customWidth="1"/>
    <col min="9484" max="9484" width="10.75" style="1037" hidden="1" customWidth="1"/>
    <col min="9485" max="9485" width="11.875" style="1037" hidden="1" customWidth="1"/>
    <col min="9486" max="9487" width="11.375" style="1037" hidden="1" customWidth="1"/>
    <col min="9488" max="9488" width="0.75" style="1037" hidden="1" customWidth="1"/>
    <col min="9489" max="9489" width="3.875" style="1037" hidden="1" customWidth="1"/>
    <col min="9490" max="9689" width="0" style="1037" hidden="1" customWidth="1"/>
    <col min="9690" max="9728" width="0" style="1037" hidden="1"/>
    <col min="9729" max="9729" width="0.75" style="1037" hidden="1" customWidth="1"/>
    <col min="9730" max="9730" width="2.125" style="1037" hidden="1" customWidth="1"/>
    <col min="9731" max="9731" width="13.375" style="1037" hidden="1" customWidth="1"/>
    <col min="9732" max="9732" width="5.375" style="1037" hidden="1" customWidth="1"/>
    <col min="9733" max="9733" width="9.75" style="1037" hidden="1" customWidth="1"/>
    <col min="9734" max="9734" width="6.25" style="1037" hidden="1" customWidth="1"/>
    <col min="9735" max="9735" width="6.5" style="1037" hidden="1" customWidth="1"/>
    <col min="9736" max="9736" width="12.875" style="1037" hidden="1" customWidth="1"/>
    <col min="9737" max="9737" width="7.125" style="1037" hidden="1" customWidth="1"/>
    <col min="9738" max="9738" width="12.125" style="1037" hidden="1" customWidth="1"/>
    <col min="9739" max="9739" width="11.875" style="1037" hidden="1" customWidth="1"/>
    <col min="9740" max="9740" width="10.75" style="1037" hidden="1" customWidth="1"/>
    <col min="9741" max="9741" width="11.875" style="1037" hidden="1" customWidth="1"/>
    <col min="9742" max="9743" width="11.375" style="1037" hidden="1" customWidth="1"/>
    <col min="9744" max="9744" width="0.75" style="1037" hidden="1" customWidth="1"/>
    <col min="9745" max="9745" width="3.875" style="1037" hidden="1" customWidth="1"/>
    <col min="9746" max="9945" width="0" style="1037" hidden="1" customWidth="1"/>
    <col min="9946" max="9984" width="0" style="1037" hidden="1"/>
    <col min="9985" max="9985" width="0.75" style="1037" hidden="1" customWidth="1"/>
    <col min="9986" max="9986" width="2.125" style="1037" hidden="1" customWidth="1"/>
    <col min="9987" max="9987" width="13.375" style="1037" hidden="1" customWidth="1"/>
    <col min="9988" max="9988" width="5.375" style="1037" hidden="1" customWidth="1"/>
    <col min="9989" max="9989" width="9.75" style="1037" hidden="1" customWidth="1"/>
    <col min="9990" max="9990" width="6.25" style="1037" hidden="1" customWidth="1"/>
    <col min="9991" max="9991" width="6.5" style="1037" hidden="1" customWidth="1"/>
    <col min="9992" max="9992" width="12.875" style="1037" hidden="1" customWidth="1"/>
    <col min="9993" max="9993" width="7.125" style="1037" hidden="1" customWidth="1"/>
    <col min="9994" max="9994" width="12.125" style="1037" hidden="1" customWidth="1"/>
    <col min="9995" max="9995" width="11.875" style="1037" hidden="1" customWidth="1"/>
    <col min="9996" max="9996" width="10.75" style="1037" hidden="1" customWidth="1"/>
    <col min="9997" max="9997" width="11.875" style="1037" hidden="1" customWidth="1"/>
    <col min="9998" max="9999" width="11.375" style="1037" hidden="1" customWidth="1"/>
    <col min="10000" max="10000" width="0.75" style="1037" hidden="1" customWidth="1"/>
    <col min="10001" max="10001" width="3.875" style="1037" hidden="1" customWidth="1"/>
    <col min="10002" max="10201" width="0" style="1037" hidden="1" customWidth="1"/>
    <col min="10202" max="10240" width="0" style="1037" hidden="1"/>
    <col min="10241" max="10241" width="0.75" style="1037" hidden="1" customWidth="1"/>
    <col min="10242" max="10242" width="2.125" style="1037" hidden="1" customWidth="1"/>
    <col min="10243" max="10243" width="13.375" style="1037" hidden="1" customWidth="1"/>
    <col min="10244" max="10244" width="5.375" style="1037" hidden="1" customWidth="1"/>
    <col min="10245" max="10245" width="9.75" style="1037" hidden="1" customWidth="1"/>
    <col min="10246" max="10246" width="6.25" style="1037" hidden="1" customWidth="1"/>
    <col min="10247" max="10247" width="6.5" style="1037" hidden="1" customWidth="1"/>
    <col min="10248" max="10248" width="12.875" style="1037" hidden="1" customWidth="1"/>
    <col min="10249" max="10249" width="7.125" style="1037" hidden="1" customWidth="1"/>
    <col min="10250" max="10250" width="12.125" style="1037" hidden="1" customWidth="1"/>
    <col min="10251" max="10251" width="11.875" style="1037" hidden="1" customWidth="1"/>
    <col min="10252" max="10252" width="10.75" style="1037" hidden="1" customWidth="1"/>
    <col min="10253" max="10253" width="11.875" style="1037" hidden="1" customWidth="1"/>
    <col min="10254" max="10255" width="11.375" style="1037" hidden="1" customWidth="1"/>
    <col min="10256" max="10256" width="0.75" style="1037" hidden="1" customWidth="1"/>
    <col min="10257" max="10257" width="3.875" style="1037" hidden="1" customWidth="1"/>
    <col min="10258" max="10457" width="0" style="1037" hidden="1" customWidth="1"/>
    <col min="10458" max="10496" width="0" style="1037" hidden="1"/>
    <col min="10497" max="10497" width="0.75" style="1037" hidden="1" customWidth="1"/>
    <col min="10498" max="10498" width="2.125" style="1037" hidden="1" customWidth="1"/>
    <col min="10499" max="10499" width="13.375" style="1037" hidden="1" customWidth="1"/>
    <col min="10500" max="10500" width="5.375" style="1037" hidden="1" customWidth="1"/>
    <col min="10501" max="10501" width="9.75" style="1037" hidden="1" customWidth="1"/>
    <col min="10502" max="10502" width="6.25" style="1037" hidden="1" customWidth="1"/>
    <col min="10503" max="10503" width="6.5" style="1037" hidden="1" customWidth="1"/>
    <col min="10504" max="10504" width="12.875" style="1037" hidden="1" customWidth="1"/>
    <col min="10505" max="10505" width="7.125" style="1037" hidden="1" customWidth="1"/>
    <col min="10506" max="10506" width="12.125" style="1037" hidden="1" customWidth="1"/>
    <col min="10507" max="10507" width="11.875" style="1037" hidden="1" customWidth="1"/>
    <col min="10508" max="10508" width="10.75" style="1037" hidden="1" customWidth="1"/>
    <col min="10509" max="10509" width="11.875" style="1037" hidden="1" customWidth="1"/>
    <col min="10510" max="10511" width="11.375" style="1037" hidden="1" customWidth="1"/>
    <col min="10512" max="10512" width="0.75" style="1037" hidden="1" customWidth="1"/>
    <col min="10513" max="10513" width="3.875" style="1037" hidden="1" customWidth="1"/>
    <col min="10514" max="10713" width="0" style="1037" hidden="1" customWidth="1"/>
    <col min="10714" max="10752" width="0" style="1037" hidden="1"/>
    <col min="10753" max="10753" width="0.75" style="1037" hidden="1" customWidth="1"/>
    <col min="10754" max="10754" width="2.125" style="1037" hidden="1" customWidth="1"/>
    <col min="10755" max="10755" width="13.375" style="1037" hidden="1" customWidth="1"/>
    <col min="10756" max="10756" width="5.375" style="1037" hidden="1" customWidth="1"/>
    <col min="10757" max="10757" width="9.75" style="1037" hidden="1" customWidth="1"/>
    <col min="10758" max="10758" width="6.25" style="1037" hidden="1" customWidth="1"/>
    <col min="10759" max="10759" width="6.5" style="1037" hidden="1" customWidth="1"/>
    <col min="10760" max="10760" width="12.875" style="1037" hidden="1" customWidth="1"/>
    <col min="10761" max="10761" width="7.125" style="1037" hidden="1" customWidth="1"/>
    <col min="10762" max="10762" width="12.125" style="1037" hidden="1" customWidth="1"/>
    <col min="10763" max="10763" width="11.875" style="1037" hidden="1" customWidth="1"/>
    <col min="10764" max="10764" width="10.75" style="1037" hidden="1" customWidth="1"/>
    <col min="10765" max="10765" width="11.875" style="1037" hidden="1" customWidth="1"/>
    <col min="10766" max="10767" width="11.375" style="1037" hidden="1" customWidth="1"/>
    <col min="10768" max="10768" width="0.75" style="1037" hidden="1" customWidth="1"/>
    <col min="10769" max="10769" width="3.875" style="1037" hidden="1" customWidth="1"/>
    <col min="10770" max="10969" width="0" style="1037" hidden="1" customWidth="1"/>
    <col min="10970" max="11008" width="0" style="1037" hidden="1"/>
    <col min="11009" max="11009" width="0.75" style="1037" hidden="1" customWidth="1"/>
    <col min="11010" max="11010" width="2.125" style="1037" hidden="1" customWidth="1"/>
    <col min="11011" max="11011" width="13.375" style="1037" hidden="1" customWidth="1"/>
    <col min="11012" max="11012" width="5.375" style="1037" hidden="1" customWidth="1"/>
    <col min="11013" max="11013" width="9.75" style="1037" hidden="1" customWidth="1"/>
    <col min="11014" max="11014" width="6.25" style="1037" hidden="1" customWidth="1"/>
    <col min="11015" max="11015" width="6.5" style="1037" hidden="1" customWidth="1"/>
    <col min="11016" max="11016" width="12.875" style="1037" hidden="1" customWidth="1"/>
    <col min="11017" max="11017" width="7.125" style="1037" hidden="1" customWidth="1"/>
    <col min="11018" max="11018" width="12.125" style="1037" hidden="1" customWidth="1"/>
    <col min="11019" max="11019" width="11.875" style="1037" hidden="1" customWidth="1"/>
    <col min="11020" max="11020" width="10.75" style="1037" hidden="1" customWidth="1"/>
    <col min="11021" max="11021" width="11.875" style="1037" hidden="1" customWidth="1"/>
    <col min="11022" max="11023" width="11.375" style="1037" hidden="1" customWidth="1"/>
    <col min="11024" max="11024" width="0.75" style="1037" hidden="1" customWidth="1"/>
    <col min="11025" max="11025" width="3.875" style="1037" hidden="1" customWidth="1"/>
    <col min="11026" max="11225" width="0" style="1037" hidden="1" customWidth="1"/>
    <col min="11226" max="11264" width="0" style="1037" hidden="1"/>
    <col min="11265" max="11265" width="0.75" style="1037" hidden="1" customWidth="1"/>
    <col min="11266" max="11266" width="2.125" style="1037" hidden="1" customWidth="1"/>
    <col min="11267" max="11267" width="13.375" style="1037" hidden="1" customWidth="1"/>
    <col min="11268" max="11268" width="5.375" style="1037" hidden="1" customWidth="1"/>
    <col min="11269" max="11269" width="9.75" style="1037" hidden="1" customWidth="1"/>
    <col min="11270" max="11270" width="6.25" style="1037" hidden="1" customWidth="1"/>
    <col min="11271" max="11271" width="6.5" style="1037" hidden="1" customWidth="1"/>
    <col min="11272" max="11272" width="12.875" style="1037" hidden="1" customWidth="1"/>
    <col min="11273" max="11273" width="7.125" style="1037" hidden="1" customWidth="1"/>
    <col min="11274" max="11274" width="12.125" style="1037" hidden="1" customWidth="1"/>
    <col min="11275" max="11275" width="11.875" style="1037" hidden="1" customWidth="1"/>
    <col min="11276" max="11276" width="10.75" style="1037" hidden="1" customWidth="1"/>
    <col min="11277" max="11277" width="11.875" style="1037" hidden="1" customWidth="1"/>
    <col min="11278" max="11279" width="11.375" style="1037" hidden="1" customWidth="1"/>
    <col min="11280" max="11280" width="0.75" style="1037" hidden="1" customWidth="1"/>
    <col min="11281" max="11281" width="3.875" style="1037" hidden="1" customWidth="1"/>
    <col min="11282" max="11481" width="0" style="1037" hidden="1" customWidth="1"/>
    <col min="11482" max="11520" width="0" style="1037" hidden="1"/>
    <col min="11521" max="11521" width="0.75" style="1037" hidden="1" customWidth="1"/>
    <col min="11522" max="11522" width="2.125" style="1037" hidden="1" customWidth="1"/>
    <col min="11523" max="11523" width="13.375" style="1037" hidden="1" customWidth="1"/>
    <col min="11524" max="11524" width="5.375" style="1037" hidden="1" customWidth="1"/>
    <col min="11525" max="11525" width="9.75" style="1037" hidden="1" customWidth="1"/>
    <col min="11526" max="11526" width="6.25" style="1037" hidden="1" customWidth="1"/>
    <col min="11527" max="11527" width="6.5" style="1037" hidden="1" customWidth="1"/>
    <col min="11528" max="11528" width="12.875" style="1037" hidden="1" customWidth="1"/>
    <col min="11529" max="11529" width="7.125" style="1037" hidden="1" customWidth="1"/>
    <col min="11530" max="11530" width="12.125" style="1037" hidden="1" customWidth="1"/>
    <col min="11531" max="11531" width="11.875" style="1037" hidden="1" customWidth="1"/>
    <col min="11532" max="11532" width="10.75" style="1037" hidden="1" customWidth="1"/>
    <col min="11533" max="11533" width="11.875" style="1037" hidden="1" customWidth="1"/>
    <col min="11534" max="11535" width="11.375" style="1037" hidden="1" customWidth="1"/>
    <col min="11536" max="11536" width="0.75" style="1037" hidden="1" customWidth="1"/>
    <col min="11537" max="11537" width="3.875" style="1037" hidden="1" customWidth="1"/>
    <col min="11538" max="11737" width="0" style="1037" hidden="1" customWidth="1"/>
    <col min="11738" max="11776" width="0" style="1037" hidden="1"/>
    <col min="11777" max="11777" width="0.75" style="1037" hidden="1" customWidth="1"/>
    <col min="11778" max="11778" width="2.125" style="1037" hidden="1" customWidth="1"/>
    <col min="11779" max="11779" width="13.375" style="1037" hidden="1" customWidth="1"/>
    <col min="11780" max="11780" width="5.375" style="1037" hidden="1" customWidth="1"/>
    <col min="11781" max="11781" width="9.75" style="1037" hidden="1" customWidth="1"/>
    <col min="11782" max="11782" width="6.25" style="1037" hidden="1" customWidth="1"/>
    <col min="11783" max="11783" width="6.5" style="1037" hidden="1" customWidth="1"/>
    <col min="11784" max="11784" width="12.875" style="1037" hidden="1" customWidth="1"/>
    <col min="11785" max="11785" width="7.125" style="1037" hidden="1" customWidth="1"/>
    <col min="11786" max="11786" width="12.125" style="1037" hidden="1" customWidth="1"/>
    <col min="11787" max="11787" width="11.875" style="1037" hidden="1" customWidth="1"/>
    <col min="11788" max="11788" width="10.75" style="1037" hidden="1" customWidth="1"/>
    <col min="11789" max="11789" width="11.875" style="1037" hidden="1" customWidth="1"/>
    <col min="11790" max="11791" width="11.375" style="1037" hidden="1" customWidth="1"/>
    <col min="11792" max="11792" width="0.75" style="1037" hidden="1" customWidth="1"/>
    <col min="11793" max="11793" width="3.875" style="1037" hidden="1" customWidth="1"/>
    <col min="11794" max="11993" width="0" style="1037" hidden="1" customWidth="1"/>
    <col min="11994" max="12032" width="0" style="1037" hidden="1"/>
    <col min="12033" max="12033" width="0.75" style="1037" hidden="1" customWidth="1"/>
    <col min="12034" max="12034" width="2.125" style="1037" hidden="1" customWidth="1"/>
    <col min="12035" max="12035" width="13.375" style="1037" hidden="1" customWidth="1"/>
    <col min="12036" max="12036" width="5.375" style="1037" hidden="1" customWidth="1"/>
    <col min="12037" max="12037" width="9.75" style="1037" hidden="1" customWidth="1"/>
    <col min="12038" max="12038" width="6.25" style="1037" hidden="1" customWidth="1"/>
    <col min="12039" max="12039" width="6.5" style="1037" hidden="1" customWidth="1"/>
    <col min="12040" max="12040" width="12.875" style="1037" hidden="1" customWidth="1"/>
    <col min="12041" max="12041" width="7.125" style="1037" hidden="1" customWidth="1"/>
    <col min="12042" max="12042" width="12.125" style="1037" hidden="1" customWidth="1"/>
    <col min="12043" max="12043" width="11.875" style="1037" hidden="1" customWidth="1"/>
    <col min="12044" max="12044" width="10.75" style="1037" hidden="1" customWidth="1"/>
    <col min="12045" max="12045" width="11.875" style="1037" hidden="1" customWidth="1"/>
    <col min="12046" max="12047" width="11.375" style="1037" hidden="1" customWidth="1"/>
    <col min="12048" max="12048" width="0.75" style="1037" hidden="1" customWidth="1"/>
    <col min="12049" max="12049" width="3.875" style="1037" hidden="1" customWidth="1"/>
    <col min="12050" max="12249" width="0" style="1037" hidden="1" customWidth="1"/>
    <col min="12250" max="12288" width="0" style="1037" hidden="1"/>
    <col min="12289" max="12289" width="0.75" style="1037" hidden="1" customWidth="1"/>
    <col min="12290" max="12290" width="2.125" style="1037" hidden="1" customWidth="1"/>
    <col min="12291" max="12291" width="13.375" style="1037" hidden="1" customWidth="1"/>
    <col min="12292" max="12292" width="5.375" style="1037" hidden="1" customWidth="1"/>
    <col min="12293" max="12293" width="9.75" style="1037" hidden="1" customWidth="1"/>
    <col min="12294" max="12294" width="6.25" style="1037" hidden="1" customWidth="1"/>
    <col min="12295" max="12295" width="6.5" style="1037" hidden="1" customWidth="1"/>
    <col min="12296" max="12296" width="12.875" style="1037" hidden="1" customWidth="1"/>
    <col min="12297" max="12297" width="7.125" style="1037" hidden="1" customWidth="1"/>
    <col min="12298" max="12298" width="12.125" style="1037" hidden="1" customWidth="1"/>
    <col min="12299" max="12299" width="11.875" style="1037" hidden="1" customWidth="1"/>
    <col min="12300" max="12300" width="10.75" style="1037" hidden="1" customWidth="1"/>
    <col min="12301" max="12301" width="11.875" style="1037" hidden="1" customWidth="1"/>
    <col min="12302" max="12303" width="11.375" style="1037" hidden="1" customWidth="1"/>
    <col min="12304" max="12304" width="0.75" style="1037" hidden="1" customWidth="1"/>
    <col min="12305" max="12305" width="3.875" style="1037" hidden="1" customWidth="1"/>
    <col min="12306" max="12505" width="0" style="1037" hidden="1" customWidth="1"/>
    <col min="12506" max="12544" width="0" style="1037" hidden="1"/>
    <col min="12545" max="12545" width="0.75" style="1037" hidden="1" customWidth="1"/>
    <col min="12546" max="12546" width="2.125" style="1037" hidden="1" customWidth="1"/>
    <col min="12547" max="12547" width="13.375" style="1037" hidden="1" customWidth="1"/>
    <col min="12548" max="12548" width="5.375" style="1037" hidden="1" customWidth="1"/>
    <col min="12549" max="12549" width="9.75" style="1037" hidden="1" customWidth="1"/>
    <col min="12550" max="12550" width="6.25" style="1037" hidden="1" customWidth="1"/>
    <col min="12551" max="12551" width="6.5" style="1037" hidden="1" customWidth="1"/>
    <col min="12552" max="12552" width="12.875" style="1037" hidden="1" customWidth="1"/>
    <col min="12553" max="12553" width="7.125" style="1037" hidden="1" customWidth="1"/>
    <col min="12554" max="12554" width="12.125" style="1037" hidden="1" customWidth="1"/>
    <col min="12555" max="12555" width="11.875" style="1037" hidden="1" customWidth="1"/>
    <col min="12556" max="12556" width="10.75" style="1037" hidden="1" customWidth="1"/>
    <col min="12557" max="12557" width="11.875" style="1037" hidden="1" customWidth="1"/>
    <col min="12558" max="12559" width="11.375" style="1037" hidden="1" customWidth="1"/>
    <col min="12560" max="12560" width="0.75" style="1037" hidden="1" customWidth="1"/>
    <col min="12561" max="12561" width="3.875" style="1037" hidden="1" customWidth="1"/>
    <col min="12562" max="12761" width="0" style="1037" hidden="1" customWidth="1"/>
    <col min="12762" max="12800" width="0" style="1037" hidden="1"/>
    <col min="12801" max="12801" width="0.75" style="1037" hidden="1" customWidth="1"/>
    <col min="12802" max="12802" width="2.125" style="1037" hidden="1" customWidth="1"/>
    <col min="12803" max="12803" width="13.375" style="1037" hidden="1" customWidth="1"/>
    <col min="12804" max="12804" width="5.375" style="1037" hidden="1" customWidth="1"/>
    <col min="12805" max="12805" width="9.75" style="1037" hidden="1" customWidth="1"/>
    <col min="12806" max="12806" width="6.25" style="1037" hidden="1" customWidth="1"/>
    <col min="12807" max="12807" width="6.5" style="1037" hidden="1" customWidth="1"/>
    <col min="12808" max="12808" width="12.875" style="1037" hidden="1" customWidth="1"/>
    <col min="12809" max="12809" width="7.125" style="1037" hidden="1" customWidth="1"/>
    <col min="12810" max="12810" width="12.125" style="1037" hidden="1" customWidth="1"/>
    <col min="12811" max="12811" width="11.875" style="1037" hidden="1" customWidth="1"/>
    <col min="12812" max="12812" width="10.75" style="1037" hidden="1" customWidth="1"/>
    <col min="12813" max="12813" width="11.875" style="1037" hidden="1" customWidth="1"/>
    <col min="12814" max="12815" width="11.375" style="1037" hidden="1" customWidth="1"/>
    <col min="12816" max="12816" width="0.75" style="1037" hidden="1" customWidth="1"/>
    <col min="12817" max="12817" width="3.875" style="1037" hidden="1" customWidth="1"/>
    <col min="12818" max="13017" width="0" style="1037" hidden="1" customWidth="1"/>
    <col min="13018" max="13056" width="0" style="1037" hidden="1"/>
    <col min="13057" max="13057" width="0.75" style="1037" hidden="1" customWidth="1"/>
    <col min="13058" max="13058" width="2.125" style="1037" hidden="1" customWidth="1"/>
    <col min="13059" max="13059" width="13.375" style="1037" hidden="1" customWidth="1"/>
    <col min="13060" max="13060" width="5.375" style="1037" hidden="1" customWidth="1"/>
    <col min="13061" max="13061" width="9.75" style="1037" hidden="1" customWidth="1"/>
    <col min="13062" max="13062" width="6.25" style="1037" hidden="1" customWidth="1"/>
    <col min="13063" max="13063" width="6.5" style="1037" hidden="1" customWidth="1"/>
    <col min="13064" max="13064" width="12.875" style="1037" hidden="1" customWidth="1"/>
    <col min="13065" max="13065" width="7.125" style="1037" hidden="1" customWidth="1"/>
    <col min="13066" max="13066" width="12.125" style="1037" hidden="1" customWidth="1"/>
    <col min="13067" max="13067" width="11.875" style="1037" hidden="1" customWidth="1"/>
    <col min="13068" max="13068" width="10.75" style="1037" hidden="1" customWidth="1"/>
    <col min="13069" max="13069" width="11.875" style="1037" hidden="1" customWidth="1"/>
    <col min="13070" max="13071" width="11.375" style="1037" hidden="1" customWidth="1"/>
    <col min="13072" max="13072" width="0.75" style="1037" hidden="1" customWidth="1"/>
    <col min="13073" max="13073" width="3.875" style="1037" hidden="1" customWidth="1"/>
    <col min="13074" max="13273" width="0" style="1037" hidden="1" customWidth="1"/>
    <col min="13274" max="13312" width="0" style="1037" hidden="1"/>
    <col min="13313" max="13313" width="0.75" style="1037" hidden="1" customWidth="1"/>
    <col min="13314" max="13314" width="2.125" style="1037" hidden="1" customWidth="1"/>
    <col min="13315" max="13315" width="13.375" style="1037" hidden="1" customWidth="1"/>
    <col min="13316" max="13316" width="5.375" style="1037" hidden="1" customWidth="1"/>
    <col min="13317" max="13317" width="9.75" style="1037" hidden="1" customWidth="1"/>
    <col min="13318" max="13318" width="6.25" style="1037" hidden="1" customWidth="1"/>
    <col min="13319" max="13319" width="6.5" style="1037" hidden="1" customWidth="1"/>
    <col min="13320" max="13320" width="12.875" style="1037" hidden="1" customWidth="1"/>
    <col min="13321" max="13321" width="7.125" style="1037" hidden="1" customWidth="1"/>
    <col min="13322" max="13322" width="12.125" style="1037" hidden="1" customWidth="1"/>
    <col min="13323" max="13323" width="11.875" style="1037" hidden="1" customWidth="1"/>
    <col min="13324" max="13324" width="10.75" style="1037" hidden="1" customWidth="1"/>
    <col min="13325" max="13325" width="11.875" style="1037" hidden="1" customWidth="1"/>
    <col min="13326" max="13327" width="11.375" style="1037" hidden="1" customWidth="1"/>
    <col min="13328" max="13328" width="0.75" style="1037" hidden="1" customWidth="1"/>
    <col min="13329" max="13329" width="3.875" style="1037" hidden="1" customWidth="1"/>
    <col min="13330" max="13529" width="0" style="1037" hidden="1" customWidth="1"/>
    <col min="13530" max="13568" width="0" style="1037" hidden="1"/>
    <col min="13569" max="13569" width="0.75" style="1037" hidden="1" customWidth="1"/>
    <col min="13570" max="13570" width="2.125" style="1037" hidden="1" customWidth="1"/>
    <col min="13571" max="13571" width="13.375" style="1037" hidden="1" customWidth="1"/>
    <col min="13572" max="13572" width="5.375" style="1037" hidden="1" customWidth="1"/>
    <col min="13573" max="13573" width="9.75" style="1037" hidden="1" customWidth="1"/>
    <col min="13574" max="13574" width="6.25" style="1037" hidden="1" customWidth="1"/>
    <col min="13575" max="13575" width="6.5" style="1037" hidden="1" customWidth="1"/>
    <col min="13576" max="13576" width="12.875" style="1037" hidden="1" customWidth="1"/>
    <col min="13577" max="13577" width="7.125" style="1037" hidden="1" customWidth="1"/>
    <col min="13578" max="13578" width="12.125" style="1037" hidden="1" customWidth="1"/>
    <col min="13579" max="13579" width="11.875" style="1037" hidden="1" customWidth="1"/>
    <col min="13580" max="13580" width="10.75" style="1037" hidden="1" customWidth="1"/>
    <col min="13581" max="13581" width="11.875" style="1037" hidden="1" customWidth="1"/>
    <col min="13582" max="13583" width="11.375" style="1037" hidden="1" customWidth="1"/>
    <col min="13584" max="13584" width="0.75" style="1037" hidden="1" customWidth="1"/>
    <col min="13585" max="13585" width="3.875" style="1037" hidden="1" customWidth="1"/>
    <col min="13586" max="13785" width="0" style="1037" hidden="1" customWidth="1"/>
    <col min="13786" max="13824" width="0" style="1037" hidden="1"/>
    <col min="13825" max="13825" width="0.75" style="1037" hidden="1" customWidth="1"/>
    <col min="13826" max="13826" width="2.125" style="1037" hidden="1" customWidth="1"/>
    <col min="13827" max="13827" width="13.375" style="1037" hidden="1" customWidth="1"/>
    <col min="13828" max="13828" width="5.375" style="1037" hidden="1" customWidth="1"/>
    <col min="13829" max="13829" width="9.75" style="1037" hidden="1" customWidth="1"/>
    <col min="13830" max="13830" width="6.25" style="1037" hidden="1" customWidth="1"/>
    <col min="13831" max="13831" width="6.5" style="1037" hidden="1" customWidth="1"/>
    <col min="13832" max="13832" width="12.875" style="1037" hidden="1" customWidth="1"/>
    <col min="13833" max="13833" width="7.125" style="1037" hidden="1" customWidth="1"/>
    <col min="13834" max="13834" width="12.125" style="1037" hidden="1" customWidth="1"/>
    <col min="13835" max="13835" width="11.875" style="1037" hidden="1" customWidth="1"/>
    <col min="13836" max="13836" width="10.75" style="1037" hidden="1" customWidth="1"/>
    <col min="13837" max="13837" width="11.875" style="1037" hidden="1" customWidth="1"/>
    <col min="13838" max="13839" width="11.375" style="1037" hidden="1" customWidth="1"/>
    <col min="13840" max="13840" width="0.75" style="1037" hidden="1" customWidth="1"/>
    <col min="13841" max="13841" width="3.875" style="1037" hidden="1" customWidth="1"/>
    <col min="13842" max="14041" width="0" style="1037" hidden="1" customWidth="1"/>
    <col min="14042" max="14080" width="0" style="1037" hidden="1"/>
    <col min="14081" max="14081" width="0.75" style="1037" hidden="1" customWidth="1"/>
    <col min="14082" max="14082" width="2.125" style="1037" hidden="1" customWidth="1"/>
    <col min="14083" max="14083" width="13.375" style="1037" hidden="1" customWidth="1"/>
    <col min="14084" max="14084" width="5.375" style="1037" hidden="1" customWidth="1"/>
    <col min="14085" max="14085" width="9.75" style="1037" hidden="1" customWidth="1"/>
    <col min="14086" max="14086" width="6.25" style="1037" hidden="1" customWidth="1"/>
    <col min="14087" max="14087" width="6.5" style="1037" hidden="1" customWidth="1"/>
    <col min="14088" max="14088" width="12.875" style="1037" hidden="1" customWidth="1"/>
    <col min="14089" max="14089" width="7.125" style="1037" hidden="1" customWidth="1"/>
    <col min="14090" max="14090" width="12.125" style="1037" hidden="1" customWidth="1"/>
    <col min="14091" max="14091" width="11.875" style="1037" hidden="1" customWidth="1"/>
    <col min="14092" max="14092" width="10.75" style="1037" hidden="1" customWidth="1"/>
    <col min="14093" max="14093" width="11.875" style="1037" hidden="1" customWidth="1"/>
    <col min="14094" max="14095" width="11.375" style="1037" hidden="1" customWidth="1"/>
    <col min="14096" max="14096" width="0.75" style="1037" hidden="1" customWidth="1"/>
    <col min="14097" max="14097" width="3.875" style="1037" hidden="1" customWidth="1"/>
    <col min="14098" max="14297" width="0" style="1037" hidden="1" customWidth="1"/>
    <col min="14298" max="14336" width="0" style="1037" hidden="1"/>
    <col min="14337" max="14337" width="0.75" style="1037" hidden="1" customWidth="1"/>
    <col min="14338" max="14338" width="2.125" style="1037" hidden="1" customWidth="1"/>
    <col min="14339" max="14339" width="13.375" style="1037" hidden="1" customWidth="1"/>
    <col min="14340" max="14340" width="5.375" style="1037" hidden="1" customWidth="1"/>
    <col min="14341" max="14341" width="9.75" style="1037" hidden="1" customWidth="1"/>
    <col min="14342" max="14342" width="6.25" style="1037" hidden="1" customWidth="1"/>
    <col min="14343" max="14343" width="6.5" style="1037" hidden="1" customWidth="1"/>
    <col min="14344" max="14344" width="12.875" style="1037" hidden="1" customWidth="1"/>
    <col min="14345" max="14345" width="7.125" style="1037" hidden="1" customWidth="1"/>
    <col min="14346" max="14346" width="12.125" style="1037" hidden="1" customWidth="1"/>
    <col min="14347" max="14347" width="11.875" style="1037" hidden="1" customWidth="1"/>
    <col min="14348" max="14348" width="10.75" style="1037" hidden="1" customWidth="1"/>
    <col min="14349" max="14349" width="11.875" style="1037" hidden="1" customWidth="1"/>
    <col min="14350" max="14351" width="11.375" style="1037" hidden="1" customWidth="1"/>
    <col min="14352" max="14352" width="0.75" style="1037" hidden="1" customWidth="1"/>
    <col min="14353" max="14353" width="3.875" style="1037" hidden="1" customWidth="1"/>
    <col min="14354" max="14553" width="0" style="1037" hidden="1" customWidth="1"/>
    <col min="14554" max="14592" width="0" style="1037" hidden="1"/>
    <col min="14593" max="14593" width="0.75" style="1037" hidden="1" customWidth="1"/>
    <col min="14594" max="14594" width="2.125" style="1037" hidden="1" customWidth="1"/>
    <col min="14595" max="14595" width="13.375" style="1037" hidden="1" customWidth="1"/>
    <col min="14596" max="14596" width="5.375" style="1037" hidden="1" customWidth="1"/>
    <col min="14597" max="14597" width="9.75" style="1037" hidden="1" customWidth="1"/>
    <col min="14598" max="14598" width="6.25" style="1037" hidden="1" customWidth="1"/>
    <col min="14599" max="14599" width="6.5" style="1037" hidden="1" customWidth="1"/>
    <col min="14600" max="14600" width="12.875" style="1037" hidden="1" customWidth="1"/>
    <col min="14601" max="14601" width="7.125" style="1037" hidden="1" customWidth="1"/>
    <col min="14602" max="14602" width="12.125" style="1037" hidden="1" customWidth="1"/>
    <col min="14603" max="14603" width="11.875" style="1037" hidden="1" customWidth="1"/>
    <col min="14604" max="14604" width="10.75" style="1037" hidden="1" customWidth="1"/>
    <col min="14605" max="14605" width="11.875" style="1037" hidden="1" customWidth="1"/>
    <col min="14606" max="14607" width="11.375" style="1037" hidden="1" customWidth="1"/>
    <col min="14608" max="14608" width="0.75" style="1037" hidden="1" customWidth="1"/>
    <col min="14609" max="14609" width="3.875" style="1037" hidden="1" customWidth="1"/>
    <col min="14610" max="14809" width="0" style="1037" hidden="1" customWidth="1"/>
    <col min="14810" max="14848" width="0" style="1037" hidden="1"/>
    <col min="14849" max="14849" width="0.75" style="1037" hidden="1" customWidth="1"/>
    <col min="14850" max="14850" width="2.125" style="1037" hidden="1" customWidth="1"/>
    <col min="14851" max="14851" width="13.375" style="1037" hidden="1" customWidth="1"/>
    <col min="14852" max="14852" width="5.375" style="1037" hidden="1" customWidth="1"/>
    <col min="14853" max="14853" width="9.75" style="1037" hidden="1" customWidth="1"/>
    <col min="14854" max="14854" width="6.25" style="1037" hidden="1" customWidth="1"/>
    <col min="14855" max="14855" width="6.5" style="1037" hidden="1" customWidth="1"/>
    <col min="14856" max="14856" width="12.875" style="1037" hidden="1" customWidth="1"/>
    <col min="14857" max="14857" width="7.125" style="1037" hidden="1" customWidth="1"/>
    <col min="14858" max="14858" width="12.125" style="1037" hidden="1" customWidth="1"/>
    <col min="14859" max="14859" width="11.875" style="1037" hidden="1" customWidth="1"/>
    <col min="14860" max="14860" width="10.75" style="1037" hidden="1" customWidth="1"/>
    <col min="14861" max="14861" width="11.875" style="1037" hidden="1" customWidth="1"/>
    <col min="14862" max="14863" width="11.375" style="1037" hidden="1" customWidth="1"/>
    <col min="14864" max="14864" width="0.75" style="1037" hidden="1" customWidth="1"/>
    <col min="14865" max="14865" width="3.875" style="1037" hidden="1" customWidth="1"/>
    <col min="14866" max="15065" width="0" style="1037" hidden="1" customWidth="1"/>
    <col min="15066" max="15104" width="0" style="1037" hidden="1"/>
    <col min="15105" max="15105" width="0.75" style="1037" hidden="1" customWidth="1"/>
    <col min="15106" max="15106" width="2.125" style="1037" hidden="1" customWidth="1"/>
    <col min="15107" max="15107" width="13.375" style="1037" hidden="1" customWidth="1"/>
    <col min="15108" max="15108" width="5.375" style="1037" hidden="1" customWidth="1"/>
    <col min="15109" max="15109" width="9.75" style="1037" hidden="1" customWidth="1"/>
    <col min="15110" max="15110" width="6.25" style="1037" hidden="1" customWidth="1"/>
    <col min="15111" max="15111" width="6.5" style="1037" hidden="1" customWidth="1"/>
    <col min="15112" max="15112" width="12.875" style="1037" hidden="1" customWidth="1"/>
    <col min="15113" max="15113" width="7.125" style="1037" hidden="1" customWidth="1"/>
    <col min="15114" max="15114" width="12.125" style="1037" hidden="1" customWidth="1"/>
    <col min="15115" max="15115" width="11.875" style="1037" hidden="1" customWidth="1"/>
    <col min="15116" max="15116" width="10.75" style="1037" hidden="1" customWidth="1"/>
    <col min="15117" max="15117" width="11.875" style="1037" hidden="1" customWidth="1"/>
    <col min="15118" max="15119" width="11.375" style="1037" hidden="1" customWidth="1"/>
    <col min="15120" max="15120" width="0.75" style="1037" hidden="1" customWidth="1"/>
    <col min="15121" max="15121" width="3.875" style="1037" hidden="1" customWidth="1"/>
    <col min="15122" max="15321" width="0" style="1037" hidden="1" customWidth="1"/>
    <col min="15322" max="15360" width="0" style="1037" hidden="1"/>
    <col min="15361" max="15361" width="0.75" style="1037" hidden="1" customWidth="1"/>
    <col min="15362" max="15362" width="2.125" style="1037" hidden="1" customWidth="1"/>
    <col min="15363" max="15363" width="13.375" style="1037" hidden="1" customWidth="1"/>
    <col min="15364" max="15364" width="5.375" style="1037" hidden="1" customWidth="1"/>
    <col min="15365" max="15365" width="9.75" style="1037" hidden="1" customWidth="1"/>
    <col min="15366" max="15366" width="6.25" style="1037" hidden="1" customWidth="1"/>
    <col min="15367" max="15367" width="6.5" style="1037" hidden="1" customWidth="1"/>
    <col min="15368" max="15368" width="12.875" style="1037" hidden="1" customWidth="1"/>
    <col min="15369" max="15369" width="7.125" style="1037" hidden="1" customWidth="1"/>
    <col min="15370" max="15370" width="12.125" style="1037" hidden="1" customWidth="1"/>
    <col min="15371" max="15371" width="11.875" style="1037" hidden="1" customWidth="1"/>
    <col min="15372" max="15372" width="10.75" style="1037" hidden="1" customWidth="1"/>
    <col min="15373" max="15373" width="11.875" style="1037" hidden="1" customWidth="1"/>
    <col min="15374" max="15375" width="11.375" style="1037" hidden="1" customWidth="1"/>
    <col min="15376" max="15376" width="0.75" style="1037" hidden="1" customWidth="1"/>
    <col min="15377" max="15377" width="3.875" style="1037" hidden="1" customWidth="1"/>
    <col min="15378" max="15577" width="0" style="1037" hidden="1" customWidth="1"/>
    <col min="15578" max="15616" width="0" style="1037" hidden="1"/>
    <col min="15617" max="15617" width="0.75" style="1037" hidden="1" customWidth="1"/>
    <col min="15618" max="15618" width="2.125" style="1037" hidden="1" customWidth="1"/>
    <col min="15619" max="15619" width="13.375" style="1037" hidden="1" customWidth="1"/>
    <col min="15620" max="15620" width="5.375" style="1037" hidden="1" customWidth="1"/>
    <col min="15621" max="15621" width="9.75" style="1037" hidden="1" customWidth="1"/>
    <col min="15622" max="15622" width="6.25" style="1037" hidden="1" customWidth="1"/>
    <col min="15623" max="15623" width="6.5" style="1037" hidden="1" customWidth="1"/>
    <col min="15624" max="15624" width="12.875" style="1037" hidden="1" customWidth="1"/>
    <col min="15625" max="15625" width="7.125" style="1037" hidden="1" customWidth="1"/>
    <col min="15626" max="15626" width="12.125" style="1037" hidden="1" customWidth="1"/>
    <col min="15627" max="15627" width="11.875" style="1037" hidden="1" customWidth="1"/>
    <col min="15628" max="15628" width="10.75" style="1037" hidden="1" customWidth="1"/>
    <col min="15629" max="15629" width="11.875" style="1037" hidden="1" customWidth="1"/>
    <col min="15630" max="15631" width="11.375" style="1037" hidden="1" customWidth="1"/>
    <col min="15632" max="15632" width="0.75" style="1037" hidden="1" customWidth="1"/>
    <col min="15633" max="15633" width="3.875" style="1037" hidden="1" customWidth="1"/>
    <col min="15634" max="15833" width="0" style="1037" hidden="1" customWidth="1"/>
    <col min="15834" max="15872" width="0" style="1037" hidden="1"/>
    <col min="15873" max="15873" width="0.75" style="1037" hidden="1" customWidth="1"/>
    <col min="15874" max="15874" width="2.125" style="1037" hidden="1" customWidth="1"/>
    <col min="15875" max="15875" width="13.375" style="1037" hidden="1" customWidth="1"/>
    <col min="15876" max="15876" width="5.375" style="1037" hidden="1" customWidth="1"/>
    <col min="15877" max="15877" width="9.75" style="1037" hidden="1" customWidth="1"/>
    <col min="15878" max="15878" width="6.25" style="1037" hidden="1" customWidth="1"/>
    <col min="15879" max="15879" width="6.5" style="1037" hidden="1" customWidth="1"/>
    <col min="15880" max="15880" width="12.875" style="1037" hidden="1" customWidth="1"/>
    <col min="15881" max="15881" width="7.125" style="1037" hidden="1" customWidth="1"/>
    <col min="15882" max="15882" width="12.125" style="1037" hidden="1" customWidth="1"/>
    <col min="15883" max="15883" width="11.875" style="1037" hidden="1" customWidth="1"/>
    <col min="15884" max="15884" width="10.75" style="1037" hidden="1" customWidth="1"/>
    <col min="15885" max="15885" width="11.875" style="1037" hidden="1" customWidth="1"/>
    <col min="15886" max="15887" width="11.375" style="1037" hidden="1" customWidth="1"/>
    <col min="15888" max="15888" width="0.75" style="1037" hidden="1" customWidth="1"/>
    <col min="15889" max="15889" width="3.875" style="1037" hidden="1" customWidth="1"/>
    <col min="15890" max="16089" width="0" style="1037" hidden="1" customWidth="1"/>
    <col min="16090" max="16128" width="0" style="1037" hidden="1"/>
    <col min="16129" max="16129" width="0.75" style="1037" hidden="1" customWidth="1"/>
    <col min="16130" max="16130" width="2.125" style="1037" hidden="1" customWidth="1"/>
    <col min="16131" max="16131" width="13.375" style="1037" hidden="1" customWidth="1"/>
    <col min="16132" max="16132" width="5.375" style="1037" hidden="1" customWidth="1"/>
    <col min="16133" max="16133" width="9.75" style="1037" hidden="1" customWidth="1"/>
    <col min="16134" max="16134" width="6.25" style="1037" hidden="1" customWidth="1"/>
    <col min="16135" max="16135" width="6.5" style="1037" hidden="1" customWidth="1"/>
    <col min="16136" max="16136" width="12.875" style="1037" hidden="1" customWidth="1"/>
    <col min="16137" max="16137" width="7.125" style="1037" hidden="1" customWidth="1"/>
    <col min="16138" max="16138" width="12.125" style="1037" hidden="1" customWidth="1"/>
    <col min="16139" max="16139" width="11.875" style="1037" hidden="1" customWidth="1"/>
    <col min="16140" max="16140" width="10.75" style="1037" hidden="1" customWidth="1"/>
    <col min="16141" max="16141" width="11.875" style="1037" hidden="1" customWidth="1"/>
    <col min="16142" max="16143" width="11.375" style="1037" hidden="1" customWidth="1"/>
    <col min="16144" max="16144" width="0.75" style="1037" hidden="1" customWidth="1"/>
    <col min="16145" max="16145" width="3.875" style="1037" hidden="1" customWidth="1"/>
    <col min="16146" max="16345" width="0" style="1037" hidden="1" customWidth="1"/>
    <col min="16346" max="16384" width="0" style="1037" hidden="1"/>
  </cols>
  <sheetData>
    <row r="1" spans="1:17" s="686" customFormat="1" ht="6" customHeight="1">
      <c r="A1" s="678"/>
      <c r="B1" s="679"/>
      <c r="C1" s="680"/>
      <c r="D1" s="681"/>
      <c r="E1" s="682"/>
      <c r="F1" s="683"/>
      <c r="G1" s="683"/>
      <c r="H1" s="683"/>
      <c r="I1" s="684"/>
      <c r="J1" s="684"/>
      <c r="K1" s="683"/>
      <c r="L1" s="685"/>
      <c r="M1" s="682"/>
      <c r="N1" s="682"/>
      <c r="O1" s="678"/>
      <c r="P1" s="678"/>
      <c r="Q1" s="678"/>
    </row>
    <row r="2" spans="1:17" s="697" customFormat="1" ht="18" customHeight="1">
      <c r="A2" s="688"/>
      <c r="B2" s="689"/>
      <c r="C2" s="690"/>
      <c r="D2" s="691"/>
      <c r="E2" s="692"/>
      <c r="F2" s="693"/>
      <c r="G2" s="693"/>
      <c r="H2" s="693"/>
      <c r="I2" s="694"/>
      <c r="J2" s="695"/>
      <c r="K2" s="695"/>
      <c r="L2" s="695"/>
      <c r="M2" s="695"/>
      <c r="N2" s="693"/>
      <c r="O2" s="529"/>
      <c r="P2" s="688"/>
      <c r="Q2" s="2744"/>
    </row>
    <row r="3" spans="1:17" s="697" customFormat="1" ht="18" customHeight="1">
      <c r="A3" s="688"/>
      <c r="B3" s="689"/>
      <c r="C3" s="690"/>
      <c r="D3" s="691"/>
      <c r="E3" s="692"/>
      <c r="F3" s="693"/>
      <c r="G3" s="693"/>
      <c r="H3" s="693"/>
      <c r="I3" s="694"/>
      <c r="J3" s="695"/>
      <c r="K3" s="695"/>
      <c r="L3" s="695"/>
      <c r="M3" s="695"/>
      <c r="N3" s="693"/>
      <c r="O3" s="528"/>
      <c r="P3" s="688"/>
      <c r="Q3" s="2744"/>
    </row>
    <row r="4" spans="1:17" s="697" customFormat="1" ht="18" customHeight="1">
      <c r="A4" s="688"/>
      <c r="B4" s="689"/>
      <c r="C4" s="690"/>
      <c r="D4" s="691"/>
      <c r="E4" s="692"/>
      <c r="F4" s="693"/>
      <c r="G4" s="693"/>
      <c r="H4" s="693"/>
      <c r="I4" s="698"/>
      <c r="J4" s="695"/>
      <c r="K4" s="695"/>
      <c r="L4" s="695"/>
      <c r="M4" s="695"/>
      <c r="N4" s="693"/>
      <c r="O4" s="529"/>
      <c r="P4" s="688"/>
      <c r="Q4" s="2744"/>
    </row>
    <row r="5" spans="1:17" s="697" customFormat="1" ht="13.5" customHeight="1">
      <c r="A5" s="688"/>
      <c r="B5" s="699"/>
      <c r="C5" s="700"/>
      <c r="D5" s="691"/>
      <c r="E5" s="692"/>
      <c r="F5" s="693"/>
      <c r="G5" s="693"/>
      <c r="H5" s="693"/>
      <c r="I5" s="701"/>
      <c r="J5" s="702"/>
      <c r="K5" s="2745"/>
      <c r="L5" s="2746"/>
      <c r="M5" s="702"/>
      <c r="N5" s="2745"/>
      <c r="O5" s="2747"/>
      <c r="P5" s="688"/>
      <c r="Q5" s="2744"/>
    </row>
    <row r="6" spans="1:17" s="697" customFormat="1" ht="6" customHeight="1" thickBot="1">
      <c r="A6" s="688"/>
      <c r="B6" s="703"/>
      <c r="C6" s="704"/>
      <c r="D6" s="705"/>
      <c r="E6" s="706"/>
      <c r="F6" s="707"/>
      <c r="G6" s="707"/>
      <c r="H6" s="707"/>
      <c r="I6" s="708"/>
      <c r="J6" s="709"/>
      <c r="K6" s="709"/>
      <c r="L6" s="710"/>
      <c r="M6" s="706"/>
      <c r="N6" s="706"/>
      <c r="O6" s="706"/>
      <c r="P6" s="688"/>
      <c r="Q6" s="688"/>
    </row>
    <row r="7" spans="1:17" s="697" customFormat="1" ht="18" customHeight="1" thickBot="1">
      <c r="A7" s="688"/>
      <c r="B7" s="711" t="s">
        <v>985</v>
      </c>
      <c r="C7" s="712"/>
      <c r="D7" s="713"/>
      <c r="E7" s="712"/>
      <c r="F7" s="712"/>
      <c r="G7" s="712"/>
      <c r="H7" s="714"/>
      <c r="I7" s="715"/>
      <c r="J7" s="715"/>
      <c r="K7" s="1082"/>
      <c r="L7" s="1083" t="s">
        <v>986</v>
      </c>
      <c r="M7" s="712"/>
      <c r="N7" s="712"/>
      <c r="O7" s="717"/>
      <c r="P7" s="688"/>
      <c r="Q7" s="688"/>
    </row>
    <row r="8" spans="1:17" s="697" customFormat="1" ht="18" customHeight="1">
      <c r="A8" s="688"/>
      <c r="B8" s="1084" t="s">
        <v>989</v>
      </c>
      <c r="C8" s="1085"/>
      <c r="D8" s="1086" t="str">
        <f>メイン!C11</f>
        <v>旧ビル</v>
      </c>
      <c r="E8" s="1085"/>
      <c r="F8" s="1085"/>
      <c r="G8" s="1087"/>
      <c r="H8" s="723" t="s">
        <v>990</v>
      </c>
      <c r="I8" s="724"/>
      <c r="J8" s="725" t="str">
        <f>メイン!C22</f>
        <v>地上12F</v>
      </c>
      <c r="K8" s="726"/>
      <c r="L8" s="1088"/>
      <c r="M8" s="728"/>
      <c r="N8" s="728"/>
      <c r="O8" s="729"/>
      <c r="P8" s="688"/>
      <c r="Q8" s="688"/>
    </row>
    <row r="9" spans="1:17" s="697" customFormat="1" ht="18" customHeight="1">
      <c r="A9" s="688"/>
      <c r="B9" s="735" t="s">
        <v>992</v>
      </c>
      <c r="C9" s="736"/>
      <c r="D9" s="737" t="str">
        <f>メイン!H12</f>
        <v>○○県○○市</v>
      </c>
      <c r="E9" s="736"/>
      <c r="F9" s="738"/>
      <c r="H9" s="739" t="s">
        <v>993</v>
      </c>
      <c r="I9" s="740"/>
      <c r="J9" s="741" t="str">
        <f>メイン!C23</f>
        <v>S造</v>
      </c>
      <c r="K9" s="742"/>
      <c r="L9" s="743"/>
      <c r="O9" s="744"/>
      <c r="P9" s="688"/>
      <c r="Q9" s="688"/>
    </row>
    <row r="10" spans="1:17" s="697" customFormat="1" ht="18" customHeight="1">
      <c r="A10" s="688"/>
      <c r="B10" s="735" t="s">
        <v>994</v>
      </c>
      <c r="C10" s="747"/>
      <c r="D10" s="737" t="str">
        <f>メイン!C14</f>
        <v>商業地域、防火地域</v>
      </c>
      <c r="E10" s="747"/>
      <c r="F10" s="747"/>
      <c r="H10" s="723" t="s">
        <v>995</v>
      </c>
      <c r="I10" s="724"/>
      <c r="J10" s="748" t="str">
        <f>メイン!C24</f>
        <v>○○</v>
      </c>
      <c r="K10" s="738" t="s">
        <v>996</v>
      </c>
      <c r="L10" s="749"/>
      <c r="N10" s="750"/>
      <c r="O10" s="751"/>
      <c r="P10" s="688"/>
      <c r="Q10" s="688"/>
    </row>
    <row r="11" spans="1:17" s="697" customFormat="1" ht="18" customHeight="1">
      <c r="A11" s="688"/>
      <c r="B11" s="754" t="s">
        <v>441</v>
      </c>
      <c r="C11" s="720"/>
      <c r="D11" s="755" t="str">
        <f>IF(メイン!H13="","",メイン!H13)</f>
        <v/>
      </c>
      <c r="E11" s="720"/>
      <c r="F11" s="756"/>
      <c r="G11" s="722"/>
      <c r="H11" s="739" t="s">
        <v>1000</v>
      </c>
      <c r="I11" s="740"/>
      <c r="J11" s="757" t="str">
        <f>メイン!C25</f>
        <v>○○</v>
      </c>
      <c r="K11" s="758" t="s">
        <v>1001</v>
      </c>
      <c r="L11" s="749"/>
      <c r="M11" s="759" t="s">
        <v>1002</v>
      </c>
      <c r="N11" s="750"/>
      <c r="O11" s="751"/>
      <c r="P11" s="688"/>
      <c r="Q11" s="688"/>
    </row>
    <row r="12" spans="1:17" s="697" customFormat="1" ht="18" customHeight="1">
      <c r="A12" s="688"/>
      <c r="B12" s="761" t="s">
        <v>1005</v>
      </c>
      <c r="C12" s="762"/>
      <c r="D12" s="763" t="str">
        <f>メイン!C21</f>
        <v>事務所,</v>
      </c>
      <c r="E12" s="762"/>
      <c r="F12" s="762"/>
      <c r="G12" s="764"/>
      <c r="H12" s="723" t="s">
        <v>1017</v>
      </c>
      <c r="I12" s="780"/>
      <c r="J12" s="792">
        <f>メイン!C39</f>
        <v>41821</v>
      </c>
      <c r="K12" s="782"/>
      <c r="L12" s="749"/>
      <c r="M12" s="769" t="s">
        <v>1851</v>
      </c>
      <c r="N12" s="750"/>
      <c r="O12" s="751"/>
      <c r="P12" s="688"/>
      <c r="Q12" s="688"/>
    </row>
    <row r="13" spans="1:17" s="697" customFormat="1" ht="18" customHeight="1">
      <c r="A13" s="688"/>
      <c r="B13" s="770" t="s">
        <v>1016</v>
      </c>
      <c r="C13" s="806"/>
      <c r="D13" s="2748">
        <f>メイン!C15</f>
        <v>21976</v>
      </c>
      <c r="E13" s="2771"/>
      <c r="F13" s="772"/>
      <c r="G13" s="773"/>
      <c r="H13" s="723" t="s">
        <v>1022</v>
      </c>
      <c r="I13" s="780"/>
      <c r="J13" s="788" t="str">
        <f>メイン!C40</f>
        <v>○○○</v>
      </c>
      <c r="K13" s="789"/>
      <c r="L13" s="749"/>
      <c r="M13" s="769" t="s">
        <v>1852</v>
      </c>
      <c r="O13" s="751"/>
      <c r="P13" s="688"/>
      <c r="Q13" s="688"/>
    </row>
    <row r="14" spans="1:17" s="697" customFormat="1" ht="18" customHeight="1">
      <c r="A14" s="688"/>
      <c r="B14" s="774" t="s">
        <v>52</v>
      </c>
      <c r="C14" s="801"/>
      <c r="D14" s="1089" t="str">
        <f>メイン!C26</f>
        <v>○○</v>
      </c>
      <c r="E14" s="756" t="s">
        <v>1007</v>
      </c>
      <c r="F14" s="801"/>
      <c r="G14" s="722"/>
      <c r="H14" s="723" t="s">
        <v>1026</v>
      </c>
      <c r="J14" s="792">
        <f>メイン!C41</f>
        <v>41822</v>
      </c>
      <c r="L14" s="749"/>
      <c r="O14" s="751"/>
      <c r="P14" s="688"/>
      <c r="Q14" s="688"/>
    </row>
    <row r="15" spans="1:17" s="697" customFormat="1" ht="18" customHeight="1">
      <c r="A15" s="688"/>
      <c r="B15" s="723" t="s">
        <v>1020</v>
      </c>
      <c r="C15" s="784"/>
      <c r="D15" s="785"/>
      <c r="E15" s="786">
        <f>メイン!H17</f>
        <v>2000</v>
      </c>
      <c r="F15" s="787" t="s">
        <v>1863</v>
      </c>
      <c r="H15" s="739" t="s">
        <v>1029</v>
      </c>
      <c r="I15" s="801"/>
      <c r="J15" s="802" t="str">
        <f>メイン!C42</f>
        <v>○○○</v>
      </c>
      <c r="K15" s="801"/>
      <c r="L15" s="749"/>
      <c r="M15" s="750"/>
      <c r="N15" s="750"/>
      <c r="O15" s="751"/>
      <c r="P15" s="688"/>
      <c r="Q15" s="688"/>
    </row>
    <row r="16" spans="1:17" s="697" customFormat="1" ht="18" customHeight="1">
      <c r="A16" s="688"/>
      <c r="B16" s="723" t="s">
        <v>1024</v>
      </c>
      <c r="C16" s="784"/>
      <c r="D16" s="785"/>
      <c r="E16" s="786">
        <f>メイン!C18</f>
        <v>1400</v>
      </c>
      <c r="F16" s="787" t="s">
        <v>1021</v>
      </c>
      <c r="H16" s="765" t="s">
        <v>1033</v>
      </c>
      <c r="I16" s="806"/>
      <c r="J16" s="2754" t="str">
        <f>IF(メイン!C27=0,"",メイン!C27)</f>
        <v>○○○</v>
      </c>
      <c r="K16" s="2755"/>
      <c r="L16" s="749"/>
      <c r="M16" s="750"/>
      <c r="N16" s="750"/>
      <c r="O16" s="751"/>
      <c r="P16" s="688"/>
      <c r="Q16" s="688"/>
    </row>
    <row r="17" spans="1:17" s="697" customFormat="1" ht="18" customHeight="1" thickBot="1">
      <c r="A17" s="688"/>
      <c r="B17" s="1090" t="s">
        <v>1028</v>
      </c>
      <c r="C17" s="1091"/>
      <c r="D17" s="1092"/>
      <c r="E17" s="1093">
        <f>メイン!C19</f>
        <v>10000</v>
      </c>
      <c r="F17" s="1094" t="s">
        <v>1021</v>
      </c>
      <c r="G17" s="1095"/>
      <c r="H17" s="743"/>
      <c r="J17" s="2757"/>
      <c r="K17" s="2758"/>
      <c r="L17" s="1096"/>
      <c r="M17" s="1097"/>
      <c r="N17" s="1098"/>
      <c r="O17" s="1099"/>
      <c r="P17" s="688"/>
      <c r="Q17" s="688"/>
    </row>
    <row r="18" spans="1:17" s="697" customFormat="1" ht="18" hidden="1" customHeight="1">
      <c r="A18" s="688"/>
      <c r="B18" s="743"/>
      <c r="D18" s="1100"/>
      <c r="E18" s="1101"/>
      <c r="F18" s="1101"/>
      <c r="G18" s="1102"/>
      <c r="I18"/>
      <c r="J18" s="2760"/>
      <c r="K18" s="2765"/>
      <c r="L18" s="1103"/>
      <c r="M18" s="1104"/>
      <c r="N18" s="1105"/>
      <c r="O18" s="1106"/>
      <c r="P18" s="688"/>
      <c r="Q18" s="688"/>
    </row>
    <row r="19" spans="1:17" s="697" customFormat="1" ht="18" hidden="1" customHeight="1">
      <c r="A19" s="688"/>
      <c r="B19" s="1107"/>
      <c r="C19" s="1108"/>
      <c r="D19" s="1109"/>
      <c r="E19" s="1101"/>
      <c r="F19" s="1101"/>
      <c r="G19" s="1102"/>
      <c r="H19"/>
      <c r="I19"/>
      <c r="J19"/>
      <c r="K19" s="1110"/>
      <c r="L19" s="1103"/>
      <c r="M19" s="1104"/>
      <c r="N19" s="1105"/>
      <c r="O19" s="1106"/>
      <c r="P19" s="688"/>
      <c r="Q19" s="688"/>
    </row>
    <row r="20" spans="1:17" s="697" customFormat="1" ht="18" hidden="1" customHeight="1" thickBot="1">
      <c r="A20" s="688"/>
      <c r="B20" s="1111"/>
      <c r="C20" s="1112"/>
      <c r="D20" s="1113"/>
      <c r="E20" s="1114"/>
      <c r="F20" s="1114"/>
      <c r="G20" s="1115"/>
      <c r="H20"/>
      <c r="I20"/>
      <c r="J20"/>
      <c r="K20" s="1116"/>
      <c r="L20" s="1117"/>
      <c r="M20" s="1118"/>
      <c r="N20" s="1098"/>
      <c r="O20" s="1099"/>
      <c r="P20" s="688"/>
      <c r="Q20" s="688"/>
    </row>
    <row r="21" spans="1:17" s="697" customFormat="1" ht="8.25" customHeight="1">
      <c r="A21" s="688"/>
      <c r="B21" s="819"/>
      <c r="C21" s="820"/>
      <c r="D21" s="819"/>
      <c r="E21" s="821"/>
      <c r="F21" s="821"/>
      <c r="G21" s="821"/>
      <c r="H21" s="821"/>
      <c r="I21" s="822"/>
      <c r="J21" s="823"/>
      <c r="K21" s="824"/>
      <c r="L21" s="821"/>
      <c r="M21" s="821"/>
      <c r="N21" s="821"/>
      <c r="O21" s="821"/>
      <c r="P21" s="688"/>
      <c r="Q21" s="688"/>
    </row>
    <row r="22" spans="1:17" s="697" customFormat="1" ht="30" customHeight="1" thickBot="1">
      <c r="A22" s="688"/>
      <c r="B22" s="2508" t="s">
        <v>1853</v>
      </c>
      <c r="C22" s="2509"/>
      <c r="D22" s="2509"/>
      <c r="E22" s="2509"/>
      <c r="F22" s="2509"/>
      <c r="G22" s="2509"/>
      <c r="H22" s="2509"/>
      <c r="I22" s="2509"/>
      <c r="J22" s="2509"/>
      <c r="K22" s="2509"/>
      <c r="L22" s="2509"/>
      <c r="M22" s="2509"/>
      <c r="N22" s="2509"/>
      <c r="O22" s="2510"/>
      <c r="P22" s="688"/>
      <c r="Q22" s="688"/>
    </row>
    <row r="23" spans="1:17" s="697" customFormat="1" ht="21" customHeight="1">
      <c r="A23" s="688"/>
      <c r="B23" s="2511" t="s">
        <v>1862</v>
      </c>
      <c r="C23" s="2512"/>
      <c r="D23" s="2512"/>
      <c r="E23" s="2512"/>
      <c r="F23" s="2512"/>
      <c r="G23" s="2512"/>
      <c r="H23" s="2512"/>
      <c r="I23" s="2513"/>
      <c r="J23" s="2514"/>
      <c r="K23" s="2512"/>
      <c r="L23" s="2512"/>
      <c r="M23" s="2512"/>
      <c r="N23" s="2512"/>
      <c r="O23" s="2515"/>
    </row>
    <row r="24" spans="1:17" s="697" customFormat="1" ht="12" customHeight="1">
      <c r="A24" s="688"/>
      <c r="B24" s="2516"/>
      <c r="C24" s="2517"/>
      <c r="D24" s="2517"/>
      <c r="E24" s="2517"/>
      <c r="F24" s="2517"/>
      <c r="G24" s="2517"/>
      <c r="H24" s="2517"/>
      <c r="I24" s="2518"/>
      <c r="J24" s="2516"/>
      <c r="K24" s="2517"/>
      <c r="L24" s="2517"/>
      <c r="M24" s="2517"/>
      <c r="N24" s="2517"/>
      <c r="O24" s="2518"/>
      <c r="P24" s="743"/>
    </row>
    <row r="25" spans="1:17" s="697" customFormat="1" ht="51" customHeight="1">
      <c r="A25" s="688"/>
      <c r="B25" s="2516"/>
      <c r="C25" s="2517"/>
      <c r="D25" s="2517"/>
      <c r="E25" s="2517"/>
      <c r="F25" s="2517"/>
      <c r="G25" s="2517"/>
      <c r="H25" s="2517"/>
      <c r="I25" s="2518"/>
      <c r="J25" s="2516"/>
      <c r="K25" s="2519">
        <f>'結果(改修前)'!S13</f>
        <v>1</v>
      </c>
      <c r="L25" s="2517"/>
      <c r="M25" s="2517"/>
      <c r="N25" s="2517"/>
      <c r="O25" s="2518"/>
      <c r="P25" s="743"/>
    </row>
    <row r="26" spans="1:17" s="697" customFormat="1" ht="18" customHeight="1">
      <c r="A26" s="688"/>
      <c r="B26" s="2516"/>
      <c r="C26" s="2517"/>
      <c r="D26" s="2517"/>
      <c r="E26" s="2517"/>
      <c r="F26" s="2517"/>
      <c r="G26" s="2517"/>
      <c r="H26" s="2517"/>
      <c r="I26" s="2518"/>
      <c r="J26" s="2516"/>
      <c r="K26" s="2517"/>
      <c r="L26" s="2517"/>
      <c r="M26" s="2517"/>
      <c r="N26" s="2517"/>
      <c r="O26" s="2518"/>
      <c r="P26" s="743"/>
    </row>
    <row r="27" spans="1:17" s="697" customFormat="1" ht="18" customHeight="1">
      <c r="A27" s="688"/>
      <c r="B27" s="2516"/>
      <c r="C27" s="2517"/>
      <c r="D27" s="2517"/>
      <c r="E27" s="2517"/>
      <c r="F27" s="2517"/>
      <c r="G27" s="2517"/>
      <c r="H27" s="2517"/>
      <c r="I27" s="2518"/>
      <c r="J27" s="2516"/>
      <c r="K27" s="2517"/>
      <c r="L27" s="2517"/>
      <c r="M27" s="2517"/>
      <c r="N27" s="2517"/>
      <c r="O27" s="2518"/>
      <c r="P27" s="743"/>
    </row>
    <row r="28" spans="1:17" s="697" customFormat="1" ht="18" customHeight="1">
      <c r="A28" s="688"/>
      <c r="B28" s="2516"/>
      <c r="C28" s="2517"/>
      <c r="D28" s="2517"/>
      <c r="E28" s="2517"/>
      <c r="F28" s="2517"/>
      <c r="G28" s="2517"/>
      <c r="H28" s="2517"/>
      <c r="I28" s="2518"/>
      <c r="J28" s="2516"/>
      <c r="K28" s="2517"/>
      <c r="L28" s="2517"/>
      <c r="M28" s="2517"/>
      <c r="N28" s="2517"/>
      <c r="O28" s="2518"/>
      <c r="P28" s="743"/>
    </row>
    <row r="29" spans="1:17" s="697" customFormat="1" ht="18" customHeight="1">
      <c r="A29" s="688"/>
      <c r="B29" s="2516"/>
      <c r="C29" s="2517"/>
      <c r="D29" s="2517"/>
      <c r="E29" s="2517"/>
      <c r="F29" s="2517"/>
      <c r="G29" s="2517"/>
      <c r="H29" s="2517"/>
      <c r="I29" s="2518"/>
      <c r="J29" s="2516"/>
      <c r="K29" s="2517"/>
      <c r="L29" s="2517"/>
      <c r="M29" s="2517"/>
      <c r="N29" s="2517"/>
      <c r="O29" s="2518"/>
      <c r="P29" s="743"/>
    </row>
    <row r="30" spans="1:17" s="697" customFormat="1" ht="18" customHeight="1">
      <c r="A30" s="688"/>
      <c r="B30" s="2516"/>
      <c r="C30" s="2517"/>
      <c r="D30" s="2517"/>
      <c r="E30" s="2517"/>
      <c r="F30" s="2517"/>
      <c r="G30" s="2517"/>
      <c r="H30" s="2517"/>
      <c r="I30" s="2518"/>
      <c r="J30" s="2516"/>
      <c r="K30" s="2517"/>
      <c r="L30" s="2517"/>
      <c r="M30" s="2517"/>
      <c r="N30" s="2517"/>
      <c r="O30" s="2518"/>
      <c r="P30" s="743"/>
    </row>
    <row r="31" spans="1:17" s="697" customFormat="1" ht="18" customHeight="1">
      <c r="A31" s="688"/>
      <c r="B31" s="2516"/>
      <c r="C31" s="2517"/>
      <c r="D31" s="2517"/>
      <c r="E31" s="2517"/>
      <c r="F31" s="2517"/>
      <c r="G31" s="2517"/>
      <c r="H31" s="2517"/>
      <c r="I31" s="2518"/>
      <c r="J31" s="2516"/>
      <c r="K31" s="2517"/>
      <c r="L31" s="2517"/>
      <c r="M31" s="2517"/>
      <c r="N31" s="2517"/>
      <c r="O31" s="2518"/>
      <c r="P31" s="743"/>
    </row>
    <row r="32" spans="1:17" s="697" customFormat="1" ht="18" customHeight="1">
      <c r="A32" s="688"/>
      <c r="B32" s="2516"/>
      <c r="C32" s="2517"/>
      <c r="D32" s="2517"/>
      <c r="E32" s="2517"/>
      <c r="F32" s="2517"/>
      <c r="G32" s="2517"/>
      <c r="H32" s="2517"/>
      <c r="I32" s="2518"/>
      <c r="J32" s="2516"/>
      <c r="K32" s="2517"/>
      <c r="L32" s="2517"/>
      <c r="M32" s="2517"/>
      <c r="N32" s="2517"/>
      <c r="O32" s="2518"/>
      <c r="P32" s="743"/>
    </row>
    <row r="33" spans="1:17" s="697" customFormat="1" ht="18" customHeight="1">
      <c r="A33" s="688"/>
      <c r="B33" s="2516"/>
      <c r="C33" s="2517"/>
      <c r="D33" s="2517"/>
      <c r="E33" s="2517"/>
      <c r="F33" s="2517"/>
      <c r="G33" s="2517"/>
      <c r="H33" s="2517"/>
      <c r="I33" s="2518"/>
      <c r="J33" s="2516"/>
      <c r="K33" s="2517"/>
      <c r="L33" s="2517"/>
      <c r="M33" s="2517"/>
      <c r="N33" s="2517"/>
      <c r="O33" s="2518"/>
      <c r="P33" s="743"/>
    </row>
    <row r="34" spans="1:17" s="697" customFormat="1" ht="18" customHeight="1">
      <c r="A34" s="688"/>
      <c r="B34" s="2516"/>
      <c r="C34" s="2517"/>
      <c r="D34" s="2517"/>
      <c r="E34" s="2517"/>
      <c r="F34" s="2517"/>
      <c r="G34" s="2517"/>
      <c r="H34" s="2517"/>
      <c r="I34" s="2518"/>
      <c r="J34" s="2516"/>
      <c r="K34" s="2517"/>
      <c r="L34" s="2517"/>
      <c r="M34" s="2517"/>
      <c r="N34" s="2517"/>
      <c r="O34" s="2518"/>
      <c r="P34" s="743"/>
    </row>
    <row r="35" spans="1:17" s="697" customFormat="1" ht="18" customHeight="1">
      <c r="A35" s="807"/>
      <c r="B35" s="2516"/>
      <c r="C35" s="2517"/>
      <c r="D35" s="2517"/>
      <c r="E35" s="2517"/>
      <c r="F35" s="2517"/>
      <c r="G35" s="2517"/>
      <c r="H35" s="2517"/>
      <c r="I35" s="2518"/>
      <c r="J35" s="2516"/>
      <c r="K35" s="2517"/>
      <c r="L35" s="2517"/>
      <c r="M35" s="2517"/>
      <c r="N35" s="2517"/>
      <c r="O35" s="2518"/>
      <c r="P35" s="743"/>
    </row>
    <row r="36" spans="1:17" s="697" customFormat="1" ht="18" customHeight="1">
      <c r="A36" s="807"/>
      <c r="B36" s="2516"/>
      <c r="C36" s="2517"/>
      <c r="D36" s="2517"/>
      <c r="E36" s="2517"/>
      <c r="F36" s="2517"/>
      <c r="G36" s="2517"/>
      <c r="H36" s="2517"/>
      <c r="I36" s="2518"/>
      <c r="J36" s="2516"/>
      <c r="K36" s="2517"/>
      <c r="L36" s="2517"/>
      <c r="M36" s="2517"/>
      <c r="N36" s="2517"/>
      <c r="O36" s="2518"/>
      <c r="P36" s="743"/>
    </row>
    <row r="37" spans="1:17" s="697" customFormat="1" ht="18" customHeight="1">
      <c r="A37" s="807"/>
      <c r="B37" s="2516"/>
      <c r="C37" s="2517"/>
      <c r="D37" s="2517"/>
      <c r="E37" s="2517"/>
      <c r="F37" s="2517"/>
      <c r="G37" s="2517"/>
      <c r="H37" s="2517"/>
      <c r="I37" s="2518"/>
      <c r="J37" s="2516"/>
      <c r="K37" s="2517"/>
      <c r="L37" s="2517"/>
      <c r="M37" s="2517"/>
      <c r="N37" s="2517"/>
      <c r="O37" s="2518"/>
      <c r="P37" s="743"/>
    </row>
    <row r="38" spans="1:17" s="697" customFormat="1" ht="18" customHeight="1">
      <c r="A38" s="807"/>
      <c r="B38" s="2516"/>
      <c r="C38" s="2517"/>
      <c r="D38" s="2517"/>
      <c r="E38" s="2517"/>
      <c r="F38" s="2517"/>
      <c r="G38" s="2517"/>
      <c r="H38" s="2517"/>
      <c r="I38" s="2518"/>
      <c r="J38" s="2516"/>
      <c r="K38" s="2517"/>
      <c r="L38" s="2517"/>
      <c r="M38" s="2517"/>
      <c r="N38" s="2517"/>
      <c r="O38" s="2518"/>
      <c r="P38" s="743"/>
    </row>
    <row r="39" spans="1:17" s="697" customFormat="1" ht="18" customHeight="1">
      <c r="A39" s="688"/>
      <c r="B39" s="2516"/>
      <c r="C39" s="2517"/>
      <c r="D39" s="2517"/>
      <c r="E39" s="2517"/>
      <c r="F39" s="2517"/>
      <c r="G39" s="2517"/>
      <c r="H39" s="2517"/>
      <c r="I39" s="2518"/>
      <c r="J39" s="2516"/>
      <c r="K39" s="2517"/>
      <c r="L39" s="2517"/>
      <c r="M39" s="2517"/>
      <c r="N39" s="2517"/>
      <c r="O39" s="2518"/>
      <c r="P39" s="2520"/>
      <c r="Q39" s="688"/>
    </row>
    <row r="40" spans="1:17" s="697" customFormat="1" ht="18" customHeight="1">
      <c r="A40" s="688"/>
      <c r="B40" s="2516"/>
      <c r="C40" s="2517"/>
      <c r="D40" s="2517"/>
      <c r="E40" s="2517"/>
      <c r="F40" s="2517"/>
      <c r="G40" s="2517"/>
      <c r="H40" s="2517"/>
      <c r="I40" s="2518"/>
      <c r="J40" s="2516"/>
      <c r="K40" s="2517"/>
      <c r="L40" s="2517"/>
      <c r="M40" s="2517"/>
      <c r="N40" s="2517"/>
      <c r="O40" s="2518"/>
      <c r="P40" s="2520"/>
      <c r="Q40" s="688"/>
    </row>
    <row r="41" spans="1:17" s="697" customFormat="1" ht="18" customHeight="1" thickBot="1">
      <c r="A41" s="688"/>
      <c r="B41" s="2516"/>
      <c r="C41" s="2517"/>
      <c r="D41" s="2517"/>
      <c r="E41" s="2517"/>
      <c r="F41" s="2517"/>
      <c r="G41" s="2517"/>
      <c r="H41" s="2517"/>
      <c r="I41" s="2518"/>
      <c r="J41" s="2516"/>
      <c r="K41" s="2517"/>
      <c r="L41" s="2517"/>
      <c r="M41" s="2517"/>
      <c r="N41" s="2517"/>
      <c r="O41" s="2518"/>
      <c r="P41" s="2520"/>
    </row>
    <row r="42" spans="1:17" s="697" customFormat="1" ht="21" customHeight="1">
      <c r="A42" s="688"/>
      <c r="B42" s="2511" t="s">
        <v>1854</v>
      </c>
      <c r="C42" s="2512"/>
      <c r="D42" s="2512"/>
      <c r="E42" s="2512"/>
      <c r="F42" s="2512"/>
      <c r="G42" s="2512"/>
      <c r="H42" s="2512"/>
      <c r="I42" s="2513"/>
      <c r="J42" s="2766" t="s">
        <v>218</v>
      </c>
      <c r="K42" s="2767"/>
      <c r="L42" s="2517"/>
      <c r="M42" s="2517"/>
      <c r="N42" s="2517"/>
      <c r="O42" s="2518"/>
      <c r="P42" s="2520"/>
      <c r="Q42" s="688"/>
    </row>
    <row r="43" spans="1:17" s="697" customFormat="1" ht="21" customHeight="1">
      <c r="A43" s="688"/>
      <c r="B43" s="2516"/>
      <c r="C43" s="2517"/>
      <c r="D43" s="2517"/>
      <c r="E43" s="2517"/>
      <c r="F43" s="2517"/>
      <c r="G43" s="2517"/>
      <c r="H43" s="2517"/>
      <c r="I43" s="2518"/>
      <c r="J43" s="2516"/>
      <c r="K43" s="2518"/>
      <c r="L43" s="2517"/>
      <c r="M43" s="2517"/>
      <c r="N43" s="2517"/>
      <c r="O43" s="2518"/>
      <c r="P43" s="2520"/>
      <c r="Q43" s="688"/>
    </row>
    <row r="44" spans="1:17" s="697" customFormat="1" ht="21" customHeight="1">
      <c r="A44" s="688"/>
      <c r="B44" s="2516"/>
      <c r="C44" s="2517"/>
      <c r="D44" s="2517"/>
      <c r="E44" s="2517"/>
      <c r="F44" s="2517"/>
      <c r="G44" s="2517"/>
      <c r="H44" s="2517"/>
      <c r="I44" s="2518"/>
      <c r="J44" s="2768">
        <f>'結果(改修前)'!T35</f>
        <v>0.90489220275528981</v>
      </c>
      <c r="K44" s="2769"/>
      <c r="L44" s="2517"/>
      <c r="M44" s="2517"/>
      <c r="N44" s="2517"/>
      <c r="O44" s="2518"/>
      <c r="P44" s="2520"/>
      <c r="Q44" s="688"/>
    </row>
    <row r="45" spans="1:17" s="697" customFormat="1" ht="21" customHeight="1" thickBot="1">
      <c r="A45" s="688"/>
      <c r="B45" s="2521"/>
      <c r="C45" s="2522"/>
      <c r="D45" s="2522"/>
      <c r="E45" s="2522"/>
      <c r="F45" s="2522"/>
      <c r="G45" s="2522"/>
      <c r="H45" s="2522"/>
      <c r="I45" s="2523"/>
      <c r="J45" s="2521"/>
      <c r="K45" s="2523"/>
      <c r="L45" s="2522"/>
      <c r="M45" s="2522"/>
      <c r="N45" s="2522"/>
      <c r="O45" s="2523"/>
      <c r="P45" s="2520"/>
      <c r="Q45" s="688"/>
    </row>
    <row r="46" spans="1:17" s="697" customFormat="1" ht="18" customHeight="1" thickBot="1">
      <c r="A46" s="688"/>
      <c r="B46" s="2522"/>
      <c r="C46" s="2522"/>
      <c r="D46" s="2522"/>
      <c r="E46" s="2522"/>
      <c r="F46" s="2522"/>
      <c r="G46" s="2522"/>
      <c r="H46" s="2522"/>
      <c r="I46" s="2522"/>
      <c r="J46" s="2522"/>
      <c r="K46" s="2522"/>
      <c r="L46" s="2522"/>
      <c r="M46" s="2522"/>
      <c r="N46" s="2522"/>
      <c r="O46" s="2522"/>
      <c r="P46" s="688"/>
      <c r="Q46" s="688"/>
    </row>
    <row r="47" spans="1:17" s="697" customFormat="1" ht="30" customHeight="1" thickBot="1">
      <c r="A47" s="688"/>
      <c r="B47" s="2508" t="s">
        <v>1855</v>
      </c>
      <c r="C47" s="2509"/>
      <c r="D47" s="2509"/>
      <c r="E47" s="2509"/>
      <c r="F47" s="2509"/>
      <c r="G47" s="2509"/>
      <c r="H47" s="2509"/>
      <c r="I47" s="2509"/>
      <c r="J47" s="2509"/>
      <c r="K47" s="2509"/>
      <c r="L47" s="2509"/>
      <c r="M47" s="2509"/>
      <c r="N47" s="2509"/>
      <c r="O47" s="2510"/>
      <c r="P47" s="688"/>
      <c r="Q47" s="688"/>
    </row>
    <row r="48" spans="1:17" s="697" customFormat="1" ht="21" customHeight="1">
      <c r="A48" s="688"/>
      <c r="B48" s="2511" t="s">
        <v>1856</v>
      </c>
      <c r="C48" s="2512"/>
      <c r="D48" s="2512"/>
      <c r="E48" s="2512"/>
      <c r="F48" s="2512"/>
      <c r="G48" s="2512"/>
      <c r="H48" s="2512"/>
      <c r="I48" s="2512"/>
      <c r="J48" s="2512"/>
      <c r="K48" s="2512"/>
      <c r="L48" s="2512"/>
      <c r="M48" s="2513"/>
      <c r="N48" s="2766" t="s">
        <v>1857</v>
      </c>
      <c r="O48" s="2770"/>
      <c r="P48" s="688"/>
      <c r="Q48" s="688"/>
    </row>
    <row r="49" spans="1:17" s="697" customFormat="1" ht="75" customHeight="1">
      <c r="A49" s="807"/>
      <c r="B49" s="2516"/>
      <c r="C49" s="2517"/>
      <c r="D49" s="2517"/>
      <c r="E49" s="2517"/>
      <c r="F49" s="2517"/>
      <c r="G49" s="2517"/>
      <c r="H49" s="2517"/>
      <c r="I49" s="2517"/>
      <c r="J49" s="2517"/>
      <c r="K49" s="2517"/>
      <c r="L49" s="2517"/>
      <c r="M49" s="2517"/>
      <c r="N49" s="2742">
        <f>'スコア（重点項目）（改修前）'!J7</f>
        <v>77</v>
      </c>
      <c r="O49" s="2743"/>
      <c r="P49" s="807"/>
      <c r="Q49" s="688"/>
    </row>
    <row r="50" spans="1:17" s="697" customFormat="1" ht="20.25" customHeight="1">
      <c r="A50" s="807"/>
      <c r="B50" s="2516"/>
      <c r="C50" s="2517"/>
      <c r="D50" s="2517"/>
      <c r="E50" s="2517"/>
      <c r="F50" s="2517"/>
      <c r="G50" s="2517"/>
      <c r="H50" s="2517"/>
      <c r="I50" s="2517"/>
      <c r="J50" s="2517"/>
      <c r="K50" s="2517"/>
      <c r="L50" s="2517"/>
      <c r="M50" s="2517"/>
      <c r="N50" s="2517"/>
      <c r="O50" s="2518"/>
      <c r="P50" s="2520"/>
      <c r="Q50" s="688"/>
    </row>
    <row r="51" spans="1:17" s="697" customFormat="1" ht="20.25" customHeight="1">
      <c r="A51" s="900"/>
      <c r="B51" s="2516"/>
      <c r="C51" s="2517"/>
      <c r="D51" s="2517"/>
      <c r="E51" s="2517"/>
      <c r="F51" s="2517"/>
      <c r="G51" s="2517"/>
      <c r="H51" s="2517"/>
      <c r="I51" s="2517"/>
      <c r="J51" s="2517"/>
      <c r="K51" s="2517"/>
      <c r="L51" s="2517"/>
      <c r="M51" s="2517"/>
      <c r="N51" s="2517"/>
      <c r="O51" s="2518"/>
      <c r="P51" s="2520"/>
      <c r="Q51" s="688"/>
    </row>
    <row r="52" spans="1:17" s="697" customFormat="1" ht="20.25" customHeight="1">
      <c r="A52" s="688"/>
      <c r="B52" s="2516"/>
      <c r="C52" s="2524" t="s">
        <v>1858</v>
      </c>
      <c r="D52" s="2517"/>
      <c r="E52" s="2517"/>
      <c r="F52" s="2517"/>
      <c r="G52" s="2517"/>
      <c r="H52" s="2517"/>
      <c r="I52" s="2517"/>
      <c r="J52" s="776">
        <f>'スコア（重点項目）（改修前）'!H10</f>
        <v>80.3</v>
      </c>
      <c r="K52" s="2517"/>
      <c r="L52" s="2517"/>
      <c r="M52" s="2517"/>
      <c r="N52" s="2517"/>
      <c r="O52" s="2518"/>
      <c r="P52" s="2520"/>
      <c r="Q52" s="688"/>
    </row>
    <row r="53" spans="1:17" s="697" customFormat="1" ht="20.25" customHeight="1">
      <c r="A53" s="807"/>
      <c r="B53" s="2516"/>
      <c r="C53" s="2524"/>
      <c r="D53" s="2517"/>
      <c r="E53" s="2517"/>
      <c r="F53" s="2517"/>
      <c r="G53" s="2517"/>
      <c r="H53" s="2517"/>
      <c r="I53" s="2517"/>
      <c r="J53" s="2517"/>
      <c r="K53" s="2517"/>
      <c r="L53" s="2517"/>
      <c r="M53" s="2517"/>
      <c r="N53" s="2517"/>
      <c r="O53" s="2518"/>
      <c r="P53" s="2520"/>
      <c r="Q53" s="688"/>
    </row>
    <row r="54" spans="1:17" s="697" customFormat="1" ht="20.25" customHeight="1">
      <c r="A54" s="807"/>
      <c r="B54" s="2516"/>
      <c r="C54" s="2524" t="s">
        <v>1859</v>
      </c>
      <c r="D54" s="2517"/>
      <c r="E54" s="2517"/>
      <c r="F54" s="2517"/>
      <c r="G54" s="2517"/>
      <c r="H54" s="2517"/>
      <c r="I54" s="2517"/>
      <c r="J54" s="776">
        <f>'スコア（重点項目）（改修前）'!H19</f>
        <v>75</v>
      </c>
      <c r="K54" s="2517"/>
      <c r="L54" s="2517"/>
      <c r="M54" s="2517"/>
      <c r="N54" s="2517"/>
      <c r="O54" s="2518"/>
      <c r="P54" s="2520"/>
      <c r="Q54" s="688"/>
    </row>
    <row r="55" spans="1:17" s="697" customFormat="1" ht="20.25" customHeight="1">
      <c r="A55" s="688"/>
      <c r="B55" s="2516"/>
      <c r="C55" s="2524"/>
      <c r="D55" s="2517"/>
      <c r="E55" s="2517"/>
      <c r="F55" s="2517"/>
      <c r="G55" s="2517"/>
      <c r="H55" s="2517"/>
      <c r="I55" s="2517"/>
      <c r="J55" s="2517"/>
      <c r="K55" s="2517"/>
      <c r="L55" s="2517"/>
      <c r="M55" s="2517"/>
      <c r="N55" s="2517"/>
      <c r="O55" s="2518"/>
      <c r="P55" s="2520"/>
      <c r="Q55" s="688"/>
    </row>
    <row r="56" spans="1:17" s="697" customFormat="1" ht="20.25" customHeight="1">
      <c r="A56" s="688"/>
      <c r="B56" s="2516"/>
      <c r="C56" s="2524" t="s">
        <v>1860</v>
      </c>
      <c r="D56" s="2517"/>
      <c r="E56" s="2517"/>
      <c r="F56" s="2517"/>
      <c r="G56" s="2517"/>
      <c r="H56" s="2517"/>
      <c r="I56" s="2517"/>
      <c r="J56" s="776">
        <f>'スコア（重点項目）（改修前）'!H25</f>
        <v>75</v>
      </c>
      <c r="K56" s="2517"/>
      <c r="L56" s="2517"/>
      <c r="M56" s="2517"/>
      <c r="N56" s="2517"/>
      <c r="O56" s="2518"/>
      <c r="P56" s="2520"/>
      <c r="Q56" s="688"/>
    </row>
    <row r="57" spans="1:17" s="697" customFormat="1" ht="20.25" customHeight="1">
      <c r="A57" s="688"/>
      <c r="B57" s="743"/>
      <c r="C57" s="2524"/>
      <c r="D57"/>
      <c r="E57"/>
      <c r="F57"/>
      <c r="G57"/>
      <c r="H57"/>
      <c r="I57"/>
      <c r="J57"/>
      <c r="K57"/>
      <c r="L57"/>
      <c r="M57"/>
      <c r="N57"/>
      <c r="O57" s="2518"/>
      <c r="P57" s="2520"/>
      <c r="Q57" s="688"/>
    </row>
    <row r="58" spans="1:17" s="697" customFormat="1" ht="20.25" customHeight="1">
      <c r="A58" s="688"/>
      <c r="B58" s="743"/>
      <c r="C58" s="2524" t="s">
        <v>1861</v>
      </c>
      <c r="D58"/>
      <c r="E58"/>
      <c r="F58"/>
      <c r="G58"/>
      <c r="H58"/>
      <c r="I58"/>
      <c r="J58" s="776">
        <f>'スコア（重点項目）（改修前）'!H30</f>
        <v>75</v>
      </c>
      <c r="K58"/>
      <c r="L58"/>
      <c r="M58"/>
      <c r="N58"/>
      <c r="O58" s="2518"/>
      <c r="P58" s="2520"/>
      <c r="Q58" s="688"/>
    </row>
    <row r="59" spans="1:17" s="697" customFormat="1" ht="20.25" customHeight="1">
      <c r="A59" s="688"/>
      <c r="B59" s="743"/>
      <c r="C59" s="2524"/>
      <c r="D59"/>
      <c r="E59"/>
      <c r="F59"/>
      <c r="G59"/>
      <c r="H59"/>
      <c r="I59"/>
      <c r="J59" s="783"/>
      <c r="K59"/>
      <c r="L59"/>
      <c r="M59"/>
      <c r="N59"/>
      <c r="O59" s="2518"/>
      <c r="P59" s="2520"/>
      <c r="Q59" s="688"/>
    </row>
    <row r="60" spans="1:17" s="697" customFormat="1" ht="20.25" customHeight="1">
      <c r="A60" s="688"/>
      <c r="B60" s="743"/>
      <c r="C60" s="2524"/>
      <c r="D60"/>
      <c r="E60"/>
      <c r="F60"/>
      <c r="G60"/>
      <c r="H60"/>
      <c r="I60"/>
      <c r="J60" s="783"/>
      <c r="K60"/>
      <c r="L60"/>
      <c r="M60"/>
      <c r="N60"/>
      <c r="O60" s="2518"/>
      <c r="P60" s="2520"/>
      <c r="Q60" s="688"/>
    </row>
    <row r="61" spans="1:17" s="697" customFormat="1" ht="20.25" customHeight="1" thickBot="1">
      <c r="A61" s="688"/>
      <c r="B61" s="2521"/>
      <c r="C61" s="2522"/>
      <c r="D61" s="2522"/>
      <c r="E61" s="2522"/>
      <c r="F61" s="2522"/>
      <c r="G61" s="2522"/>
      <c r="H61" s="2522"/>
      <c r="I61" s="2522"/>
      <c r="J61" s="2522"/>
      <c r="K61" s="2522"/>
      <c r="L61" s="2522"/>
      <c r="M61" s="2522"/>
      <c r="N61" s="2522"/>
      <c r="O61" s="2523"/>
      <c r="P61" s="2520"/>
      <c r="Q61" s="688"/>
    </row>
    <row r="62" spans="1:17" s="697" customFormat="1" ht="17.25" customHeight="1">
      <c r="A62" s="688"/>
      <c r="B62" s="2525"/>
      <c r="C62" s="2525"/>
      <c r="D62" s="2525"/>
      <c r="E62" s="2525"/>
      <c r="F62" s="2525"/>
      <c r="G62" s="2525"/>
      <c r="H62" s="2525"/>
      <c r="I62" s="2525"/>
      <c r="J62" s="2525"/>
      <c r="K62" s="2525"/>
      <c r="L62" s="2525"/>
      <c r="M62" s="2525"/>
      <c r="N62" s="2525"/>
      <c r="O62" s="2525"/>
      <c r="P62" s="688"/>
      <c r="Q62" s="807"/>
    </row>
    <row r="63" spans="1:17" ht="17.25" customHeight="1">
      <c r="G63" s="1065"/>
      <c r="L63" s="1065"/>
      <c r="M63" s="728"/>
      <c r="O63" s="728"/>
    </row>
    <row r="64" spans="1:17" ht="17.25" customHeight="1">
      <c r="E64" s="1053"/>
      <c r="F64" s="1076"/>
      <c r="G64" s="1065"/>
      <c r="H64" s="1065"/>
      <c r="I64" s="1060"/>
      <c r="L64" s="1065"/>
      <c r="M64" s="728"/>
      <c r="O64" s="728"/>
    </row>
    <row r="65" spans="2:15" ht="14.25">
      <c r="C65" s="1077"/>
      <c r="D65" s="912"/>
      <c r="E65" s="1053"/>
      <c r="F65" s="1076"/>
      <c r="G65" s="1065"/>
      <c r="H65" s="1065"/>
      <c r="I65" s="1060"/>
      <c r="J65" s="1060"/>
      <c r="K65" s="1065"/>
      <c r="L65" s="1065"/>
      <c r="M65" s="728"/>
      <c r="O65" s="728"/>
    </row>
    <row r="66" spans="2:15" ht="14.25">
      <c r="B66" s="1078"/>
      <c r="C66" s="1079"/>
      <c r="D66" s="1080"/>
      <c r="E66" s="1053"/>
      <c r="F66" s="1076"/>
      <c r="G66" s="1058"/>
      <c r="H66" s="1058"/>
      <c r="I66" s="1059"/>
      <c r="J66" s="1059"/>
      <c r="K66" s="1060"/>
      <c r="L66" s="1060"/>
      <c r="M66" s="728"/>
      <c r="O66" s="728"/>
    </row>
    <row r="67" spans="2:15" ht="14.25" hidden="1">
      <c r="B67" s="1078"/>
      <c r="C67" s="1078"/>
      <c r="D67" s="1081"/>
      <c r="G67" s="1058"/>
      <c r="H67" s="1058"/>
      <c r="I67" s="1059"/>
      <c r="J67" s="1059"/>
      <c r="K67" s="1060"/>
      <c r="L67" s="1060"/>
      <c r="M67" s="728"/>
      <c r="N67" s="728"/>
      <c r="O67" s="728"/>
    </row>
    <row r="68" spans="2:15" ht="14.25" hidden="1">
      <c r="E68" s="706"/>
      <c r="F68" s="707"/>
      <c r="G68" s="707"/>
      <c r="H68" s="707"/>
      <c r="I68" s="708"/>
      <c r="J68" s="708"/>
      <c r="K68" s="707"/>
      <c r="L68" s="707"/>
      <c r="M68" s="728"/>
      <c r="N68" s="728"/>
      <c r="O68" s="728"/>
    </row>
    <row r="69" spans="2:15" ht="14.25" hidden="1">
      <c r="E69" s="706"/>
      <c r="F69" s="707"/>
      <c r="G69" s="707"/>
      <c r="H69" s="707"/>
      <c r="I69" s="708"/>
      <c r="J69" s="708"/>
      <c r="K69" s="707"/>
      <c r="L69" s="707"/>
      <c r="M69" s="728"/>
      <c r="N69" s="728"/>
      <c r="O69" s="728"/>
    </row>
    <row r="70" spans="2:15" ht="14.25" hidden="1">
      <c r="E70" s="706"/>
      <c r="F70" s="707"/>
      <c r="G70" s="707"/>
      <c r="H70" s="707"/>
      <c r="I70" s="708"/>
      <c r="J70" s="708"/>
      <c r="K70" s="707"/>
      <c r="L70" s="707"/>
      <c r="M70" s="728"/>
      <c r="N70" s="728"/>
      <c r="O70" s="728"/>
    </row>
    <row r="71" spans="2:15" ht="14.25" hidden="1">
      <c r="E71" s="706"/>
      <c r="F71" s="707"/>
      <c r="G71" s="707"/>
      <c r="H71" s="707"/>
      <c r="I71" s="708"/>
      <c r="J71" s="708"/>
      <c r="K71" s="707"/>
      <c r="L71" s="707"/>
      <c r="M71" s="728"/>
      <c r="N71" s="728"/>
      <c r="O71" s="728"/>
    </row>
    <row r="72" spans="2:15" ht="14.25" hidden="1">
      <c r="E72" s="706"/>
      <c r="F72" s="707"/>
      <c r="G72" s="707"/>
      <c r="H72" s="707"/>
      <c r="I72" s="708"/>
      <c r="J72" s="708"/>
      <c r="K72" s="707"/>
      <c r="L72" s="707"/>
      <c r="M72" s="728"/>
      <c r="N72" s="728"/>
      <c r="O72" s="728"/>
    </row>
    <row r="73" spans="2:15" ht="14.25" hidden="1">
      <c r="E73" s="706"/>
      <c r="F73" s="707"/>
      <c r="G73" s="707"/>
      <c r="H73" s="707"/>
      <c r="I73" s="708"/>
      <c r="J73" s="708"/>
      <c r="K73" s="707"/>
      <c r="L73" s="707"/>
      <c r="M73" s="728"/>
      <c r="N73" s="728"/>
      <c r="O73" s="728"/>
    </row>
    <row r="74" spans="2:15" ht="14.25" hidden="1">
      <c r="E74" s="706"/>
      <c r="F74" s="707"/>
      <c r="G74" s="707"/>
      <c r="H74" s="707"/>
      <c r="I74" s="708"/>
      <c r="J74" s="708"/>
      <c r="K74" s="707"/>
      <c r="L74" s="707"/>
      <c r="M74" s="728"/>
      <c r="N74" s="728"/>
      <c r="O74" s="728"/>
    </row>
    <row r="75" spans="2:15" ht="14.25" hidden="1">
      <c r="E75" s="706"/>
      <c r="F75" s="707"/>
      <c r="G75" s="707"/>
      <c r="H75" s="707"/>
      <c r="I75" s="708"/>
      <c r="J75" s="708"/>
      <c r="K75" s="707"/>
      <c r="L75" s="707"/>
      <c r="M75" s="728"/>
      <c r="N75" s="728"/>
      <c r="O75" s="728"/>
    </row>
    <row r="76" spans="2:15" ht="14.25" hidden="1">
      <c r="E76" s="706"/>
      <c r="F76" s="707"/>
      <c r="G76" s="707"/>
      <c r="H76" s="707"/>
      <c r="I76" s="708"/>
      <c r="J76" s="708"/>
      <c r="K76" s="707"/>
      <c r="L76" s="707"/>
      <c r="M76" s="728"/>
      <c r="N76" s="728"/>
      <c r="O76" s="728"/>
    </row>
    <row r="77" spans="2:15" ht="14.25" hidden="1">
      <c r="E77" s="706"/>
      <c r="F77" s="707"/>
      <c r="G77" s="707"/>
      <c r="H77" s="707"/>
      <c r="I77" s="708"/>
      <c r="J77" s="708"/>
      <c r="K77" s="707"/>
      <c r="L77" s="707"/>
      <c r="M77" s="728"/>
      <c r="N77" s="728"/>
      <c r="O77" s="728"/>
    </row>
    <row r="78" spans="2:15" ht="14.25" hidden="1">
      <c r="E78" s="706"/>
      <c r="F78" s="707"/>
      <c r="G78" s="707"/>
      <c r="H78" s="707"/>
      <c r="I78" s="708"/>
      <c r="J78" s="708"/>
      <c r="K78" s="707"/>
      <c r="L78" s="707"/>
      <c r="M78" s="728"/>
      <c r="N78" s="728"/>
      <c r="O78" s="728"/>
    </row>
    <row r="79" spans="2:15" ht="14.25" hidden="1">
      <c r="E79" s="706"/>
      <c r="F79" s="707"/>
      <c r="G79" s="707"/>
      <c r="H79" s="707"/>
      <c r="I79" s="708"/>
      <c r="J79" s="708"/>
      <c r="K79" s="707"/>
      <c r="L79" s="707"/>
      <c r="M79" s="728"/>
      <c r="N79" s="728"/>
      <c r="O79" s="728"/>
    </row>
    <row r="80" spans="2:15" ht="14.25" hidden="1">
      <c r="E80" s="706"/>
      <c r="F80" s="707"/>
      <c r="G80" s="707"/>
      <c r="H80" s="707"/>
      <c r="I80" s="708"/>
      <c r="J80" s="708"/>
      <c r="K80" s="707"/>
      <c r="L80" s="707"/>
      <c r="M80" s="728"/>
      <c r="N80" s="728"/>
      <c r="O80" s="728"/>
    </row>
    <row r="81" spans="5:15" ht="14.25" hidden="1">
      <c r="E81" s="706"/>
      <c r="F81" s="707"/>
      <c r="G81" s="707"/>
      <c r="H81" s="707"/>
      <c r="I81" s="708"/>
      <c r="J81" s="708"/>
      <c r="K81" s="707"/>
      <c r="L81" s="707"/>
      <c r="M81" s="728"/>
      <c r="N81" s="728"/>
      <c r="O81" s="728"/>
    </row>
    <row r="82" spans="5:15" ht="14.25" hidden="1">
      <c r="E82" s="706"/>
      <c r="F82" s="707"/>
      <c r="G82" s="707"/>
      <c r="H82" s="707"/>
      <c r="I82" s="708"/>
      <c r="J82" s="708"/>
      <c r="K82" s="707"/>
      <c r="L82" s="707"/>
      <c r="M82" s="728"/>
      <c r="N82" s="728"/>
      <c r="O82" s="728"/>
    </row>
    <row r="83" spans="5:15" ht="14.25" hidden="1">
      <c r="E83" s="706"/>
      <c r="F83" s="707"/>
      <c r="G83" s="707"/>
      <c r="H83" s="707"/>
      <c r="I83" s="708"/>
      <c r="J83" s="708"/>
      <c r="K83" s="707"/>
      <c r="L83" s="707"/>
      <c r="M83" s="728"/>
      <c r="N83" s="728"/>
      <c r="O83" s="728"/>
    </row>
    <row r="84" spans="5:15" ht="14.25" hidden="1">
      <c r="E84" s="706"/>
      <c r="F84" s="707"/>
      <c r="G84" s="707"/>
      <c r="H84" s="707"/>
      <c r="I84" s="708"/>
      <c r="J84" s="708"/>
      <c r="K84" s="707"/>
      <c r="L84" s="707"/>
      <c r="M84" s="728"/>
      <c r="N84" s="728"/>
      <c r="O84" s="728"/>
    </row>
    <row r="85" spans="5:15" ht="14.25" hidden="1">
      <c r="E85" s="706"/>
      <c r="F85" s="707"/>
      <c r="G85" s="707"/>
      <c r="H85" s="707"/>
      <c r="I85" s="708"/>
      <c r="J85" s="708"/>
      <c r="K85" s="707"/>
      <c r="L85" s="707"/>
      <c r="M85" s="728"/>
      <c r="N85" s="728"/>
      <c r="O85" s="728"/>
    </row>
    <row r="86" spans="5:15" ht="14.25" hidden="1">
      <c r="E86" s="706"/>
      <c r="F86" s="707"/>
      <c r="G86" s="707"/>
      <c r="H86" s="707"/>
      <c r="I86" s="708"/>
      <c r="J86" s="708"/>
      <c r="K86" s="707"/>
      <c r="L86" s="707"/>
      <c r="M86" s="728"/>
      <c r="N86" s="728"/>
      <c r="O86" s="728"/>
    </row>
    <row r="87" spans="5:15" ht="14.25" hidden="1">
      <c r="E87" s="706"/>
      <c r="F87" s="707"/>
      <c r="G87" s="707"/>
      <c r="H87" s="707"/>
      <c r="I87" s="708"/>
      <c r="J87" s="708"/>
      <c r="K87" s="707"/>
      <c r="L87" s="707"/>
      <c r="M87" s="728"/>
      <c r="N87" s="728"/>
      <c r="O87" s="728"/>
    </row>
    <row r="88" spans="5:15" ht="14.25" hidden="1">
      <c r="E88" s="706"/>
      <c r="F88" s="707"/>
      <c r="G88" s="707"/>
      <c r="H88" s="707"/>
      <c r="I88" s="708"/>
      <c r="J88" s="708"/>
      <c r="K88" s="707"/>
      <c r="L88" s="707"/>
      <c r="M88" s="728"/>
      <c r="N88" s="728"/>
      <c r="O88" s="728"/>
    </row>
    <row r="89" spans="5:15" ht="14.25" hidden="1">
      <c r="E89" s="706"/>
      <c r="F89" s="707"/>
      <c r="G89" s="707"/>
      <c r="H89" s="707"/>
      <c r="I89" s="708"/>
      <c r="J89" s="708"/>
      <c r="K89" s="707"/>
      <c r="L89" s="707"/>
      <c r="M89" s="728"/>
      <c r="N89" s="728"/>
      <c r="O89" s="728"/>
    </row>
    <row r="90" spans="5:15" ht="14.25" hidden="1">
      <c r="E90" s="706"/>
      <c r="F90" s="707"/>
      <c r="G90" s="707"/>
      <c r="H90" s="707"/>
      <c r="I90" s="708"/>
      <c r="J90" s="708"/>
      <c r="K90" s="707"/>
      <c r="L90" s="707"/>
      <c r="M90" s="728"/>
      <c r="N90" s="728"/>
      <c r="O90" s="728"/>
    </row>
    <row r="91" spans="5:15" ht="14.25" hidden="1">
      <c r="E91" s="706"/>
      <c r="F91" s="707"/>
      <c r="G91" s="707"/>
      <c r="H91" s="707"/>
      <c r="I91" s="708"/>
      <c r="J91" s="708"/>
      <c r="K91" s="707"/>
      <c r="L91" s="707"/>
      <c r="M91" s="728"/>
      <c r="N91" s="728"/>
      <c r="O91" s="728"/>
    </row>
    <row r="92" spans="5:15" ht="14.25" hidden="1">
      <c r="E92" s="706"/>
      <c r="F92" s="707"/>
      <c r="G92" s="707"/>
      <c r="H92" s="707"/>
      <c r="I92" s="708"/>
      <c r="J92" s="708"/>
      <c r="K92" s="707"/>
      <c r="L92" s="707"/>
      <c r="M92" s="728"/>
      <c r="N92" s="728"/>
      <c r="O92" s="728"/>
    </row>
    <row r="93" spans="5:15" ht="14.25" hidden="1">
      <c r="E93" s="706"/>
      <c r="F93" s="707"/>
      <c r="G93" s="707"/>
      <c r="H93" s="707"/>
      <c r="I93" s="708"/>
      <c r="J93" s="708"/>
      <c r="K93" s="707"/>
      <c r="L93" s="707"/>
      <c r="M93" s="728"/>
      <c r="N93" s="728"/>
      <c r="O93" s="728"/>
    </row>
    <row r="94" spans="5:15" ht="14.25" hidden="1">
      <c r="E94" s="706"/>
      <c r="F94" s="707"/>
      <c r="G94" s="707"/>
      <c r="H94" s="707"/>
      <c r="I94" s="708"/>
      <c r="J94" s="708"/>
      <c r="K94" s="707"/>
      <c r="L94" s="707"/>
      <c r="M94" s="728"/>
      <c r="N94" s="728"/>
      <c r="O94" s="728"/>
    </row>
    <row r="95" spans="5:15" ht="14.25" hidden="1">
      <c r="E95" s="706"/>
      <c r="F95" s="707"/>
      <c r="G95" s="707"/>
      <c r="H95" s="707"/>
      <c r="I95" s="708"/>
      <c r="J95" s="708"/>
      <c r="K95" s="707"/>
      <c r="L95" s="707"/>
      <c r="M95" s="728"/>
      <c r="N95" s="728"/>
      <c r="O95" s="728"/>
    </row>
    <row r="96" spans="5:15" ht="14.25" hidden="1">
      <c r="E96" s="706"/>
      <c r="F96" s="707"/>
      <c r="G96" s="707"/>
      <c r="H96" s="707"/>
      <c r="I96" s="708"/>
      <c r="J96" s="708"/>
      <c r="K96" s="707"/>
      <c r="L96" s="707"/>
      <c r="M96" s="728"/>
      <c r="N96" s="728"/>
      <c r="O96" s="728"/>
    </row>
    <row r="97" spans="5:15" ht="14.25" hidden="1">
      <c r="E97" s="706"/>
      <c r="F97" s="707"/>
      <c r="G97" s="707"/>
      <c r="H97" s="707"/>
      <c r="I97" s="708"/>
      <c r="J97" s="708"/>
      <c r="K97" s="707"/>
      <c r="L97" s="707"/>
      <c r="M97" s="728"/>
      <c r="N97" s="728"/>
      <c r="O97" s="728"/>
    </row>
    <row r="98" spans="5:15" ht="14.25" hidden="1"/>
    <row r="99" spans="5:15" ht="14.25" hidden="1"/>
    <row r="100" spans="5:15" ht="14.25" hidden="1"/>
    <row r="101" spans="5:15" ht="14.25" hidden="1"/>
    <row r="102" spans="5:15" ht="14.25" hidden="1"/>
    <row r="103" spans="5:15" ht="14.25" hidden="1"/>
    <row r="104" spans="5:15" ht="14.25" hidden="1"/>
    <row r="105" spans="5:15" ht="14.25" hidden="1"/>
    <row r="106" spans="5:15" ht="14.25" hidden="1"/>
    <row r="107" spans="5:15" ht="14.25" hidden="1"/>
    <row r="108" spans="5:15" ht="14.25" hidden="1"/>
    <row r="109" spans="5:15" ht="14.25" hidden="1"/>
    <row r="110" spans="5:15" ht="14.25" hidden="1"/>
    <row r="111" spans="5:15" ht="14.25" hidden="1"/>
    <row r="112" spans="5:15"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0" hidden="1" customHeight="1"/>
    <row r="182" ht="0" hidden="1" customHeight="1"/>
    <row r="183" ht="0" hidden="1" customHeight="1"/>
  </sheetData>
  <sheetProtection password="8D30" sheet="1" objects="1" scenarios="1"/>
  <mergeCells count="9">
    <mergeCell ref="N49:O49"/>
    <mergeCell ref="Q2:Q5"/>
    <mergeCell ref="K5:L5"/>
    <mergeCell ref="N5:O5"/>
    <mergeCell ref="D13:E13"/>
    <mergeCell ref="J16:K18"/>
    <mergeCell ref="J42:K42"/>
    <mergeCell ref="J44:K44"/>
    <mergeCell ref="N48:O48"/>
  </mergeCells>
  <phoneticPr fontId="20"/>
  <conditionalFormatting sqref="H61:O62 H44:I46 L44:O46 J45:K46">
    <cfRule type="expression" dxfId="27" priority="1" stopIfTrue="1">
      <formula>#REF!=#REF!</formula>
    </cfRule>
  </conditionalFormatting>
  <conditionalFormatting sqref="J26:K27 I26 H29:H41 L25:O43 I28:K41 H43:K43">
    <cfRule type="expression" dxfId="26"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5" orientation="portrait" verticalDpi="4294967293" r:id="rId1"/>
  <headerFooter alignWithMargins="0">
    <oddHeader>&amp;L&amp;F&amp;R&amp;A</oddHeader>
    <oddFooter>&amp;C&amp;P/&amp;N</oddFooter>
  </headerFooter>
  <colBreaks count="1" manualBreakCount="1">
    <brk id="16" max="71" man="1"/>
  </colBreaks>
  <drawing r:id="rId2"/>
  <legacyDrawing r:id="rId3"/>
  <oleObjects>
    <mc:AlternateContent xmlns:mc="http://schemas.openxmlformats.org/markup-compatibility/2006">
      <mc:Choice Requires="x14">
        <oleObject progId="Visio.Drawing.11" shapeId="197633" r:id="rId4">
          <objectPr defaultSize="0" autoPict="0" r:id="rId5">
            <anchor moveWithCells="1">
              <from>
                <xdr:col>11</xdr:col>
                <xdr:colOff>0</xdr:colOff>
                <xdr:row>23</xdr:row>
                <xdr:rowOff>104775</xdr:rowOff>
              </from>
              <to>
                <xdr:col>14</xdr:col>
                <xdr:colOff>523875</xdr:colOff>
                <xdr:row>25</xdr:row>
                <xdr:rowOff>152400</xdr:rowOff>
              </to>
            </anchor>
          </objectPr>
        </oleObject>
      </mc:Choice>
      <mc:Fallback>
        <oleObject progId="Visio.Drawing.11" shapeId="197633" r:id="rId4"/>
      </mc:Fallback>
    </mc:AlternateContent>
    <mc:AlternateContent xmlns:mc="http://schemas.openxmlformats.org/markup-compatibility/2006">
      <mc:Choice Requires="x14">
        <oleObject progId="Visio.Drawing.11" shapeId="197634" r:id="rId6">
          <objectPr defaultSize="0" autoPict="0" r:id="rId7">
            <anchor moveWithCells="1">
              <from>
                <xdr:col>10</xdr:col>
                <xdr:colOff>266700</xdr:colOff>
                <xdr:row>49</xdr:row>
                <xdr:rowOff>47625</xdr:rowOff>
              </from>
              <to>
                <xdr:col>14</xdr:col>
                <xdr:colOff>571500</xdr:colOff>
                <xdr:row>59</xdr:row>
                <xdr:rowOff>180975</xdr:rowOff>
              </to>
            </anchor>
          </objectPr>
        </oleObject>
      </mc:Choice>
      <mc:Fallback>
        <oleObject progId="Visio.Drawing.11" shapeId="197634" r:id="rId6"/>
      </mc:Fallback>
    </mc:AlternateContent>
    <mc:AlternateContent xmlns:mc="http://schemas.openxmlformats.org/markup-compatibility/2006">
      <mc:Choice Requires="x14">
        <oleObject progId="Visio.Drawing.11" shapeId="197635" r:id="rId8">
          <objectPr defaultSize="0" autoPict="0" r:id="rId9">
            <anchor moveWithCells="1">
              <from>
                <xdr:col>9</xdr:col>
                <xdr:colOff>266700</xdr:colOff>
                <xdr:row>25</xdr:row>
                <xdr:rowOff>28575</xdr:rowOff>
              </from>
              <to>
                <xdr:col>14</xdr:col>
                <xdr:colOff>485775</xdr:colOff>
                <xdr:row>36</xdr:row>
                <xdr:rowOff>28575</xdr:rowOff>
              </to>
            </anchor>
          </objectPr>
        </oleObject>
      </mc:Choice>
      <mc:Fallback>
        <oleObject progId="Visio.Drawing.11" shapeId="197635" r:id="rId8"/>
      </mc:Fallback>
    </mc:AlternateContent>
    <mc:AlternateContent xmlns:mc="http://schemas.openxmlformats.org/markup-compatibility/2006">
      <mc:Choice Requires="x14">
        <oleObject progId="Visio.Drawing.11" shapeId="197636" r:id="rId10">
          <objectPr defaultSize="0" autoPict="0" r:id="rId11">
            <anchor moveWithCells="1">
              <from>
                <xdr:col>11</xdr:col>
                <xdr:colOff>238125</xdr:colOff>
                <xdr:row>36</xdr:row>
                <xdr:rowOff>66675</xdr:rowOff>
              </from>
              <to>
                <xdr:col>14</xdr:col>
                <xdr:colOff>485775</xdr:colOff>
                <xdr:row>44</xdr:row>
                <xdr:rowOff>219075</xdr:rowOff>
              </to>
            </anchor>
          </objectPr>
        </oleObject>
      </mc:Choice>
      <mc:Fallback>
        <oleObject progId="Visio.Drawing.11" shapeId="197636" r:id="rId10"/>
      </mc:Fallback>
    </mc:AlternateContent>
    <mc:AlternateContent xmlns:mc="http://schemas.openxmlformats.org/markup-compatibility/2006">
      <mc:Choice Requires="x14">
        <oleObject progId="Visio.Drawing.11" shapeId="197637" r:id="rId12">
          <objectPr defaultSize="0" autoPict="0" r:id="rId5">
            <anchor moveWithCells="1">
              <from>
                <xdr:col>11</xdr:col>
                <xdr:colOff>0</xdr:colOff>
                <xdr:row>23</xdr:row>
                <xdr:rowOff>104775</xdr:rowOff>
              </from>
              <to>
                <xdr:col>14</xdr:col>
                <xdr:colOff>523875</xdr:colOff>
                <xdr:row>25</xdr:row>
                <xdr:rowOff>152400</xdr:rowOff>
              </to>
            </anchor>
          </objectPr>
        </oleObject>
      </mc:Choice>
      <mc:Fallback>
        <oleObject progId="Visio.Drawing.11" shapeId="197637" r:id="rId12"/>
      </mc:Fallback>
    </mc:AlternateContent>
    <mc:AlternateContent xmlns:mc="http://schemas.openxmlformats.org/markup-compatibility/2006">
      <mc:Choice Requires="x14">
        <oleObject progId="Visio.Drawing.11" shapeId="197638" r:id="rId13">
          <objectPr defaultSize="0" autoPict="0" r:id="rId7">
            <anchor moveWithCells="1">
              <from>
                <xdr:col>10</xdr:col>
                <xdr:colOff>266700</xdr:colOff>
                <xdr:row>49</xdr:row>
                <xdr:rowOff>47625</xdr:rowOff>
              </from>
              <to>
                <xdr:col>14</xdr:col>
                <xdr:colOff>571500</xdr:colOff>
                <xdr:row>59</xdr:row>
                <xdr:rowOff>180975</xdr:rowOff>
              </to>
            </anchor>
          </objectPr>
        </oleObject>
      </mc:Choice>
      <mc:Fallback>
        <oleObject progId="Visio.Drawing.11" shapeId="197638" r:id="rId13"/>
      </mc:Fallback>
    </mc:AlternateContent>
    <mc:AlternateContent xmlns:mc="http://schemas.openxmlformats.org/markup-compatibility/2006">
      <mc:Choice Requires="x14">
        <oleObject progId="Visio.Drawing.11" shapeId="197639" r:id="rId14">
          <objectPr defaultSize="0" autoPict="0" r:id="rId9">
            <anchor moveWithCells="1">
              <from>
                <xdr:col>9</xdr:col>
                <xdr:colOff>266700</xdr:colOff>
                <xdr:row>25</xdr:row>
                <xdr:rowOff>28575</xdr:rowOff>
              </from>
              <to>
                <xdr:col>14</xdr:col>
                <xdr:colOff>485775</xdr:colOff>
                <xdr:row>36</xdr:row>
                <xdr:rowOff>28575</xdr:rowOff>
              </to>
            </anchor>
          </objectPr>
        </oleObject>
      </mc:Choice>
      <mc:Fallback>
        <oleObject progId="Visio.Drawing.11" shapeId="197639" r:id="rId14"/>
      </mc:Fallback>
    </mc:AlternateContent>
    <mc:AlternateContent xmlns:mc="http://schemas.openxmlformats.org/markup-compatibility/2006">
      <mc:Choice Requires="x14">
        <oleObject progId="Visio.Drawing.11" shapeId="197640" r:id="rId15">
          <objectPr defaultSize="0" autoPict="0" r:id="rId11">
            <anchor moveWithCells="1">
              <from>
                <xdr:col>11</xdr:col>
                <xdr:colOff>238125</xdr:colOff>
                <xdr:row>36</xdr:row>
                <xdr:rowOff>66675</xdr:rowOff>
              </from>
              <to>
                <xdr:col>14</xdr:col>
                <xdr:colOff>485775</xdr:colOff>
                <xdr:row>44</xdr:row>
                <xdr:rowOff>219075</xdr:rowOff>
              </to>
            </anchor>
          </objectPr>
        </oleObject>
      </mc:Choice>
      <mc:Fallback>
        <oleObject progId="Visio.Drawing.11" shapeId="197640" r:id="rId1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fitToPage="1"/>
  </sheetPr>
  <dimension ref="A1:AK214"/>
  <sheetViews>
    <sheetView showGridLines="0" zoomScale="75" zoomScaleNormal="75" workbookViewId="0">
      <selection activeCell="Q59" sqref="Q59"/>
    </sheetView>
  </sheetViews>
  <sheetFormatPr defaultColWidth="0" defaultRowHeight="0" customHeight="1" zeroHeight="1"/>
  <cols>
    <col min="1" max="1" width="0.75" style="688" customWidth="1"/>
    <col min="2" max="2" width="2.125" style="704" customWidth="1"/>
    <col min="3" max="3" width="13.375" style="704" customWidth="1"/>
    <col min="4" max="4" width="5.375" style="705" customWidth="1"/>
    <col min="5" max="5" width="9.75" style="1075" customWidth="1"/>
    <col min="6" max="6" width="6.25" style="1050" customWidth="1"/>
    <col min="7" max="7" width="6.5" style="1050" customWidth="1"/>
    <col min="8" max="8" width="12.875" style="1050" customWidth="1"/>
    <col min="9" max="9" width="7.125" style="1051" customWidth="1"/>
    <col min="10" max="10" width="12.125" style="1051" customWidth="1"/>
    <col min="11" max="11" width="11.875" style="1050" customWidth="1"/>
    <col min="12" max="12" width="10.75" style="1050" customWidth="1"/>
    <col min="13" max="13" width="11.875" style="1053" customWidth="1"/>
    <col min="14" max="15" width="11.375" style="1053" customWidth="1"/>
    <col min="16" max="16" width="0.75" style="688" customWidth="1"/>
    <col min="17" max="17" width="3.875" style="688" customWidth="1"/>
    <col min="18" max="18" width="20.625" style="697" hidden="1" customWidth="1"/>
    <col min="19" max="19" width="18.625" style="1036" hidden="1" customWidth="1"/>
    <col min="20" max="20" width="15.25" style="697" hidden="1" customWidth="1"/>
    <col min="21" max="21" width="19.25" style="697" hidden="1" customWidth="1"/>
    <col min="22" max="22" width="18.625" style="697" hidden="1" customWidth="1"/>
    <col min="23" max="23" width="11.125" style="697" hidden="1" customWidth="1"/>
    <col min="24" max="24" width="20.5" style="697" hidden="1" customWidth="1"/>
    <col min="25" max="25" width="18.625" style="697" hidden="1" customWidth="1"/>
    <col min="26" max="26" width="23" style="697" hidden="1" customWidth="1"/>
    <col min="27" max="27" width="4.5" style="697" hidden="1" customWidth="1"/>
    <col min="28" max="28" width="5" style="697" hidden="1" customWidth="1"/>
    <col min="29" max="31" width="5" style="1037" hidden="1" customWidth="1"/>
    <col min="32" max="32" width="5.125" style="1037" hidden="1" customWidth="1"/>
    <col min="33" max="37" width="0" style="1037" hidden="1" customWidth="1"/>
    <col min="38" max="16384" width="9" style="1037" hidden="1"/>
  </cols>
  <sheetData>
    <row r="1" spans="1:28" s="686" customFormat="1" ht="6" customHeight="1" thickBot="1">
      <c r="A1" s="678"/>
      <c r="B1" s="679"/>
      <c r="C1" s="680"/>
      <c r="D1" s="681"/>
      <c r="E1" s="682"/>
      <c r="F1" s="683"/>
      <c r="G1" s="683"/>
      <c r="H1" s="683"/>
      <c r="I1" s="684"/>
      <c r="J1" s="684"/>
      <c r="K1" s="683"/>
      <c r="L1" s="685"/>
      <c r="M1" s="682"/>
      <c r="N1" s="682"/>
      <c r="O1" s="678"/>
      <c r="P1" s="678"/>
      <c r="Q1" s="678"/>
      <c r="S1" s="687"/>
    </row>
    <row r="2" spans="1:28" s="697" customFormat="1" ht="18.75" customHeight="1" thickTop="1">
      <c r="A2" s="688"/>
      <c r="B2" s="689"/>
      <c r="C2" s="690"/>
      <c r="D2" s="691"/>
      <c r="E2" s="692"/>
      <c r="F2" s="693"/>
      <c r="G2" s="693"/>
      <c r="H2" s="693"/>
      <c r="I2" s="694"/>
      <c r="J2" s="695"/>
      <c r="K2" s="695"/>
      <c r="L2" s="695"/>
      <c r="M2" s="695"/>
      <c r="N2" s="693"/>
      <c r="O2" s="529"/>
      <c r="P2" s="688"/>
      <c r="Q2" s="2790" t="s">
        <v>433</v>
      </c>
      <c r="R2" s="696"/>
      <c r="S2" s="696"/>
      <c r="T2" s="696"/>
      <c r="U2" s="696"/>
      <c r="V2" s="696"/>
      <c r="W2" s="696"/>
      <c r="X2" s="696"/>
      <c r="Y2" s="696"/>
      <c r="Z2" s="696"/>
      <c r="AA2" s="696"/>
      <c r="AB2" s="696"/>
    </row>
    <row r="3" spans="1:28" s="697" customFormat="1" ht="18.75" customHeight="1">
      <c r="A3" s="688"/>
      <c r="B3" s="689"/>
      <c r="C3" s="690"/>
      <c r="D3" s="691"/>
      <c r="E3" s="692"/>
      <c r="F3" s="693"/>
      <c r="G3" s="693"/>
      <c r="H3" s="693"/>
      <c r="I3" s="694"/>
      <c r="J3" s="695"/>
      <c r="K3" s="695"/>
      <c r="L3" s="695"/>
      <c r="M3" s="695"/>
      <c r="N3" s="693"/>
      <c r="O3" s="528"/>
      <c r="P3" s="688"/>
      <c r="Q3" s="2791"/>
      <c r="R3" s="696"/>
      <c r="S3" s="696"/>
      <c r="T3" s="696"/>
      <c r="U3" s="696"/>
      <c r="V3" s="696"/>
      <c r="W3" s="696"/>
      <c r="X3" s="696"/>
      <c r="Y3" s="696"/>
      <c r="Z3" s="696"/>
      <c r="AA3" s="696"/>
      <c r="AB3" s="696"/>
    </row>
    <row r="4" spans="1:28" s="697" customFormat="1" ht="18.75" customHeight="1">
      <c r="A4" s="688"/>
      <c r="B4" s="689"/>
      <c r="C4" s="690"/>
      <c r="D4" s="691"/>
      <c r="E4" s="692"/>
      <c r="F4" s="693"/>
      <c r="G4" s="693"/>
      <c r="H4" s="693"/>
      <c r="I4" s="698"/>
      <c r="J4" s="695"/>
      <c r="K4" s="695"/>
      <c r="L4" s="695"/>
      <c r="M4" s="695"/>
      <c r="N4" s="693"/>
      <c r="O4" s="529"/>
      <c r="P4" s="688"/>
      <c r="Q4" s="2791"/>
      <c r="R4" s="696"/>
      <c r="S4" s="696"/>
      <c r="T4" s="696"/>
      <c r="U4" s="696"/>
      <c r="V4" s="696"/>
      <c r="W4" s="696"/>
      <c r="X4" s="696"/>
      <c r="Y4" s="696"/>
      <c r="Z4" s="696"/>
      <c r="AA4" s="696"/>
      <c r="AB4" s="696"/>
    </row>
    <row r="5" spans="1:28" s="697" customFormat="1" ht="13.5" customHeight="1" thickBot="1">
      <c r="A5" s="688"/>
      <c r="B5" s="699"/>
      <c r="C5" s="700"/>
      <c r="D5" s="691"/>
      <c r="E5" s="692"/>
      <c r="F5" s="693"/>
      <c r="G5" s="702" t="s">
        <v>1925</v>
      </c>
      <c r="H5" s="2667" t="str">
        <f>メイン!C6</f>
        <v>CASBEE-建築(改修)2014年版</v>
      </c>
      <c r="I5" s="701"/>
      <c r="J5" s="702"/>
      <c r="K5" s="2745"/>
      <c r="L5" s="2746"/>
      <c r="M5" s="702" t="s">
        <v>984</v>
      </c>
      <c r="N5" s="2745" t="str">
        <f>メイン!C5</f>
        <v>CASBEE-BD_RN_2014(v.2.0)</v>
      </c>
      <c r="O5" s="2747"/>
      <c r="P5" s="688"/>
      <c r="Q5" s="2792"/>
      <c r="R5" s="696"/>
      <c r="S5" s="696"/>
      <c r="T5" s="696"/>
      <c r="U5" s="696"/>
      <c r="V5" s="696"/>
      <c r="W5" s="696"/>
      <c r="X5" s="696"/>
      <c r="Y5" s="696"/>
      <c r="Z5" s="696"/>
      <c r="AA5" s="696"/>
      <c r="AB5" s="696"/>
    </row>
    <row r="6" spans="1:28" s="697" customFormat="1" ht="6" customHeight="1" thickTop="1" thickBot="1">
      <c r="A6" s="688"/>
      <c r="B6" s="703"/>
      <c r="C6" s="704"/>
      <c r="D6" s="705"/>
      <c r="E6" s="706"/>
      <c r="F6" s="707"/>
      <c r="G6" s="707"/>
      <c r="H6" s="707"/>
      <c r="I6" s="708"/>
      <c r="J6" s="709"/>
      <c r="K6" s="709"/>
      <c r="L6" s="710"/>
      <c r="M6" s="706"/>
      <c r="N6" s="706"/>
      <c r="O6" s="706"/>
      <c r="P6" s="688"/>
      <c r="Q6" s="688"/>
      <c r="R6" s="696"/>
      <c r="S6" s="696"/>
      <c r="T6" s="696"/>
      <c r="U6" s="696"/>
      <c r="V6" s="696"/>
      <c r="W6" s="696"/>
      <c r="X6" s="696"/>
      <c r="Y6" s="696"/>
      <c r="Z6" s="696"/>
      <c r="AA6" s="696"/>
      <c r="AB6" s="696"/>
    </row>
    <row r="7" spans="1:28" s="697" customFormat="1" ht="18" customHeight="1" thickBot="1">
      <c r="A7" s="688"/>
      <c r="B7" s="711" t="s">
        <v>985</v>
      </c>
      <c r="C7" s="712"/>
      <c r="D7" s="713"/>
      <c r="E7" s="712"/>
      <c r="F7" s="712"/>
      <c r="G7" s="712"/>
      <c r="H7" s="714"/>
      <c r="I7" s="715"/>
      <c r="J7" s="715"/>
      <c r="K7" s="715"/>
      <c r="L7" s="716" t="s">
        <v>986</v>
      </c>
      <c r="M7" s="712"/>
      <c r="N7" s="712"/>
      <c r="O7" s="717"/>
      <c r="P7" s="688"/>
      <c r="Q7" s="688"/>
      <c r="R7" s="718" t="s">
        <v>987</v>
      </c>
      <c r="S7" s="696"/>
      <c r="T7" s="696"/>
      <c r="U7" s="718" t="s">
        <v>988</v>
      </c>
      <c r="V7" s="696"/>
      <c r="W7" s="696"/>
      <c r="X7" s="696"/>
      <c r="Y7" s="696"/>
      <c r="Z7" s="696"/>
      <c r="AA7" s="696"/>
      <c r="AB7" s="696"/>
    </row>
    <row r="8" spans="1:28" s="697" customFormat="1" ht="18" customHeight="1">
      <c r="A8" s="688"/>
      <c r="B8" s="719" t="s">
        <v>989</v>
      </c>
      <c r="C8" s="720"/>
      <c r="D8" s="721" t="str">
        <f>メイン!H11</f>
        <v>新ビル</v>
      </c>
      <c r="E8" s="720"/>
      <c r="F8" s="720"/>
      <c r="G8" s="722"/>
      <c r="H8" s="723" t="s">
        <v>990</v>
      </c>
      <c r="I8" s="724"/>
      <c r="J8" s="725" t="str">
        <f>メイン!H22</f>
        <v>地上12F</v>
      </c>
      <c r="K8" s="726"/>
      <c r="L8" s="727"/>
      <c r="M8" s="728"/>
      <c r="N8" s="728"/>
      <c r="O8" s="729"/>
      <c r="P8" s="688"/>
      <c r="Q8" s="688"/>
      <c r="R8" s="730" t="s">
        <v>434</v>
      </c>
      <c r="S8" s="730">
        <f>スコア表示!AO8</f>
        <v>3.0000000000000004</v>
      </c>
      <c r="T8" s="696"/>
      <c r="U8" s="731"/>
      <c r="V8" s="731" t="s">
        <v>991</v>
      </c>
      <c r="W8" s="732" t="s">
        <v>435</v>
      </c>
      <c r="X8" s="732">
        <v>4</v>
      </c>
      <c r="Y8" s="732">
        <v>2</v>
      </c>
      <c r="Z8" s="733" t="s">
        <v>436</v>
      </c>
      <c r="AA8" s="734" t="s">
        <v>437</v>
      </c>
      <c r="AB8" s="696"/>
    </row>
    <row r="9" spans="1:28" s="697" customFormat="1" ht="18" customHeight="1">
      <c r="A9" s="688"/>
      <c r="B9" s="735" t="s">
        <v>992</v>
      </c>
      <c r="C9" s="736"/>
      <c r="D9" s="737" t="str">
        <f>メイン!H12</f>
        <v>○○県○○市</v>
      </c>
      <c r="E9" s="736"/>
      <c r="F9" s="738"/>
      <c r="H9" s="739" t="s">
        <v>993</v>
      </c>
      <c r="I9" s="740"/>
      <c r="J9" s="741" t="str">
        <f>メイン!H23</f>
        <v>S造</v>
      </c>
      <c r="K9" s="742"/>
      <c r="L9" s="743"/>
      <c r="O9" s="744"/>
      <c r="P9" s="688"/>
      <c r="Q9" s="688"/>
      <c r="R9" s="730" t="s">
        <v>438</v>
      </c>
      <c r="S9" s="730">
        <f>スコア表示!AO116</f>
        <v>3.3099999999999996</v>
      </c>
      <c r="U9" s="745" t="s">
        <v>439</v>
      </c>
      <c r="V9" s="731" t="s">
        <v>440</v>
      </c>
      <c r="W9" s="732">
        <v>5</v>
      </c>
      <c r="X9" s="732">
        <v>4</v>
      </c>
      <c r="Y9" s="732">
        <v>2</v>
      </c>
      <c r="Z9" s="746">
        <f>V45</f>
        <v>3</v>
      </c>
      <c r="AA9" s="734">
        <v>3</v>
      </c>
    </row>
    <row r="10" spans="1:28" s="697" customFormat="1" ht="18" customHeight="1">
      <c r="A10" s="688"/>
      <c r="B10" s="735" t="s">
        <v>994</v>
      </c>
      <c r="C10" s="747"/>
      <c r="D10" s="737" t="str">
        <f>メイン!H14</f>
        <v>商業地域、防火地域</v>
      </c>
      <c r="E10" s="747"/>
      <c r="F10" s="747"/>
      <c r="H10" s="723" t="s">
        <v>995</v>
      </c>
      <c r="I10" s="724"/>
      <c r="J10" s="748" t="str">
        <f>メイン!H24</f>
        <v>○○</v>
      </c>
      <c r="K10" s="738" t="s">
        <v>996</v>
      </c>
      <c r="L10" s="749"/>
      <c r="N10" s="750"/>
      <c r="O10" s="751"/>
      <c r="P10" s="688"/>
      <c r="Q10" s="688"/>
      <c r="R10" s="733" t="s">
        <v>997</v>
      </c>
      <c r="S10" s="752">
        <f>25*(S8-1)</f>
        <v>50.000000000000014</v>
      </c>
      <c r="U10" s="745" t="s">
        <v>998</v>
      </c>
      <c r="V10" s="753" t="s">
        <v>999</v>
      </c>
      <c r="W10" s="732">
        <v>5</v>
      </c>
      <c r="X10" s="732">
        <v>4</v>
      </c>
      <c r="Y10" s="732">
        <v>2</v>
      </c>
      <c r="Z10" s="746">
        <f>Y45</f>
        <v>3</v>
      </c>
      <c r="AA10" s="734">
        <v>3</v>
      </c>
    </row>
    <row r="11" spans="1:28" s="697" customFormat="1" ht="18" customHeight="1">
      <c r="A11" s="688"/>
      <c r="B11" s="754" t="s">
        <v>441</v>
      </c>
      <c r="C11" s="720"/>
      <c r="D11" s="755" t="str">
        <f>IF(メイン!H13="","",メイン!H13)</f>
        <v/>
      </c>
      <c r="E11" s="720"/>
      <c r="F11" s="756"/>
      <c r="G11" s="722"/>
      <c r="H11" s="739" t="s">
        <v>1000</v>
      </c>
      <c r="I11" s="740"/>
      <c r="J11" s="757" t="str">
        <f>メイン!H25</f>
        <v>○○</v>
      </c>
      <c r="K11" s="758" t="s">
        <v>1001</v>
      </c>
      <c r="L11" s="749"/>
      <c r="M11" s="759" t="s">
        <v>1002</v>
      </c>
      <c r="N11" s="750"/>
      <c r="O11" s="751"/>
      <c r="P11" s="688"/>
      <c r="Q11" s="688"/>
      <c r="R11" s="733" t="s">
        <v>1003</v>
      </c>
      <c r="S11" s="752">
        <f>25*(5-S9)</f>
        <v>42.250000000000007</v>
      </c>
      <c r="U11" s="745" t="s">
        <v>1004</v>
      </c>
      <c r="V11" s="760" t="s">
        <v>600</v>
      </c>
      <c r="W11" s="732">
        <v>5</v>
      </c>
      <c r="X11" s="732">
        <v>4</v>
      </c>
      <c r="Y11" s="732">
        <v>2</v>
      </c>
      <c r="Z11" s="746">
        <f>Y56</f>
        <v>3.1</v>
      </c>
      <c r="AA11" s="734">
        <v>3</v>
      </c>
    </row>
    <row r="12" spans="1:28" s="697" customFormat="1" ht="18" customHeight="1">
      <c r="A12" s="688"/>
      <c r="B12" s="761" t="s">
        <v>1005</v>
      </c>
      <c r="C12" s="762"/>
      <c r="D12" s="763" t="str">
        <f>メイン!H21</f>
        <v>事務所,物販店,</v>
      </c>
      <c r="E12" s="762"/>
      <c r="F12" s="762"/>
      <c r="G12" s="764"/>
      <c r="H12" s="765" t="s">
        <v>1006</v>
      </c>
      <c r="I12" s="766"/>
      <c r="J12" s="767" t="str">
        <f>メイン!H26</f>
        <v>○○</v>
      </c>
      <c r="K12" s="768" t="s">
        <v>1007</v>
      </c>
      <c r="L12" s="749"/>
      <c r="M12" s="769" t="s">
        <v>1926</v>
      </c>
      <c r="N12" s="750"/>
      <c r="O12" s="751"/>
      <c r="P12" s="688"/>
      <c r="Q12" s="688"/>
      <c r="R12" s="733" t="s">
        <v>1008</v>
      </c>
      <c r="S12" s="733">
        <f>S10/S11</f>
        <v>1.1834319526627219</v>
      </c>
      <c r="U12" s="745" t="s">
        <v>1009</v>
      </c>
      <c r="V12" s="760" t="s">
        <v>1010</v>
      </c>
      <c r="W12" s="732">
        <v>5</v>
      </c>
      <c r="X12" s="732">
        <v>4</v>
      </c>
      <c r="Y12" s="732">
        <v>2</v>
      </c>
      <c r="Z12" s="746">
        <f>V56</f>
        <v>3</v>
      </c>
      <c r="AA12" s="734">
        <v>3</v>
      </c>
    </row>
    <row r="13" spans="1:28" s="697" customFormat="1" ht="18" customHeight="1">
      <c r="A13" s="688"/>
      <c r="B13" s="770" t="s">
        <v>1011</v>
      </c>
      <c r="C13" s="771"/>
      <c r="D13" s="2748">
        <f>メイン!H15</f>
        <v>41974</v>
      </c>
      <c r="E13" s="2749"/>
      <c r="F13" s="772">
        <f>メイン!H16</f>
        <v>0</v>
      </c>
      <c r="G13" s="773"/>
      <c r="H13" s="774" t="s">
        <v>1012</v>
      </c>
      <c r="I13" s="775"/>
      <c r="J13" s="2750" t="str">
        <f>メイン!H37</f>
        <v>2014年9月1日～2014年12月10日</v>
      </c>
      <c r="K13" s="2751"/>
      <c r="L13" s="749"/>
      <c r="M13" s="769" t="s">
        <v>1927</v>
      </c>
      <c r="O13" s="751"/>
      <c r="P13" s="688"/>
      <c r="Q13" s="688"/>
      <c r="R13" s="745" t="s">
        <v>1013</v>
      </c>
      <c r="S13" s="776">
        <f>ROUNDDOWN(S12,1)</f>
        <v>1.1000000000000001</v>
      </c>
      <c r="U13" s="745" t="s">
        <v>1014</v>
      </c>
      <c r="V13" s="760" t="s">
        <v>1015</v>
      </c>
      <c r="W13" s="732">
        <v>5</v>
      </c>
      <c r="X13" s="732">
        <v>4</v>
      </c>
      <c r="Y13" s="732">
        <v>2</v>
      </c>
      <c r="Z13" s="746">
        <f>S56</f>
        <v>3.7</v>
      </c>
      <c r="AA13" s="734">
        <v>3</v>
      </c>
    </row>
    <row r="14" spans="1:28" s="697" customFormat="1" ht="18" customHeight="1">
      <c r="A14" s="688"/>
      <c r="B14" s="754" t="s">
        <v>1016</v>
      </c>
      <c r="C14" s="777"/>
      <c r="D14" s="2752">
        <f>メイン!C15</f>
        <v>21976</v>
      </c>
      <c r="E14" s="2753"/>
      <c r="F14" s="779"/>
      <c r="G14" s="722"/>
      <c r="H14" s="723" t="s">
        <v>1017</v>
      </c>
      <c r="I14" s="780"/>
      <c r="J14" s="781">
        <f>メイン!H39</f>
        <v>41828</v>
      </c>
      <c r="K14" s="782"/>
      <c r="L14" s="749"/>
      <c r="O14" s="751"/>
      <c r="P14" s="688"/>
      <c r="Q14" s="688"/>
      <c r="S14" s="783"/>
      <c r="U14" s="745" t="s">
        <v>1018</v>
      </c>
      <c r="V14" s="753" t="s">
        <v>1019</v>
      </c>
      <c r="W14" s="732">
        <v>5</v>
      </c>
      <c r="X14" s="732">
        <v>4</v>
      </c>
      <c r="Y14" s="732">
        <v>2</v>
      </c>
      <c r="Z14" s="746">
        <f>IF(S45=0,1,S45)</f>
        <v>3</v>
      </c>
      <c r="AA14" s="734">
        <v>3</v>
      </c>
    </row>
    <row r="15" spans="1:28" s="697" customFormat="1" ht="18" customHeight="1">
      <c r="A15" s="688"/>
      <c r="B15" s="723" t="s">
        <v>1020</v>
      </c>
      <c r="C15" s="784"/>
      <c r="D15" s="785"/>
      <c r="E15" s="786">
        <f>メイン!H17</f>
        <v>2000</v>
      </c>
      <c r="F15" s="787" t="s">
        <v>1021</v>
      </c>
      <c r="H15" s="723" t="s">
        <v>1022</v>
      </c>
      <c r="I15" s="780"/>
      <c r="J15" s="788" t="str">
        <f>メイン!H40</f>
        <v>○○○</v>
      </c>
      <c r="K15" s="789"/>
      <c r="L15" s="749"/>
      <c r="M15" s="750"/>
      <c r="N15" s="750"/>
      <c r="O15" s="751"/>
      <c r="P15" s="688"/>
      <c r="Q15" s="688"/>
      <c r="R15" s="733" t="s">
        <v>1023</v>
      </c>
      <c r="S15" s="790">
        <f>IF(AND($S$10&gt;=50,$S$12&gt;=3),1,IF(S13&lt;0.5,1,IF(S13&lt;1,2,IF(S13&lt;1.5,3,IF(S13&lt;3,4,4))))/5)</f>
        <v>0.6</v>
      </c>
      <c r="V15" s="791"/>
      <c r="Z15" s="791"/>
    </row>
    <row r="16" spans="1:28" s="697" customFormat="1" ht="18" customHeight="1" thickBot="1">
      <c r="A16" s="688"/>
      <c r="B16" s="723" t="s">
        <v>1024</v>
      </c>
      <c r="C16" s="784"/>
      <c r="D16" s="785"/>
      <c r="E16" s="786">
        <f>メイン!H18</f>
        <v>1400</v>
      </c>
      <c r="F16" s="787" t="s">
        <v>1025</v>
      </c>
      <c r="H16" s="723" t="s">
        <v>1026</v>
      </c>
      <c r="J16" s="792">
        <f>メイン!H41</f>
        <v>41830</v>
      </c>
      <c r="L16" s="793"/>
      <c r="M16" s="794"/>
      <c r="N16" s="794"/>
      <c r="O16" s="795"/>
      <c r="P16" s="688"/>
      <c r="Q16" s="688"/>
      <c r="R16" s="733" t="s">
        <v>1027</v>
      </c>
      <c r="S16" s="790">
        <f>1-S15</f>
        <v>0.4</v>
      </c>
      <c r="T16" s="791"/>
      <c r="U16" s="796"/>
      <c r="V16" s="791"/>
      <c r="W16" s="791"/>
      <c r="X16" s="791"/>
      <c r="Y16" s="791"/>
      <c r="Z16" s="791"/>
      <c r="AA16" s="791"/>
      <c r="AB16" s="791"/>
    </row>
    <row r="17" spans="1:28" s="697" customFormat="1" ht="18" customHeight="1">
      <c r="A17" s="688"/>
      <c r="B17" s="739" t="s">
        <v>1028</v>
      </c>
      <c r="C17" s="797"/>
      <c r="D17" s="798"/>
      <c r="E17" s="799">
        <f>メイン!H19</f>
        <v>10000</v>
      </c>
      <c r="F17" s="800" t="s">
        <v>1021</v>
      </c>
      <c r="G17" s="722"/>
      <c r="H17" s="739" t="s">
        <v>1029</v>
      </c>
      <c r="I17" s="801"/>
      <c r="J17" s="802" t="str">
        <f>メイン!H42</f>
        <v>○○○</v>
      </c>
      <c r="K17" s="801"/>
      <c r="L17" s="803" t="s">
        <v>1030</v>
      </c>
      <c r="M17" s="804" t="s">
        <v>1031</v>
      </c>
      <c r="N17" s="514" t="str">
        <f>IF(メイン!H33=0,"",メイン!H33)</f>
        <v>○○○</v>
      </c>
      <c r="O17" s="805"/>
      <c r="P17" s="688"/>
      <c r="Q17" s="688"/>
      <c r="R17" s="791"/>
      <c r="S17" s="791"/>
      <c r="T17" s="791"/>
      <c r="U17" s="791"/>
      <c r="V17" s="791"/>
      <c r="W17" s="791"/>
      <c r="X17" s="791"/>
      <c r="Y17" s="791"/>
      <c r="Z17" s="791"/>
      <c r="AA17" s="791"/>
      <c r="AB17" s="791"/>
    </row>
    <row r="18" spans="1:28" s="697" customFormat="1" ht="18" customHeight="1">
      <c r="A18" s="688"/>
      <c r="B18" s="765" t="s">
        <v>1032</v>
      </c>
      <c r="C18" s="806"/>
      <c r="D18" s="2754" t="str">
        <f>IF(メイン!H27=0,"",メイン!H27)</f>
        <v>○○○</v>
      </c>
      <c r="E18" s="2755"/>
      <c r="F18" s="2755"/>
      <c r="G18" s="2756"/>
      <c r="H18" s="765" t="s">
        <v>1033</v>
      </c>
      <c r="I18" s="806"/>
      <c r="J18" s="2754" t="str">
        <f>IF(メイン!C27=0,"",メイン!C27)</f>
        <v>○○○</v>
      </c>
      <c r="K18" s="2763"/>
      <c r="L18" s="807"/>
      <c r="M18" s="804" t="s">
        <v>1034</v>
      </c>
      <c r="N18" s="514" t="str">
        <f>IF(メイン!H34=0,"",メイン!H34)</f>
        <v>○○○</v>
      </c>
      <c r="O18" s="808"/>
      <c r="P18" s="688"/>
      <c r="Q18" s="688"/>
      <c r="R18" s="809"/>
      <c r="S18" s="810"/>
      <c r="T18" s="791"/>
      <c r="U18" s="791"/>
      <c r="V18" s="810"/>
      <c r="W18" s="811"/>
      <c r="X18" s="791"/>
      <c r="Y18" s="791"/>
      <c r="Z18" s="791"/>
      <c r="AA18" s="791"/>
      <c r="AB18" s="791"/>
    </row>
    <row r="19" spans="1:28" s="697" customFormat="1" ht="18" customHeight="1">
      <c r="A19" s="688"/>
      <c r="B19" s="743"/>
      <c r="C19" s="736"/>
      <c r="D19" s="2757"/>
      <c r="E19" s="2758"/>
      <c r="F19" s="2758"/>
      <c r="G19" s="2759"/>
      <c r="H19" s="743"/>
      <c r="J19" s="2757"/>
      <c r="K19" s="2764"/>
      <c r="L19" s="807"/>
      <c r="M19" s="804" t="s">
        <v>1035</v>
      </c>
      <c r="N19" s="514" t="str">
        <f>IF(メイン!H35=0,"",メイン!H35)</f>
        <v>○○○</v>
      </c>
      <c r="O19" s="808"/>
      <c r="P19" s="688"/>
      <c r="Q19" s="688"/>
      <c r="R19" s="809"/>
      <c r="S19" s="810"/>
      <c r="T19" s="791"/>
      <c r="U19" s="791"/>
      <c r="V19" s="810"/>
      <c r="W19" s="811"/>
      <c r="X19" s="791"/>
      <c r="Y19" s="791"/>
      <c r="Z19" s="791"/>
      <c r="AA19" s="791"/>
      <c r="AB19" s="791"/>
    </row>
    <row r="20" spans="1:28" s="697" customFormat="1" ht="18" customHeight="1" thickBot="1">
      <c r="A20" s="688"/>
      <c r="B20" s="812"/>
      <c r="C20" s="813"/>
      <c r="D20" s="2760"/>
      <c r="E20" s="2761"/>
      <c r="F20" s="2761"/>
      <c r="G20" s="2762"/>
      <c r="H20" s="812"/>
      <c r="I20" s="814"/>
      <c r="J20" s="2760"/>
      <c r="K20" s="2765"/>
      <c r="L20" s="815"/>
      <c r="M20" s="816" t="s">
        <v>1036</v>
      </c>
      <c r="N20" s="817" t="str">
        <f>IF(メイン!H36=0,"",メイン!H36)</f>
        <v>○○○</v>
      </c>
      <c r="O20" s="818"/>
      <c r="P20" s="688"/>
      <c r="Q20" s="688"/>
      <c r="R20" s="809"/>
      <c r="S20" s="810"/>
      <c r="T20" s="791"/>
      <c r="U20" s="791"/>
      <c r="V20" s="810"/>
      <c r="W20" s="811"/>
      <c r="X20" s="791"/>
      <c r="Y20" s="791"/>
      <c r="Z20" s="791"/>
      <c r="AA20" s="791"/>
      <c r="AB20" s="791"/>
    </row>
    <row r="21" spans="1:28" s="697" customFormat="1" ht="7.5" customHeight="1" thickBot="1">
      <c r="A21" s="688"/>
      <c r="B21" s="819"/>
      <c r="C21" s="820"/>
      <c r="D21" s="819"/>
      <c r="E21" s="821"/>
      <c r="F21" s="821"/>
      <c r="G21" s="821"/>
      <c r="H21" s="821"/>
      <c r="I21" s="822"/>
      <c r="J21" s="823"/>
      <c r="K21" s="824"/>
      <c r="L21" s="821"/>
      <c r="M21" s="821"/>
      <c r="N21" s="821"/>
      <c r="O21" s="821"/>
      <c r="P21" s="688"/>
      <c r="Q21" s="688"/>
      <c r="R21" s="809"/>
      <c r="S21" s="810"/>
      <c r="T21" s="791"/>
      <c r="U21" s="791"/>
      <c r="V21" s="810"/>
      <c r="W21" s="811"/>
      <c r="X21" s="791"/>
      <c r="Y21" s="791"/>
      <c r="Z21" s="791"/>
      <c r="AA21" s="791"/>
      <c r="AB21" s="791"/>
    </row>
    <row r="22" spans="1:28" s="697" customFormat="1" ht="19.5" thickBot="1">
      <c r="A22" s="688"/>
      <c r="B22" s="825" t="s">
        <v>1037</v>
      </c>
      <c r="C22" s="826"/>
      <c r="D22" s="827"/>
      <c r="E22" s="828"/>
      <c r="F22" s="828"/>
      <c r="G22" s="828"/>
      <c r="H22" s="716" t="s">
        <v>339</v>
      </c>
      <c r="I22" s="830"/>
      <c r="J22" s="831"/>
      <c r="K22" s="831"/>
      <c r="L22" s="829" t="s">
        <v>340</v>
      </c>
      <c r="M22" s="830"/>
      <c r="N22" s="831"/>
      <c r="O22" s="832"/>
      <c r="P22" s="688"/>
      <c r="Q22" s="688"/>
      <c r="R22" s="733" t="s">
        <v>1038</v>
      </c>
      <c r="S22" s="731" t="s">
        <v>1039</v>
      </c>
      <c r="T22" s="731" t="s">
        <v>1040</v>
      </c>
      <c r="U22" s="731" t="s">
        <v>1041</v>
      </c>
      <c r="AB22" s="791"/>
    </row>
    <row r="23" spans="1:28" s="697" customFormat="1" ht="15" customHeight="1">
      <c r="A23" s="688"/>
      <c r="B23" s="743"/>
      <c r="H23" s="833"/>
      <c r="I23" s="834"/>
      <c r="J23" s="834"/>
      <c r="K23" s="834"/>
      <c r="L23" s="835"/>
      <c r="M23" s="836"/>
      <c r="O23" s="837"/>
      <c r="R23" s="733" t="s">
        <v>1042</v>
      </c>
      <c r="S23" s="838"/>
      <c r="T23" s="838">
        <f>S11</f>
        <v>42.250000000000007</v>
      </c>
      <c r="U23" s="838">
        <v>0</v>
      </c>
      <c r="V23" s="791"/>
      <c r="W23" s="731" t="s">
        <v>1043</v>
      </c>
      <c r="X23" s="731"/>
      <c r="Y23" s="791"/>
      <c r="Z23" s="731" t="s">
        <v>1044</v>
      </c>
      <c r="AA23" s="731"/>
      <c r="AB23" s="791"/>
    </row>
    <row r="24" spans="1:28" s="697" customFormat="1" ht="15" customHeight="1">
      <c r="A24" s="688"/>
      <c r="B24" s="743"/>
      <c r="C24" s="783">
        <f>S13</f>
        <v>1.1000000000000001</v>
      </c>
      <c r="H24" s="839"/>
      <c r="I24" s="834"/>
      <c r="J24" s="834"/>
      <c r="K24" s="834"/>
      <c r="L24" s="835"/>
      <c r="M24" s="836"/>
      <c r="N24" s="840"/>
      <c r="O24" s="841"/>
      <c r="R24" s="733" t="s">
        <v>1045</v>
      </c>
      <c r="S24" s="838"/>
      <c r="T24" s="838">
        <f>S10</f>
        <v>50.000000000000014</v>
      </c>
      <c r="U24" s="838">
        <v>0</v>
      </c>
      <c r="V24" s="791"/>
      <c r="W24" s="746">
        <v>50</v>
      </c>
      <c r="X24" s="746">
        <v>50</v>
      </c>
      <c r="Y24" s="791"/>
      <c r="Z24" s="746">
        <v>0</v>
      </c>
      <c r="AA24" s="746">
        <v>100</v>
      </c>
      <c r="AB24" s="791"/>
    </row>
    <row r="25" spans="1:28" s="697" customFormat="1" ht="15" customHeight="1">
      <c r="A25" s="688"/>
      <c r="B25" s="743"/>
      <c r="H25" s="839"/>
      <c r="I25" s="834"/>
      <c r="J25" s="834"/>
      <c r="K25" s="834"/>
      <c r="L25" s="835"/>
      <c r="N25" s="840"/>
      <c r="O25" s="841"/>
      <c r="R25" s="746">
        <v>0</v>
      </c>
      <c r="S25" s="842">
        <f>T23</f>
        <v>42.250000000000007</v>
      </c>
      <c r="T25" s="842">
        <f>T23</f>
        <v>42.250000000000007</v>
      </c>
      <c r="U25" s="842">
        <v>0.1</v>
      </c>
      <c r="V25" s="791"/>
      <c r="W25" s="746">
        <v>0</v>
      </c>
      <c r="X25" s="746">
        <v>100</v>
      </c>
      <c r="Y25" s="791"/>
      <c r="Z25" s="746">
        <v>50</v>
      </c>
      <c r="AA25" s="746">
        <v>50</v>
      </c>
      <c r="AB25" s="791"/>
    </row>
    <row r="26" spans="1:28" s="697" customFormat="1" ht="15" customHeight="1">
      <c r="A26" s="688"/>
      <c r="B26" s="843"/>
      <c r="C26" s="844"/>
      <c r="D26" s="844"/>
      <c r="E26" s="844"/>
      <c r="F26" s="844"/>
      <c r="G26" s="845"/>
      <c r="H26" s="846"/>
      <c r="I26" s="834"/>
      <c r="J26" s="728"/>
      <c r="K26" s="834"/>
      <c r="L26" s="835"/>
      <c r="M26" s="836"/>
      <c r="N26" s="840"/>
      <c r="O26" s="841"/>
      <c r="R26" s="746">
        <v>0</v>
      </c>
      <c r="S26" s="842">
        <v>0</v>
      </c>
      <c r="T26" s="842">
        <f>T24</f>
        <v>50.000000000000014</v>
      </c>
      <c r="U26" s="842">
        <f>T24</f>
        <v>50.000000000000014</v>
      </c>
      <c r="V26" s="791"/>
      <c r="W26" s="791"/>
      <c r="X26" s="791"/>
      <c r="Y26" s="791"/>
      <c r="Z26" s="791"/>
      <c r="AA26" s="791"/>
      <c r="AB26" s="791"/>
    </row>
    <row r="27" spans="1:28" s="697" customFormat="1" ht="15" customHeight="1">
      <c r="A27" s="688"/>
      <c r="B27" s="743"/>
      <c r="H27" s="2103" t="str">
        <f>U35</f>
        <v>標準計算</v>
      </c>
      <c r="I27" s="1816"/>
      <c r="J27" s="1816"/>
      <c r="K27" s="1823"/>
      <c r="L27" s="835"/>
      <c r="N27" s="840"/>
      <c r="O27" s="841"/>
      <c r="V27" s="791"/>
      <c r="W27" s="791"/>
      <c r="X27" s="791"/>
      <c r="Y27" s="791"/>
      <c r="Z27" s="791"/>
      <c r="AA27" s="791"/>
      <c r="AB27" s="791"/>
    </row>
    <row r="28" spans="1:28" s="697" customFormat="1" ht="15" customHeight="1">
      <c r="A28" s="688"/>
      <c r="B28" s="743"/>
      <c r="H28" s="2105"/>
      <c r="I28" s="848"/>
      <c r="J28" s="849"/>
      <c r="K28" s="1817"/>
      <c r="L28" s="835"/>
      <c r="N28" s="840"/>
      <c r="O28" s="841"/>
      <c r="R28" s="851" t="s">
        <v>1046</v>
      </c>
      <c r="S28" s="731" t="s">
        <v>1047</v>
      </c>
      <c r="T28" s="852">
        <v>0</v>
      </c>
      <c r="U28" s="852">
        <f>100/6</f>
        <v>16.666666666666668</v>
      </c>
      <c r="V28" s="853">
        <f>U28*2</f>
        <v>33.333333333333336</v>
      </c>
      <c r="W28" s="852">
        <f>U28*3</f>
        <v>50</v>
      </c>
      <c r="X28" s="852">
        <f>U28*4</f>
        <v>66.666666666666671</v>
      </c>
      <c r="Y28" s="852">
        <f>U28*5</f>
        <v>83.333333333333343</v>
      </c>
      <c r="Z28" s="852">
        <v>100</v>
      </c>
      <c r="AA28" s="791"/>
      <c r="AB28" s="791"/>
    </row>
    <row r="29" spans="1:28" s="697" customFormat="1" ht="15" customHeight="1">
      <c r="A29" s="688"/>
      <c r="B29" s="743"/>
      <c r="H29" s="2105"/>
      <c r="I29" s="848"/>
      <c r="J29" s="849"/>
      <c r="K29" s="850"/>
      <c r="L29" s="835"/>
      <c r="N29" s="840"/>
      <c r="O29" s="841"/>
      <c r="R29" s="851"/>
      <c r="S29" s="731" t="s">
        <v>1048</v>
      </c>
      <c r="T29" s="852">
        <v>100</v>
      </c>
      <c r="U29" s="852">
        <v>100</v>
      </c>
      <c r="V29" s="852">
        <v>100</v>
      </c>
      <c r="W29" s="852">
        <v>100</v>
      </c>
      <c r="X29" s="852">
        <v>100</v>
      </c>
      <c r="Y29" s="852">
        <v>100</v>
      </c>
      <c r="Z29" s="852">
        <v>100</v>
      </c>
      <c r="AA29" s="791"/>
      <c r="AB29" s="791"/>
    </row>
    <row r="30" spans="1:28" s="697" customFormat="1" ht="15" customHeight="1">
      <c r="A30" s="688"/>
      <c r="B30" s="743"/>
      <c r="H30" s="2105"/>
      <c r="I30" s="848"/>
      <c r="J30" s="849"/>
      <c r="K30" s="1814"/>
      <c r="L30" s="854"/>
      <c r="M30" s="855"/>
      <c r="N30" s="856"/>
      <c r="O30" s="857"/>
      <c r="R30" s="851">
        <v>3</v>
      </c>
      <c r="S30" s="731" t="s">
        <v>1049</v>
      </c>
      <c r="T30" s="852">
        <v>50</v>
      </c>
      <c r="U30" s="852">
        <f t="shared" ref="U30:V33" si="0">U$28*$R30</f>
        <v>50</v>
      </c>
      <c r="V30" s="852">
        <f t="shared" si="0"/>
        <v>100</v>
      </c>
      <c r="W30" s="852">
        <v>100</v>
      </c>
      <c r="X30" s="852">
        <v>100</v>
      </c>
      <c r="Y30" s="852">
        <v>100</v>
      </c>
      <c r="Z30" s="852">
        <v>100</v>
      </c>
      <c r="AA30" s="791"/>
      <c r="AB30" s="791"/>
    </row>
    <row r="31" spans="1:28" s="697" customFormat="1" ht="15" customHeight="1">
      <c r="A31" s="688"/>
      <c r="B31" s="743"/>
      <c r="H31" s="2105"/>
      <c r="I31" s="848"/>
      <c r="J31" s="849"/>
      <c r="K31" s="1814"/>
      <c r="L31" s="847"/>
      <c r="M31" s="848"/>
      <c r="N31" s="849"/>
      <c r="O31" s="1815"/>
      <c r="R31" s="851">
        <v>1.5</v>
      </c>
      <c r="S31" s="731" t="s">
        <v>1050</v>
      </c>
      <c r="T31" s="852">
        <v>0</v>
      </c>
      <c r="U31" s="852">
        <f t="shared" si="0"/>
        <v>25</v>
      </c>
      <c r="V31" s="852">
        <f t="shared" si="0"/>
        <v>50</v>
      </c>
      <c r="W31" s="852">
        <f t="shared" ref="W31:X33" si="1">W$28*$R31</f>
        <v>75</v>
      </c>
      <c r="X31" s="852">
        <f t="shared" si="1"/>
        <v>100</v>
      </c>
      <c r="Y31" s="852">
        <v>100</v>
      </c>
      <c r="Z31" s="852">
        <v>100</v>
      </c>
      <c r="AA31" s="791"/>
      <c r="AB31" s="791"/>
    </row>
    <row r="32" spans="1:28" s="697" customFormat="1" ht="15" customHeight="1">
      <c r="A32" s="688"/>
      <c r="B32" s="743"/>
      <c r="H32" s="2105"/>
      <c r="I32" s="848"/>
      <c r="J32" s="849"/>
      <c r="K32" s="850"/>
      <c r="L32" s="835"/>
      <c r="N32" s="840"/>
      <c r="O32" s="841"/>
      <c r="R32" s="851">
        <v>1</v>
      </c>
      <c r="S32" s="731" t="s">
        <v>1051</v>
      </c>
      <c r="T32" s="852">
        <v>0</v>
      </c>
      <c r="U32" s="852">
        <f t="shared" si="0"/>
        <v>16.666666666666668</v>
      </c>
      <c r="V32" s="852">
        <f t="shared" si="0"/>
        <v>33.333333333333336</v>
      </c>
      <c r="W32" s="852">
        <f t="shared" si="1"/>
        <v>50</v>
      </c>
      <c r="X32" s="852">
        <f t="shared" si="1"/>
        <v>66.666666666666671</v>
      </c>
      <c r="Y32" s="852">
        <f>Y$28*$R32</f>
        <v>83.333333333333343</v>
      </c>
      <c r="Z32" s="852">
        <f>Z$28*$R32</f>
        <v>100</v>
      </c>
      <c r="AA32" s="791"/>
      <c r="AB32" s="791"/>
    </row>
    <row r="33" spans="1:30" s="697" customFormat="1" ht="15" customHeight="1">
      <c r="A33" s="688"/>
      <c r="B33" s="743"/>
      <c r="H33" s="2105"/>
      <c r="I33" s="848"/>
      <c r="J33" s="849"/>
      <c r="K33" s="850"/>
      <c r="L33" s="835"/>
      <c r="N33" s="840"/>
      <c r="O33" s="841"/>
      <c r="R33" s="851">
        <v>0.5</v>
      </c>
      <c r="S33" s="731" t="s">
        <v>1052</v>
      </c>
      <c r="T33" s="852">
        <v>0</v>
      </c>
      <c r="U33" s="852">
        <f t="shared" si="0"/>
        <v>8.3333333333333339</v>
      </c>
      <c r="V33" s="852">
        <f t="shared" si="0"/>
        <v>16.666666666666668</v>
      </c>
      <c r="W33" s="852">
        <f t="shared" si="1"/>
        <v>25</v>
      </c>
      <c r="X33" s="852">
        <f t="shared" si="1"/>
        <v>33.333333333333336</v>
      </c>
      <c r="Y33" s="852">
        <f>Y$28*$R33</f>
        <v>41.666666666666671</v>
      </c>
      <c r="Z33" s="852">
        <f>Z$28*$R33</f>
        <v>50</v>
      </c>
      <c r="AA33" s="791"/>
      <c r="AB33" s="791"/>
    </row>
    <row r="34" spans="1:30" s="697" customFormat="1" ht="15" customHeight="1" thickBot="1">
      <c r="A34" s="688"/>
      <c r="B34" s="743"/>
      <c r="H34" s="2106"/>
      <c r="I34" s="834"/>
      <c r="J34" s="834"/>
      <c r="K34" s="834"/>
      <c r="L34" s="835"/>
      <c r="M34" s="836"/>
      <c r="N34" s="840"/>
      <c r="O34" s="841"/>
      <c r="AA34" s="791"/>
      <c r="AB34" s="791"/>
    </row>
    <row r="35" spans="1:30" s="697" customFormat="1" ht="15" customHeight="1" thickBot="1">
      <c r="A35" s="807"/>
      <c r="B35" s="743"/>
      <c r="H35" s="2106"/>
      <c r="I35" s="834"/>
      <c r="J35" s="834"/>
      <c r="K35" s="834"/>
      <c r="L35" s="2772"/>
      <c r="M35" s="2773"/>
      <c r="N35" s="2773"/>
      <c r="O35" s="2774"/>
      <c r="R35" s="733" t="s">
        <v>980</v>
      </c>
      <c r="S35" s="790">
        <f>IF(T35&lt;=0.3,1,IF(X40&lt;=0.6,0.8,IF(X40&lt;=0.8,0.6,IF(X40&lt;=1,0.4,0.2))))</f>
        <v>0.4</v>
      </c>
      <c r="T35" s="1818">
        <f>IF(U35=W35,X41,X42)</f>
        <v>0.90346293993893334</v>
      </c>
      <c r="U35" s="860" t="str">
        <f>メイン!C43</f>
        <v>標準計算</v>
      </c>
      <c r="V35" s="1822" t="s">
        <v>120</v>
      </c>
      <c r="W35" s="863" t="s">
        <v>529</v>
      </c>
      <c r="X35" s="863" t="s">
        <v>1057</v>
      </c>
      <c r="AA35" s="791"/>
      <c r="AB35" s="791"/>
    </row>
    <row r="36" spans="1:30" s="697" customFormat="1" ht="15" customHeight="1">
      <c r="A36" s="807"/>
      <c r="B36" s="743"/>
      <c r="H36" s="2784" t="str">
        <f>IF(U35=W35,X35,X36)</f>
        <v>このグラフは、LR3中の「地球温暖化への配慮」の内容を、一般的な建物（参照値）と比べたライフサイクルCO2 排出量の目安で示したものです</v>
      </c>
      <c r="I36" s="2785"/>
      <c r="J36" s="2785"/>
      <c r="K36" s="2786"/>
      <c r="L36" s="2772"/>
      <c r="M36" s="2773"/>
      <c r="N36" s="2773"/>
      <c r="O36" s="2774"/>
      <c r="R36" s="733" t="s">
        <v>1027</v>
      </c>
      <c r="S36" s="1819">
        <f>1-S35</f>
        <v>0.6</v>
      </c>
      <c r="T36" s="1818"/>
      <c r="U36" s="863" t="s">
        <v>870</v>
      </c>
      <c r="V36" s="1818" t="str">
        <f>IF(U35=W36,V35,"")</f>
        <v/>
      </c>
      <c r="W36" s="863" t="s">
        <v>531</v>
      </c>
      <c r="X36" s="863" t="s">
        <v>1059</v>
      </c>
      <c r="AA36" s="791"/>
      <c r="AB36" s="791"/>
    </row>
    <row r="37" spans="1:30" s="697" customFormat="1" ht="15" customHeight="1">
      <c r="A37" s="807"/>
      <c r="B37" s="743"/>
      <c r="C37" s="864"/>
      <c r="H37" s="2784"/>
      <c r="I37" s="2785"/>
      <c r="J37" s="2785"/>
      <c r="K37" s="2786"/>
      <c r="L37" s="2772"/>
      <c r="M37" s="2773"/>
      <c r="N37" s="2773"/>
      <c r="O37" s="2774"/>
      <c r="AA37" s="791"/>
      <c r="AB37" s="791"/>
    </row>
    <row r="38" spans="1:30" s="697" customFormat="1" ht="15" customHeight="1" thickBot="1">
      <c r="A38" s="807"/>
      <c r="B38" s="812"/>
      <c r="C38" s="814"/>
      <c r="D38" s="814"/>
      <c r="E38" s="814"/>
      <c r="F38" s="814"/>
      <c r="G38" s="814"/>
      <c r="H38" s="2787"/>
      <c r="I38" s="2788"/>
      <c r="J38" s="2788"/>
      <c r="K38" s="2789"/>
      <c r="L38" s="2775"/>
      <c r="M38" s="2776"/>
      <c r="N38" s="2776"/>
      <c r="O38" s="2777"/>
      <c r="R38" s="858" t="s">
        <v>1053</v>
      </c>
      <c r="S38" s="859" t="s">
        <v>1054</v>
      </c>
      <c r="T38" s="859" t="s">
        <v>1055</v>
      </c>
      <c r="U38" s="859" t="s">
        <v>1056</v>
      </c>
      <c r="V38" s="859" t="s">
        <v>737</v>
      </c>
      <c r="W38" s="859" t="s">
        <v>738</v>
      </c>
      <c r="X38" s="859" t="s">
        <v>442</v>
      </c>
      <c r="Y38" s="730" t="s">
        <v>443</v>
      </c>
      <c r="AC38" s="791"/>
      <c r="AD38" s="791"/>
    </row>
    <row r="39" spans="1:30" s="697" customFormat="1" ht="18" customHeight="1" thickBot="1">
      <c r="A39" s="688"/>
      <c r="B39" s="865" t="s">
        <v>1061</v>
      </c>
      <c r="C39" s="866"/>
      <c r="D39" s="867"/>
      <c r="E39" s="866"/>
      <c r="F39" s="866"/>
      <c r="G39" s="866"/>
      <c r="H39" s="868"/>
      <c r="I39" s="869"/>
      <c r="J39" s="866"/>
      <c r="K39" s="866"/>
      <c r="L39" s="866"/>
      <c r="M39" s="870"/>
      <c r="N39" s="870"/>
      <c r="O39" s="871"/>
      <c r="P39" s="688"/>
      <c r="Q39" s="688"/>
      <c r="R39" s="730" t="s">
        <v>444</v>
      </c>
      <c r="S39" s="861">
        <f>IF($U$35=$W$35,'条件(標準)_後'!D9,'条件(個別)_後'!D9)</f>
        <v>14.775099999999998</v>
      </c>
      <c r="T39" s="861">
        <f>IF($U$35=$W$35,'条件(標準)_後'!D34,'条件(個別)_後'!D34)</f>
        <v>13.257699999999998</v>
      </c>
      <c r="U39" s="861">
        <f>IF($U$35=$W$35,'条件(標準)_後'!D46,'条件(個別)_後'!D46)</f>
        <v>111.16395434754098</v>
      </c>
      <c r="V39" s="861"/>
      <c r="W39" s="861"/>
      <c r="X39" s="862">
        <v>1</v>
      </c>
      <c r="Y39" s="730">
        <f>IF(COUNTIF(S39:W39,Z40)&gt;0,Z40,SUM(S39:W39))</f>
        <v>139.19675434754097</v>
      </c>
      <c r="AC39" s="791"/>
      <c r="AD39" s="791"/>
    </row>
    <row r="40" spans="1:30" s="697" customFormat="1" ht="18.75">
      <c r="A40" s="688"/>
      <c r="B40" s="872" t="s">
        <v>1062</v>
      </c>
      <c r="C40" s="873"/>
      <c r="D40" s="873"/>
      <c r="E40" s="874"/>
      <c r="F40" s="873"/>
      <c r="G40" s="873"/>
      <c r="H40" s="873"/>
      <c r="I40" s="873"/>
      <c r="J40" s="873"/>
      <c r="K40" s="875"/>
      <c r="L40" s="876"/>
      <c r="M40" s="877" t="s">
        <v>56</v>
      </c>
      <c r="N40" s="878">
        <f>スコア表示!U8</f>
        <v>3</v>
      </c>
      <c r="O40" s="879"/>
      <c r="P40" s="688"/>
      <c r="Q40" s="688"/>
      <c r="R40" s="730" t="s">
        <v>459</v>
      </c>
      <c r="S40" s="861">
        <f>IF($U$35=$W$35,'条件(標準)_後'!E9,'条件(個別)_後'!E9)</f>
        <v>12.453849999999999</v>
      </c>
      <c r="T40" s="861">
        <f>IF($U$35=$W$35,'条件(標準)_後'!E34,'条件(個別)_後'!E34)</f>
        <v>13.257699999999998</v>
      </c>
      <c r="U40" s="861">
        <f>IF($U$35=$W$35,'条件(標準)_後'!E46,'条件(個別)_後'!E46)</f>
        <v>100.04755891278688</v>
      </c>
      <c r="V40" s="861"/>
      <c r="W40" s="861"/>
      <c r="X40" s="862">
        <f>IF(Y39=Z40,Z40,Y40/Y39)</f>
        <v>0.90346293993893334</v>
      </c>
      <c r="Y40" s="730">
        <f>IF(COUNTIF(S40:W40,Z41)&gt;0,Z41,SUM(S40:W40))</f>
        <v>125.75910891278687</v>
      </c>
      <c r="Z40" s="697" t="s">
        <v>1058</v>
      </c>
      <c r="AC40" s="791"/>
      <c r="AD40" s="791"/>
    </row>
    <row r="41" spans="1:30" s="697" customFormat="1" ht="15">
      <c r="A41" s="688"/>
      <c r="B41" s="743"/>
      <c r="C41" s="880" t="str">
        <f>スコア表示!B9&amp;" "&amp;スコア表示!D9</f>
        <v>Q1 室内環境</v>
      </c>
      <c r="D41" s="881"/>
      <c r="E41" s="881"/>
      <c r="F41" s="881"/>
      <c r="G41" s="881"/>
      <c r="H41" s="881" t="str">
        <f>"     "&amp;スコア表示!B61&amp;" "&amp;スコア表示!D61</f>
        <v xml:space="preserve">     Q2 サービス性能</v>
      </c>
      <c r="I41" s="881"/>
      <c r="J41" s="807"/>
      <c r="K41" s="807"/>
      <c r="L41" s="882" t="str">
        <f>スコア表示!B109&amp;" "&amp;スコア表示!D109</f>
        <v>Q3 室外環境（敷地内）</v>
      </c>
      <c r="M41" s="882"/>
      <c r="N41" s="807"/>
      <c r="O41" s="883"/>
      <c r="P41" s="688"/>
      <c r="R41" s="730" t="s">
        <v>457</v>
      </c>
      <c r="S41" s="1813"/>
      <c r="T41" s="1813"/>
      <c r="U41" s="1813"/>
      <c r="V41" s="861">
        <f>IF($U$35=$W$35,'条件(標準)_後'!E9+'条件(標準)_後'!E34+'条件(標準)_後'!E47,'条件(個別)_後'!E9+'条件(個別)_後'!E34+'条件(個別)_後'!E47)</f>
        <v>125.75910891278687</v>
      </c>
      <c r="W41" s="861"/>
      <c r="X41" s="862">
        <f>IF(Y39=Z41,Z41,Y41/Y39)</f>
        <v>0.90346293993893334</v>
      </c>
      <c r="Y41" s="730">
        <f>IF(COUNTIF(S41:W41,Z42)&gt;0,Z42,SUM(S41:W41))</f>
        <v>125.75910891278687</v>
      </c>
      <c r="Z41" s="697" t="s">
        <v>1058</v>
      </c>
    </row>
    <row r="42" spans="1:30" s="697" customFormat="1" ht="15" customHeight="1">
      <c r="A42" s="688"/>
      <c r="B42" s="743"/>
      <c r="C42" s="884"/>
      <c r="D42" s="885"/>
      <c r="E42" s="886"/>
      <c r="G42" s="881">
        <f>S45</f>
        <v>3</v>
      </c>
      <c r="I42" s="886"/>
      <c r="K42" s="881">
        <f>V45</f>
        <v>3</v>
      </c>
      <c r="M42" s="887"/>
      <c r="N42" s="886"/>
      <c r="O42" s="888">
        <f>Y45</f>
        <v>3</v>
      </c>
      <c r="P42" s="688"/>
      <c r="Q42" s="688"/>
      <c r="R42" s="730" t="s">
        <v>458</v>
      </c>
      <c r="S42" s="1813"/>
      <c r="T42" s="1813"/>
      <c r="U42" s="1813"/>
      <c r="V42" s="1812"/>
      <c r="W42" s="861">
        <f>IF($U$35=$W$35,'条件(標準)_後'!E9+'条件(標準)_後'!E34+'条件(標準)_後'!E52,'条件(個別)_後'!E9+'条件(個別)_後'!E34+'条件(個別)_後'!E52)</f>
        <v>125.75910891278687</v>
      </c>
      <c r="X42" s="862">
        <f>IF(Y39=Z42,Z42,Y42/Y39)</f>
        <v>0.90346293993893334</v>
      </c>
      <c r="Y42" s="730">
        <f>IF(COUNTIF(S42:W42,Z42)&gt;0,Z42,SUM(S42:W42))</f>
        <v>125.75910891278687</v>
      </c>
      <c r="Z42" s="697" t="s">
        <v>1058</v>
      </c>
    </row>
    <row r="43" spans="1:30" s="697" customFormat="1" ht="15" customHeight="1">
      <c r="A43" s="688"/>
      <c r="B43" s="743"/>
      <c r="G43" s="707"/>
      <c r="H43" s="707"/>
      <c r="I43" s="708"/>
      <c r="J43" s="708"/>
      <c r="K43" s="707"/>
      <c r="L43" s="807"/>
      <c r="M43" s="807"/>
      <c r="N43" s="807"/>
      <c r="O43" s="883"/>
      <c r="P43" s="688"/>
      <c r="Q43" s="688"/>
      <c r="AA43" s="791"/>
      <c r="AB43" s="791"/>
    </row>
    <row r="44" spans="1:30" s="697" customFormat="1" ht="15" customHeight="1">
      <c r="A44" s="688"/>
      <c r="B44" s="743"/>
      <c r="G44" s="707"/>
      <c r="H44" s="707"/>
      <c r="I44" s="708"/>
      <c r="J44" s="708"/>
      <c r="K44" s="707"/>
      <c r="L44" s="807"/>
      <c r="M44" s="807"/>
      <c r="N44" s="807"/>
      <c r="O44" s="883"/>
      <c r="P44" s="688"/>
      <c r="Q44" s="688"/>
      <c r="R44" s="733"/>
      <c r="S44" s="733" t="s">
        <v>1201</v>
      </c>
      <c r="T44" s="733" t="s">
        <v>57</v>
      </c>
      <c r="U44" s="733"/>
      <c r="V44" s="733" t="s">
        <v>1201</v>
      </c>
      <c r="W44" s="733" t="s">
        <v>57</v>
      </c>
      <c r="X44" s="733"/>
      <c r="Y44" s="733" t="s">
        <v>1201</v>
      </c>
      <c r="Z44" s="733" t="s">
        <v>57</v>
      </c>
      <c r="AA44" s="791"/>
      <c r="AB44" s="791"/>
    </row>
    <row r="45" spans="1:30" s="697" customFormat="1" ht="15" customHeight="1">
      <c r="A45" s="688"/>
      <c r="B45" s="743"/>
      <c r="G45" s="707"/>
      <c r="H45" s="707"/>
      <c r="I45" s="708"/>
      <c r="J45" s="708"/>
      <c r="K45" s="707"/>
      <c r="L45" s="807"/>
      <c r="M45" s="807"/>
      <c r="N45" s="807"/>
      <c r="O45" s="883"/>
      <c r="P45" s="688"/>
      <c r="Q45" s="688"/>
      <c r="R45" s="889" t="s">
        <v>1063</v>
      </c>
      <c r="S45" s="890">
        <f>スコア表示!U9</f>
        <v>3</v>
      </c>
      <c r="T45" s="890">
        <f>スコア表示!AO9</f>
        <v>3.0000000000000004</v>
      </c>
      <c r="U45" s="731" t="s">
        <v>1064</v>
      </c>
      <c r="V45" s="890">
        <f>スコア表示!U61</f>
        <v>3</v>
      </c>
      <c r="W45" s="890">
        <f>スコア表示!AO61</f>
        <v>3.0000000000000009</v>
      </c>
      <c r="X45" s="889" t="s">
        <v>1065</v>
      </c>
      <c r="Y45" s="890">
        <f>スコア表示!U109</f>
        <v>3</v>
      </c>
      <c r="Z45" s="890">
        <f>スコア表示!AO109</f>
        <v>2.9999999999999996</v>
      </c>
      <c r="AA45" s="791"/>
      <c r="AB45" s="791"/>
    </row>
    <row r="46" spans="1:30" s="697" customFormat="1" ht="15" customHeight="1">
      <c r="A46" s="688"/>
      <c r="B46" s="743"/>
      <c r="G46" s="707"/>
      <c r="H46" s="707"/>
      <c r="I46" s="708"/>
      <c r="J46" s="708"/>
      <c r="K46" s="707"/>
      <c r="L46" s="807"/>
      <c r="M46" s="807"/>
      <c r="N46" s="807"/>
      <c r="O46" s="883"/>
      <c r="P46" s="688"/>
      <c r="Q46" s="688"/>
      <c r="AA46" s="791"/>
      <c r="AB46" s="791"/>
    </row>
    <row r="47" spans="1:30" s="697" customFormat="1" ht="15" customHeight="1">
      <c r="A47" s="688"/>
      <c r="B47" s="743"/>
      <c r="G47" s="707"/>
      <c r="H47" s="707"/>
      <c r="I47" s="708"/>
      <c r="J47" s="708"/>
      <c r="K47" s="707"/>
      <c r="L47" s="807"/>
      <c r="M47" s="807"/>
      <c r="N47" s="807"/>
      <c r="O47" s="883"/>
      <c r="P47" s="688"/>
      <c r="Q47" s="688"/>
      <c r="R47" s="733"/>
      <c r="S47" s="733" t="s">
        <v>436</v>
      </c>
      <c r="T47" s="733" t="s">
        <v>445</v>
      </c>
      <c r="U47" s="733"/>
      <c r="V47" s="733" t="s">
        <v>436</v>
      </c>
      <c r="W47" s="733" t="s">
        <v>445</v>
      </c>
      <c r="X47" s="733"/>
      <c r="Y47" s="891" t="s">
        <v>436</v>
      </c>
      <c r="Z47" s="733" t="s">
        <v>445</v>
      </c>
      <c r="AA47" s="791"/>
      <c r="AB47" s="791"/>
    </row>
    <row r="48" spans="1:30" s="697" customFormat="1" ht="15" customHeight="1">
      <c r="A48" s="688"/>
      <c r="B48" s="743"/>
      <c r="G48" s="893"/>
      <c r="H48" s="893"/>
      <c r="I48" s="708"/>
      <c r="J48" s="708"/>
      <c r="K48" s="707"/>
      <c r="L48" s="807"/>
      <c r="M48" s="807"/>
      <c r="N48" s="807"/>
      <c r="O48" s="883"/>
      <c r="P48" s="688"/>
      <c r="Q48" s="688"/>
      <c r="R48" s="892" t="s">
        <v>1066</v>
      </c>
      <c r="S48" s="890">
        <f>スコア表示!U10</f>
        <v>3</v>
      </c>
      <c r="T48" s="733" t="str">
        <f>IF(S48=0,"N.A.","")</f>
        <v/>
      </c>
      <c r="U48" s="731" t="s">
        <v>1067</v>
      </c>
      <c r="V48" s="890">
        <f>スコア表示!U62</f>
        <v>3</v>
      </c>
      <c r="W48" s="733" t="str">
        <f>IF(V48=0,"N.A.","")</f>
        <v/>
      </c>
      <c r="X48" s="892" t="s">
        <v>1068</v>
      </c>
      <c r="Y48" s="890">
        <f>スコア表示!U110</f>
        <v>3</v>
      </c>
      <c r="Z48" s="733" t="str">
        <f>IF(Y48=0,"N.A.","")</f>
        <v/>
      </c>
      <c r="AA48" s="791"/>
      <c r="AB48" s="791"/>
    </row>
    <row r="49" spans="1:28" s="697" customFormat="1" ht="15" customHeight="1">
      <c r="A49" s="807"/>
      <c r="B49" s="743"/>
      <c r="G49" s="893"/>
      <c r="H49" s="893"/>
      <c r="I49" s="708"/>
      <c r="J49" s="708"/>
      <c r="K49" s="707"/>
      <c r="L49" s="807"/>
      <c r="M49" s="807"/>
      <c r="N49" s="807"/>
      <c r="O49" s="883"/>
      <c r="P49" s="807"/>
      <c r="Q49" s="688"/>
      <c r="R49" s="892" t="s">
        <v>1069</v>
      </c>
      <c r="S49" s="890">
        <f>スコア表示!U20</f>
        <v>3</v>
      </c>
      <c r="T49" s="733" t="str">
        <f>IF(S49=0,"N.A.","")</f>
        <v/>
      </c>
      <c r="U49" s="731" t="s">
        <v>1188</v>
      </c>
      <c r="V49" s="890">
        <f>スコア表示!U75</f>
        <v>3</v>
      </c>
      <c r="W49" s="733" t="str">
        <f>IF(V49=0,"N.A.","")</f>
        <v/>
      </c>
      <c r="X49" s="892" t="s">
        <v>1189</v>
      </c>
      <c r="Y49" s="890">
        <f>スコア表示!U111</f>
        <v>3</v>
      </c>
      <c r="Z49" s="733" t="str">
        <f>IF(Y49=0,"N.A.","")</f>
        <v/>
      </c>
      <c r="AA49" s="791"/>
      <c r="AB49" s="791"/>
    </row>
    <row r="50" spans="1:28" s="697" customFormat="1" ht="15" customHeight="1">
      <c r="A50" s="807"/>
      <c r="B50" s="743"/>
      <c r="G50" s="894"/>
      <c r="H50" s="895"/>
      <c r="I50" s="896"/>
      <c r="J50" s="896"/>
      <c r="K50" s="897"/>
      <c r="L50" s="898"/>
      <c r="M50" s="898"/>
      <c r="N50" s="898"/>
      <c r="O50" s="899"/>
      <c r="P50" s="807"/>
      <c r="Q50" s="688"/>
      <c r="R50" s="892" t="s">
        <v>1190</v>
      </c>
      <c r="S50" s="890">
        <f>スコア表示!U34</f>
        <v>3</v>
      </c>
      <c r="T50" s="733" t="str">
        <f>IF(S50=0,"N.A.","")</f>
        <v/>
      </c>
      <c r="U50" s="731" t="s">
        <v>1191</v>
      </c>
      <c r="V50" s="890">
        <f>スコア表示!U97</f>
        <v>3</v>
      </c>
      <c r="W50" s="733" t="str">
        <f>IF(V50=0,"N.A.","")</f>
        <v/>
      </c>
      <c r="X50" s="892" t="s">
        <v>1192</v>
      </c>
      <c r="Y50" s="890">
        <f>スコア表示!U112</f>
        <v>3</v>
      </c>
      <c r="Z50" s="733" t="str">
        <f>IF(Y50=0,"N.A.","")</f>
        <v/>
      </c>
      <c r="AA50" s="791"/>
      <c r="AB50" s="791"/>
    </row>
    <row r="51" spans="1:28" s="697" customFormat="1" ht="18" customHeight="1">
      <c r="A51" s="900"/>
      <c r="B51" s="901" t="s">
        <v>1194</v>
      </c>
      <c r="C51" s="902"/>
      <c r="D51" s="903"/>
      <c r="E51" s="902"/>
      <c r="F51" s="902"/>
      <c r="G51" s="902"/>
      <c r="H51" s="873"/>
      <c r="I51" s="873"/>
      <c r="J51" s="873"/>
      <c r="K51" s="875"/>
      <c r="L51" s="876"/>
      <c r="M51" s="877" t="s">
        <v>1195</v>
      </c>
      <c r="N51" s="904">
        <f>スコア表示!U116</f>
        <v>3.3</v>
      </c>
      <c r="O51" s="879"/>
      <c r="P51" s="688"/>
      <c r="Q51" s="688"/>
      <c r="R51" s="892" t="s">
        <v>1193</v>
      </c>
      <c r="S51" s="890">
        <f>スコア表示!U47</f>
        <v>3</v>
      </c>
      <c r="T51" s="733" t="str">
        <f>IF(S51=0,"N.A.","")</f>
        <v/>
      </c>
      <c r="U51" s="791"/>
      <c r="V51" s="791"/>
      <c r="W51" s="791"/>
      <c r="X51" s="791"/>
      <c r="Y51" s="791"/>
      <c r="Z51" s="791"/>
      <c r="AA51" s="791"/>
      <c r="AB51" s="791"/>
    </row>
    <row r="52" spans="1:28" s="697" customFormat="1" ht="15">
      <c r="A52" s="688"/>
      <c r="B52" s="905"/>
      <c r="C52" s="882" t="str">
        <f>スコア表示!B117&amp;" "&amp;スコア表示!D117</f>
        <v>LR1 エネルギー</v>
      </c>
      <c r="D52" s="882"/>
      <c r="E52" s="906"/>
      <c r="F52" s="882"/>
      <c r="G52" s="882"/>
      <c r="H52" s="882" t="str">
        <f>"     "&amp;スコア表示!B140&amp;" "&amp;スコア表示!D140</f>
        <v xml:space="preserve">     LR2 資源・マテリアル</v>
      </c>
      <c r="I52" s="882"/>
      <c r="J52" s="882"/>
      <c r="K52" s="882"/>
      <c r="L52" s="880" t="str">
        <f>スコア表示!B159&amp;" "&amp;スコア表示!D159</f>
        <v>LR3 敷地外環境</v>
      </c>
      <c r="M52" s="882"/>
      <c r="N52" s="882"/>
      <c r="O52" s="907"/>
      <c r="P52" s="688"/>
      <c r="Q52" s="688"/>
      <c r="R52" s="791"/>
      <c r="S52" s="791"/>
      <c r="T52" s="733"/>
      <c r="U52" s="791"/>
      <c r="V52" s="791"/>
      <c r="W52" s="791"/>
      <c r="X52" s="791"/>
      <c r="Y52" s="791"/>
      <c r="Z52" s="791"/>
      <c r="AA52" s="791"/>
      <c r="AB52" s="791"/>
    </row>
    <row r="53" spans="1:28" s="697" customFormat="1" ht="15">
      <c r="A53" s="807"/>
      <c r="B53" s="727"/>
      <c r="C53" s="884"/>
      <c r="D53" s="885"/>
      <c r="E53" s="886"/>
      <c r="G53" s="881">
        <f>S56</f>
        <v>3.7</v>
      </c>
      <c r="I53" s="886"/>
      <c r="K53" s="881">
        <f>V56</f>
        <v>3</v>
      </c>
      <c r="L53" s="886"/>
      <c r="N53" s="908"/>
      <c r="O53" s="888">
        <f>Y56</f>
        <v>3.1</v>
      </c>
      <c r="P53" s="807"/>
      <c r="Q53" s="688"/>
      <c r="R53" s="791"/>
      <c r="S53" s="791"/>
      <c r="T53" s="791"/>
      <c r="U53" s="791"/>
      <c r="V53" s="791"/>
      <c r="W53" s="791"/>
      <c r="X53" s="791"/>
      <c r="Y53" s="791"/>
      <c r="Z53" s="791"/>
      <c r="AA53" s="791"/>
      <c r="AB53" s="791"/>
    </row>
    <row r="54" spans="1:28" s="697" customFormat="1" ht="14.25">
      <c r="A54" s="807"/>
      <c r="B54" s="727"/>
      <c r="C54" s="909"/>
      <c r="D54" s="909"/>
      <c r="E54" s="910"/>
      <c r="F54" s="894"/>
      <c r="G54" s="894"/>
      <c r="H54" s="894"/>
      <c r="I54" s="708"/>
      <c r="J54" s="708"/>
      <c r="K54" s="707"/>
      <c r="L54" s="707"/>
      <c r="M54" s="728"/>
      <c r="N54" s="728"/>
      <c r="O54" s="729"/>
      <c r="P54" s="807"/>
      <c r="Q54" s="688"/>
      <c r="AA54" s="791"/>
      <c r="AB54" s="791"/>
    </row>
    <row r="55" spans="1:28" s="697" customFormat="1" ht="15.75" customHeight="1">
      <c r="A55" s="688"/>
      <c r="B55" s="727"/>
      <c r="C55" s="728"/>
      <c r="D55" s="912"/>
      <c r="E55" s="706"/>
      <c r="F55" s="707"/>
      <c r="G55" s="707"/>
      <c r="H55" s="707"/>
      <c r="I55" s="913"/>
      <c r="J55" s="708"/>
      <c r="K55" s="707"/>
      <c r="L55" s="707"/>
      <c r="M55" s="728"/>
      <c r="N55" s="728"/>
      <c r="O55" s="729"/>
      <c r="P55" s="688"/>
      <c r="Q55" s="688"/>
      <c r="R55" s="733"/>
      <c r="S55" s="733" t="s">
        <v>1196</v>
      </c>
      <c r="T55" s="733" t="s">
        <v>1197</v>
      </c>
      <c r="U55" s="733"/>
      <c r="V55" s="733" t="s">
        <v>1196</v>
      </c>
      <c r="W55" s="733" t="s">
        <v>1197</v>
      </c>
      <c r="X55" s="733"/>
      <c r="Y55" s="733" t="s">
        <v>1196</v>
      </c>
      <c r="Z55" s="733" t="s">
        <v>1197</v>
      </c>
      <c r="AA55" s="791"/>
      <c r="AB55" s="791"/>
    </row>
    <row r="56" spans="1:28" s="697" customFormat="1" ht="15.75" customHeight="1">
      <c r="A56" s="688"/>
      <c r="B56" s="727"/>
      <c r="C56" s="704"/>
      <c r="D56" s="705"/>
      <c r="E56" s="706"/>
      <c r="F56" s="707"/>
      <c r="G56" s="707"/>
      <c r="H56" s="707"/>
      <c r="I56" s="913"/>
      <c r="J56" s="708"/>
      <c r="K56" s="707"/>
      <c r="L56" s="707"/>
      <c r="M56" s="728"/>
      <c r="N56" s="728"/>
      <c r="O56" s="729"/>
      <c r="P56" s="688"/>
      <c r="Q56" s="688"/>
      <c r="R56" s="731" t="s">
        <v>1198</v>
      </c>
      <c r="S56" s="890">
        <f>スコア表示!U117</f>
        <v>3.7</v>
      </c>
      <c r="T56" s="890">
        <f>スコア表示!AO117</f>
        <v>3.6999999999999997</v>
      </c>
      <c r="U56" s="731" t="s">
        <v>1199</v>
      </c>
      <c r="V56" s="890">
        <f>スコア表示!U140</f>
        <v>3</v>
      </c>
      <c r="W56" s="890">
        <f>スコア表示!AO140</f>
        <v>3.0000000000000004</v>
      </c>
      <c r="X56" s="731" t="s">
        <v>1200</v>
      </c>
      <c r="Y56" s="890">
        <f>スコア表示!U159</f>
        <v>3.1</v>
      </c>
      <c r="Z56" s="890">
        <f>スコア表示!AO159</f>
        <v>3.1</v>
      </c>
      <c r="AA56" s="791"/>
      <c r="AB56" s="791"/>
    </row>
    <row r="57" spans="1:28" s="697" customFormat="1" ht="15.75" customHeight="1">
      <c r="A57" s="688"/>
      <c r="B57" s="915"/>
      <c r="C57" s="704"/>
      <c r="D57" s="705"/>
      <c r="E57" s="706"/>
      <c r="F57" s="707"/>
      <c r="G57" s="707"/>
      <c r="H57" s="707"/>
      <c r="I57" s="913"/>
      <c r="J57" s="708"/>
      <c r="K57" s="707"/>
      <c r="L57" s="707"/>
      <c r="M57" s="728"/>
      <c r="N57" s="728"/>
      <c r="O57" s="729"/>
      <c r="P57" s="688"/>
      <c r="Q57" s="688"/>
      <c r="Y57" s="911"/>
      <c r="AA57" s="791"/>
      <c r="AB57" s="791"/>
    </row>
    <row r="58" spans="1:28" s="697" customFormat="1" ht="15.75" customHeight="1">
      <c r="A58" s="688"/>
      <c r="B58" s="915"/>
      <c r="C58" s="704"/>
      <c r="D58" s="705"/>
      <c r="E58" s="706"/>
      <c r="F58" s="707"/>
      <c r="G58" s="707"/>
      <c r="H58" s="707"/>
      <c r="I58" s="913"/>
      <c r="J58" s="708"/>
      <c r="K58" s="707"/>
      <c r="L58" s="707"/>
      <c r="M58" s="728"/>
      <c r="N58" s="728"/>
      <c r="O58" s="729"/>
      <c r="P58" s="688"/>
      <c r="Q58" s="688"/>
      <c r="R58" s="733"/>
      <c r="S58" s="733" t="s">
        <v>1201</v>
      </c>
      <c r="T58" s="733" t="s">
        <v>1202</v>
      </c>
      <c r="U58" s="733"/>
      <c r="V58" s="733" t="s">
        <v>1201</v>
      </c>
      <c r="W58" s="733" t="s">
        <v>1202</v>
      </c>
      <c r="X58" s="733"/>
      <c r="Y58" s="891" t="s">
        <v>1201</v>
      </c>
      <c r="Z58" s="733" t="s">
        <v>1202</v>
      </c>
      <c r="AA58" s="791"/>
      <c r="AB58" s="791"/>
    </row>
    <row r="59" spans="1:28" s="697" customFormat="1" ht="15.75" customHeight="1">
      <c r="A59" s="688"/>
      <c r="B59" s="915"/>
      <c r="C59" s="704"/>
      <c r="D59" s="705"/>
      <c r="E59" s="706"/>
      <c r="F59" s="707"/>
      <c r="G59" s="707"/>
      <c r="H59" s="707"/>
      <c r="I59" s="913"/>
      <c r="J59" s="708"/>
      <c r="K59" s="707"/>
      <c r="L59" s="707"/>
      <c r="M59" s="728"/>
      <c r="N59" s="728"/>
      <c r="O59" s="729"/>
      <c r="P59" s="688"/>
      <c r="Q59" s="688"/>
      <c r="R59" s="731" t="s">
        <v>1203</v>
      </c>
      <c r="S59" s="890">
        <f>スコア表示!U118</f>
        <v>4</v>
      </c>
      <c r="T59" s="733" t="str">
        <f>IF(S59=0,"N.A.","")</f>
        <v/>
      </c>
      <c r="U59" s="914" t="s">
        <v>1204</v>
      </c>
      <c r="V59" s="890">
        <f>スコア表示!U141</f>
        <v>3</v>
      </c>
      <c r="W59" s="733" t="str">
        <f>IF(V59=0,"N.A.","")</f>
        <v/>
      </c>
      <c r="X59" s="731" t="s">
        <v>1205</v>
      </c>
      <c r="Y59" s="890">
        <f>スコア表示!U160</f>
        <v>3.3</v>
      </c>
      <c r="Z59" s="733" t="str">
        <f>IF(Y59=0,"N.A.","")</f>
        <v/>
      </c>
      <c r="AA59" s="791"/>
      <c r="AB59" s="791"/>
    </row>
    <row r="60" spans="1:28" s="697" customFormat="1" ht="15.75" customHeight="1">
      <c r="A60" s="688"/>
      <c r="B60" s="915"/>
      <c r="C60" s="704"/>
      <c r="D60" s="705"/>
      <c r="E60" s="706"/>
      <c r="F60" s="707"/>
      <c r="G60" s="707"/>
      <c r="H60" s="707"/>
      <c r="I60" s="913"/>
      <c r="J60" s="708"/>
      <c r="K60" s="707"/>
      <c r="L60" s="707"/>
      <c r="M60" s="728"/>
      <c r="N60" s="728"/>
      <c r="O60" s="729"/>
      <c r="P60" s="688"/>
      <c r="Q60" s="688"/>
      <c r="R60" s="731" t="s">
        <v>1206</v>
      </c>
      <c r="S60" s="890">
        <f>スコア表示!U119</f>
        <v>3</v>
      </c>
      <c r="T60" s="733" t="str">
        <f>IF(S60=0,"N.A.","")</f>
        <v/>
      </c>
      <c r="U60" s="914" t="s">
        <v>0</v>
      </c>
      <c r="V60" s="890">
        <f>スコア表示!U146</f>
        <v>3</v>
      </c>
      <c r="W60" s="733" t="str">
        <f>IF(V60=0,"N.A.","")</f>
        <v/>
      </c>
      <c r="X60" s="731" t="s">
        <v>1</v>
      </c>
      <c r="Y60" s="890">
        <f>スコア表示!U161</f>
        <v>3</v>
      </c>
      <c r="Z60" s="733" t="str">
        <f>IF(Y60=0,"N.A.","")</f>
        <v/>
      </c>
      <c r="AA60" s="791"/>
      <c r="AB60" s="791"/>
    </row>
    <row r="61" spans="1:28" s="697" customFormat="1" ht="15.75" customHeight="1" thickBot="1">
      <c r="A61" s="688"/>
      <c r="B61" s="919"/>
      <c r="C61" s="920"/>
      <c r="D61" s="921"/>
      <c r="E61" s="920"/>
      <c r="F61" s="922"/>
      <c r="G61" s="922"/>
      <c r="H61" s="922"/>
      <c r="I61" s="923"/>
      <c r="J61" s="815"/>
      <c r="K61" s="815"/>
      <c r="L61" s="815"/>
      <c r="M61" s="924"/>
      <c r="N61" s="924"/>
      <c r="O61" s="925"/>
      <c r="P61" s="688"/>
      <c r="Q61" s="688"/>
      <c r="R61" s="731" t="s">
        <v>2</v>
      </c>
      <c r="S61" s="890">
        <f>スコア表示!U124</f>
        <v>4</v>
      </c>
      <c r="T61" s="733" t="str">
        <f>IF(S61=0,"N.A.","")</f>
        <v/>
      </c>
      <c r="U61" s="916" t="s">
        <v>3</v>
      </c>
      <c r="V61" s="917">
        <f>スコア表示!U153</f>
        <v>3</v>
      </c>
      <c r="W61" s="733" t="str">
        <f>IF(V61=0,"N.A.","")</f>
        <v/>
      </c>
      <c r="X61" s="731" t="s">
        <v>4</v>
      </c>
      <c r="Y61" s="890">
        <f>スコア表示!U169</f>
        <v>3</v>
      </c>
      <c r="Z61" s="733" t="str">
        <f>IF(Y61=0,"N.A.","")</f>
        <v/>
      </c>
      <c r="AA61" s="791"/>
      <c r="AB61" s="791"/>
    </row>
    <row r="62" spans="1:28" s="697" customFormat="1" ht="6" customHeight="1" thickBot="1">
      <c r="A62" s="688"/>
      <c r="B62" s="927"/>
      <c r="C62" s="913"/>
      <c r="D62" s="928"/>
      <c r="E62" s="706"/>
      <c r="F62" s="707"/>
      <c r="G62" s="707"/>
      <c r="H62" s="707"/>
      <c r="I62" s="708"/>
      <c r="J62" s="708"/>
      <c r="K62" s="707"/>
      <c r="L62" s="707"/>
      <c r="M62" s="728"/>
      <c r="N62" s="728"/>
      <c r="O62" s="728"/>
      <c r="P62" s="688"/>
      <c r="Q62" s="807"/>
      <c r="R62" s="731" t="s">
        <v>5</v>
      </c>
      <c r="S62" s="890">
        <f>スコア表示!U133</f>
        <v>3</v>
      </c>
      <c r="T62" s="733" t="str">
        <f>IF(S62=0,"N.A.","")</f>
        <v/>
      </c>
      <c r="U62" s="791"/>
      <c r="V62" s="918"/>
      <c r="W62" s="918"/>
      <c r="X62" s="918"/>
      <c r="Y62" s="918"/>
      <c r="Z62" s="918"/>
      <c r="AA62" s="791"/>
      <c r="AB62" s="791"/>
    </row>
    <row r="63" spans="1:28" s="697" customFormat="1" ht="15.75">
      <c r="A63" s="688"/>
      <c r="B63" s="825" t="s">
        <v>1928</v>
      </c>
      <c r="C63" s="929"/>
      <c r="D63" s="930"/>
      <c r="E63" s="929"/>
      <c r="F63" s="929"/>
      <c r="G63" s="929"/>
      <c r="H63" s="931"/>
      <c r="I63" s="932"/>
      <c r="J63" s="929"/>
      <c r="K63" s="929"/>
      <c r="L63" s="929"/>
      <c r="M63" s="933"/>
      <c r="N63" s="933"/>
      <c r="O63" s="934"/>
      <c r="P63" s="688"/>
      <c r="Q63" s="807"/>
      <c r="R63" s="791"/>
      <c r="S63" s="791"/>
      <c r="T63" s="791"/>
      <c r="U63" s="791"/>
      <c r="V63" s="918"/>
      <c r="W63" s="918"/>
      <c r="X63" s="918"/>
      <c r="Y63" s="918"/>
      <c r="Z63" s="918"/>
      <c r="AA63" s="791"/>
      <c r="AB63" s="791"/>
    </row>
    <row r="64" spans="1:28" s="697" customFormat="1" ht="14.25">
      <c r="A64" s="688"/>
      <c r="B64" s="935" t="s">
        <v>1929</v>
      </c>
      <c r="C64" s="936"/>
      <c r="D64" s="937"/>
      <c r="E64" s="936"/>
      <c r="F64" s="936"/>
      <c r="G64" s="936"/>
      <c r="H64" s="936"/>
      <c r="I64" s="936"/>
      <c r="J64" s="936"/>
      <c r="K64" s="938"/>
      <c r="L64" s="2668" t="s">
        <v>1930</v>
      </c>
      <c r="M64" s="936"/>
      <c r="N64" s="940"/>
      <c r="O64" s="941"/>
      <c r="P64" s="688"/>
      <c r="Q64" s="807"/>
      <c r="R64" s="926"/>
      <c r="S64" s="791"/>
      <c r="T64" s="791"/>
      <c r="U64" s="791"/>
      <c r="V64" s="918"/>
      <c r="W64" s="918"/>
      <c r="X64" s="918"/>
      <c r="Y64" s="918"/>
      <c r="Z64" s="918"/>
      <c r="AA64" s="791"/>
      <c r="AB64" s="791"/>
    </row>
    <row r="65" spans="1:28" s="697" customFormat="1" ht="52.5" customHeight="1">
      <c r="A65" s="688"/>
      <c r="B65" s="2669"/>
      <c r="C65" s="2670"/>
      <c r="D65" s="2670"/>
      <c r="E65" s="2670"/>
      <c r="F65" s="2670"/>
      <c r="G65" s="2670"/>
      <c r="H65" s="2670"/>
      <c r="I65" s="2670"/>
      <c r="J65" s="2670"/>
      <c r="K65" s="2671">
        <f>'スコア（重点項目）（改修後）'!J7</f>
        <v>77</v>
      </c>
      <c r="L65" s="2778"/>
      <c r="M65" s="2779"/>
      <c r="N65" s="2779"/>
      <c r="O65" s="2780"/>
      <c r="P65" s="688"/>
      <c r="Q65" s="807"/>
      <c r="R65" s="791"/>
      <c r="S65" s="791"/>
      <c r="T65" s="791"/>
      <c r="U65" s="791"/>
      <c r="V65" s="918"/>
      <c r="W65" s="918"/>
      <c r="X65" s="918"/>
      <c r="Y65" s="918"/>
      <c r="Z65" s="918"/>
      <c r="AA65" s="791"/>
      <c r="AB65" s="791"/>
    </row>
    <row r="66" spans="1:28" s="697" customFormat="1" ht="14.25">
      <c r="A66" s="688"/>
      <c r="B66" s="2672" t="str">
        <f>"重点事項１：" &amp; 'スコア（重点項目）（改修後）'!C10</f>
        <v>重点事項１：温室効果ガス排出量削減の推進</v>
      </c>
      <c r="C66" s="940"/>
      <c r="D66" s="940"/>
      <c r="E66" s="940"/>
      <c r="F66" s="940"/>
      <c r="G66" s="943"/>
      <c r="H66" s="2673" t="str">
        <f>"重点事項２：" &amp; 'スコア（重点項目）（改修後）'!C19</f>
        <v>重点事項２：安全安心で暮らしやすい社会の実現</v>
      </c>
      <c r="I66" s="940"/>
      <c r="J66" s="940"/>
      <c r="K66" s="943"/>
      <c r="L66" s="2778"/>
      <c r="M66" s="2779"/>
      <c r="N66" s="2779"/>
      <c r="O66" s="2780"/>
      <c r="P66" s="688"/>
      <c r="Q66" s="807"/>
      <c r="R66" s="791"/>
      <c r="S66" s="791"/>
      <c r="T66" s="791"/>
      <c r="U66" s="791"/>
      <c r="V66" s="791"/>
      <c r="W66" s="791"/>
      <c r="X66" s="791"/>
      <c r="Y66" s="791"/>
      <c r="Z66" s="791"/>
      <c r="AA66" s="791"/>
      <c r="AB66" s="791"/>
    </row>
    <row r="67" spans="1:28" s="697" customFormat="1" ht="50.25" customHeight="1">
      <c r="A67" s="688"/>
      <c r="B67" s="2674"/>
      <c r="C67" s="2675"/>
      <c r="D67" s="2675"/>
      <c r="E67" s="2675"/>
      <c r="F67" s="2675"/>
      <c r="G67" s="2682">
        <f>'スコア（重点項目）（改修後）'!H10</f>
        <v>80.3</v>
      </c>
      <c r="H67" s="2676"/>
      <c r="I67" s="2675"/>
      <c r="J67" s="2675"/>
      <c r="K67" s="2684">
        <f>'スコア（重点項目）（改修後）'!H19</f>
        <v>75</v>
      </c>
      <c r="L67" s="2778"/>
      <c r="M67" s="2779"/>
      <c r="N67" s="2779"/>
      <c r="O67" s="2780"/>
      <c r="P67" s="688"/>
      <c r="Q67" s="807"/>
      <c r="R67" s="791"/>
      <c r="S67" s="791"/>
      <c r="T67" s="791"/>
      <c r="U67" s="791"/>
      <c r="V67" s="791"/>
      <c r="W67" s="791"/>
      <c r="X67" s="791"/>
      <c r="Y67" s="791"/>
      <c r="Z67" s="791"/>
      <c r="AA67" s="791"/>
      <c r="AB67" s="791"/>
    </row>
    <row r="68" spans="1:28" s="697" customFormat="1" ht="14.25">
      <c r="A68" s="688"/>
      <c r="B68" s="2678" t="str">
        <f>"重点事項３：" &amp; 'スコア（重点項目）（改修後）'!C25</f>
        <v>重点事項３：県の地域資源の有効活用と保全</v>
      </c>
      <c r="C68" s="952"/>
      <c r="D68" s="937"/>
      <c r="E68" s="937"/>
      <c r="F68" s="937"/>
      <c r="G68" s="953"/>
      <c r="H68" s="2673" t="str">
        <f>"重点事項４：" &amp; 'スコア（重点項目）（改修後）'!C30</f>
        <v>重点事項４：循環型社会の実現</v>
      </c>
      <c r="I68" s="940"/>
      <c r="J68" s="940"/>
      <c r="K68" s="943"/>
      <c r="L68" s="2778"/>
      <c r="M68" s="2779"/>
      <c r="N68" s="2779"/>
      <c r="O68" s="2780"/>
      <c r="P68" s="688"/>
      <c r="Q68" s="807"/>
      <c r="R68" s="791"/>
      <c r="S68" s="791"/>
      <c r="T68" s="791"/>
      <c r="U68" s="791"/>
      <c r="V68" s="791"/>
      <c r="W68" s="791"/>
      <c r="X68" s="791"/>
      <c r="Y68" s="791"/>
      <c r="Z68" s="791"/>
      <c r="AA68" s="791"/>
      <c r="AB68" s="791"/>
    </row>
    <row r="69" spans="1:28" s="697" customFormat="1" ht="61.5" customHeight="1" thickBot="1">
      <c r="A69" s="688"/>
      <c r="B69" s="2663"/>
      <c r="C69" s="2664"/>
      <c r="D69" s="2664"/>
      <c r="E69" s="2664"/>
      <c r="F69" s="2664"/>
      <c r="G69" s="2683">
        <f>'スコア（重点項目）（改修後）'!H25</f>
        <v>75</v>
      </c>
      <c r="H69" s="2677"/>
      <c r="I69" s="2664"/>
      <c r="J69" s="2664"/>
      <c r="K69" s="2685">
        <f>'スコア（重点項目）（改修後）'!H30</f>
        <v>75</v>
      </c>
      <c r="L69" s="2781"/>
      <c r="M69" s="2782"/>
      <c r="N69" s="2782"/>
      <c r="O69" s="2783"/>
      <c r="P69" s="688"/>
      <c r="Q69" s="807"/>
      <c r="R69" s="791"/>
      <c r="S69" s="791"/>
      <c r="T69" s="791"/>
      <c r="U69" s="791"/>
      <c r="V69" s="791"/>
      <c r="W69" s="791"/>
      <c r="X69" s="791"/>
      <c r="Y69" s="791"/>
      <c r="Z69" s="791"/>
      <c r="AA69" s="791"/>
      <c r="AB69" s="791"/>
    </row>
    <row r="70" spans="1:28" s="697" customFormat="1" ht="5.25" customHeight="1">
      <c r="A70" s="688"/>
      <c r="B70" s="688"/>
      <c r="C70" s="688"/>
      <c r="D70" s="688"/>
      <c r="E70" s="688"/>
      <c r="F70" s="688"/>
      <c r="G70" s="688"/>
      <c r="H70" s="688"/>
      <c r="I70" s="688"/>
      <c r="J70" s="688"/>
      <c r="K70" s="688"/>
      <c r="L70" s="688"/>
      <c r="M70" s="688"/>
      <c r="N70" s="688"/>
      <c r="O70" s="688"/>
      <c r="P70" s="688"/>
      <c r="Q70" s="688"/>
      <c r="R70" s="791"/>
      <c r="S70" s="791"/>
      <c r="T70" s="791"/>
      <c r="U70" s="791"/>
      <c r="V70" s="791"/>
      <c r="W70" s="791"/>
      <c r="X70" s="791"/>
      <c r="Y70" s="791"/>
      <c r="Z70" s="791"/>
      <c r="AA70" s="791"/>
      <c r="AB70" s="791"/>
    </row>
    <row r="71" spans="1:28" s="697" customFormat="1" ht="16.5" hidden="1" thickBot="1">
      <c r="A71" s="688"/>
      <c r="B71" s="957" t="s">
        <v>9</v>
      </c>
      <c r="C71" s="958"/>
      <c r="D71" s="959"/>
      <c r="E71" s="958"/>
      <c r="F71" s="958"/>
      <c r="G71" s="958"/>
      <c r="H71" s="958"/>
      <c r="I71" s="958"/>
      <c r="J71" s="960"/>
      <c r="K71" s="961"/>
      <c r="L71" s="961"/>
      <c r="M71" s="961"/>
      <c r="N71" s="962"/>
      <c r="O71" s="963" t="s">
        <v>10</v>
      </c>
      <c r="P71" s="688"/>
      <c r="Q71" s="688"/>
      <c r="R71" s="791"/>
      <c r="S71" s="791"/>
      <c r="T71" s="791"/>
      <c r="U71" s="791"/>
      <c r="V71" s="791"/>
      <c r="W71" s="791"/>
      <c r="X71" s="791"/>
      <c r="Y71" s="791"/>
      <c r="Z71" s="791"/>
      <c r="AA71" s="791"/>
      <c r="AB71" s="791"/>
    </row>
    <row r="72" spans="1:28" s="697" customFormat="1" ht="15.75" hidden="1">
      <c r="A72" s="688"/>
      <c r="B72" s="964" t="s">
        <v>11</v>
      </c>
      <c r="C72" s="965"/>
      <c r="D72" s="966"/>
      <c r="E72" s="965"/>
      <c r="F72" s="965"/>
      <c r="G72" s="965"/>
      <c r="H72" s="965"/>
      <c r="I72" s="965"/>
      <c r="J72" s="967"/>
      <c r="K72" s="968"/>
      <c r="L72" s="969"/>
      <c r="M72" s="969"/>
      <c r="N72" s="967"/>
      <c r="O72" s="970" t="s">
        <v>446</v>
      </c>
      <c r="P72" s="688"/>
      <c r="Q72" s="688"/>
      <c r="R72" s="791"/>
      <c r="S72" s="791"/>
      <c r="T72" s="791"/>
      <c r="U72" s="791"/>
      <c r="V72" s="791"/>
      <c r="W72" s="791"/>
      <c r="X72" s="791"/>
      <c r="Y72" s="791"/>
      <c r="Z72" s="791"/>
      <c r="AA72" s="791"/>
      <c r="AB72" s="791"/>
    </row>
    <row r="73" spans="1:28" s="697" customFormat="1" ht="14.25" hidden="1">
      <c r="A73" s="688"/>
      <c r="B73" s="971"/>
      <c r="C73" s="972"/>
      <c r="D73" s="973"/>
      <c r="E73" s="974" t="s">
        <v>12</v>
      </c>
      <c r="F73" s="975"/>
      <c r="G73" s="975"/>
      <c r="H73" s="974" t="s">
        <v>13</v>
      </c>
      <c r="I73" s="975"/>
      <c r="J73" s="974" t="s">
        <v>14</v>
      </c>
      <c r="K73" s="976"/>
      <c r="L73" s="974" t="s">
        <v>15</v>
      </c>
      <c r="M73" s="975"/>
      <c r="N73" s="975"/>
      <c r="O73" s="977" t="s">
        <v>16</v>
      </c>
      <c r="P73" s="688"/>
      <c r="Q73" s="688"/>
      <c r="R73" s="791"/>
      <c r="S73" s="791"/>
      <c r="T73" s="791"/>
      <c r="U73" s="791"/>
      <c r="V73" s="791"/>
      <c r="W73" s="791"/>
      <c r="X73" s="791"/>
      <c r="Y73" s="791"/>
      <c r="Z73" s="791"/>
      <c r="AA73" s="791"/>
      <c r="AB73" s="791"/>
    </row>
    <row r="74" spans="1:28" s="697" customFormat="1" ht="14.25" hidden="1">
      <c r="A74" s="688"/>
      <c r="B74" s="978"/>
      <c r="C74" s="979" t="s">
        <v>17</v>
      </c>
      <c r="D74" s="980"/>
      <c r="E74" s="981"/>
      <c r="F74" s="982" t="s">
        <v>18</v>
      </c>
      <c r="G74" s="983"/>
      <c r="H74" s="981"/>
      <c r="I74" s="982" t="s">
        <v>19</v>
      </c>
      <c r="J74" s="984"/>
      <c r="K74" s="982" t="s">
        <v>18</v>
      </c>
      <c r="L74" s="985"/>
      <c r="M74" s="986"/>
      <c r="N74" s="987"/>
      <c r="O74" s="988"/>
      <c r="P74" s="688"/>
      <c r="Q74" s="688"/>
      <c r="R74" s="791"/>
      <c r="S74" s="791"/>
      <c r="T74" s="791"/>
      <c r="U74" s="791"/>
      <c r="V74" s="791"/>
      <c r="W74" s="791"/>
      <c r="X74" s="791"/>
      <c r="Y74" s="791"/>
      <c r="Z74" s="791"/>
      <c r="AA74" s="791"/>
      <c r="AB74" s="791"/>
    </row>
    <row r="75" spans="1:28" s="697" customFormat="1" ht="15.75" hidden="1">
      <c r="A75" s="688"/>
      <c r="B75" s="978"/>
      <c r="C75" s="989" t="s">
        <v>20</v>
      </c>
      <c r="D75" s="990"/>
      <c r="E75" s="991"/>
      <c r="F75" s="894" t="s">
        <v>21</v>
      </c>
      <c r="G75" s="894"/>
      <c r="H75" s="991"/>
      <c r="I75" s="894" t="s">
        <v>22</v>
      </c>
      <c r="J75" s="992"/>
      <c r="K75" s="894" t="s">
        <v>21</v>
      </c>
      <c r="L75" s="993"/>
      <c r="N75" s="994"/>
      <c r="O75" s="995"/>
      <c r="P75" s="688"/>
      <c r="Q75" s="688"/>
      <c r="W75" s="791"/>
      <c r="X75" s="791"/>
      <c r="Y75" s="791"/>
      <c r="Z75" s="791"/>
      <c r="AA75" s="791"/>
      <c r="AB75" s="791"/>
    </row>
    <row r="76" spans="1:28" s="697" customFormat="1" ht="14.25" hidden="1">
      <c r="A76" s="996"/>
      <c r="B76" s="997"/>
      <c r="C76" s="998" t="s">
        <v>23</v>
      </c>
      <c r="D76" s="990"/>
      <c r="E76" s="991"/>
      <c r="F76" s="983" t="s">
        <v>24</v>
      </c>
      <c r="G76" s="983"/>
      <c r="H76" s="991"/>
      <c r="I76" s="983" t="s">
        <v>25</v>
      </c>
      <c r="J76" s="992"/>
      <c r="K76" s="983" t="s">
        <v>24</v>
      </c>
      <c r="L76" s="993"/>
      <c r="N76" s="999"/>
      <c r="O76" s="995"/>
      <c r="P76" s="996"/>
      <c r="Q76" s="688"/>
      <c r="W76" s="791"/>
      <c r="X76" s="791"/>
      <c r="Y76" s="791"/>
      <c r="Z76" s="791"/>
      <c r="AA76" s="791"/>
      <c r="AB76" s="791"/>
    </row>
    <row r="77" spans="1:28" s="697" customFormat="1" ht="15.75" hidden="1">
      <c r="A77" s="688"/>
      <c r="B77" s="978"/>
      <c r="C77" s="1000" t="s">
        <v>26</v>
      </c>
      <c r="D77" s="990"/>
      <c r="E77" s="991"/>
      <c r="F77" s="894" t="s">
        <v>21</v>
      </c>
      <c r="G77" s="894"/>
      <c r="H77" s="991"/>
      <c r="I77" s="894" t="s">
        <v>22</v>
      </c>
      <c r="J77" s="992"/>
      <c r="K77" s="894" t="s">
        <v>21</v>
      </c>
      <c r="L77" s="993"/>
      <c r="N77" s="994"/>
      <c r="O77" s="1001"/>
      <c r="P77" s="688"/>
      <c r="Q77" s="688"/>
      <c r="W77" s="791"/>
      <c r="X77" s="791"/>
      <c r="Y77" s="791"/>
      <c r="Z77" s="791"/>
      <c r="AA77" s="791"/>
      <c r="AB77" s="791"/>
    </row>
    <row r="78" spans="1:28" s="697" customFormat="1" ht="14.25" hidden="1">
      <c r="A78" s="688"/>
      <c r="B78" s="978"/>
      <c r="C78" s="1000" t="s">
        <v>27</v>
      </c>
      <c r="D78" s="990"/>
      <c r="E78" s="991"/>
      <c r="F78" s="515" t="s">
        <v>28</v>
      </c>
      <c r="G78" s="894"/>
      <c r="H78" s="991"/>
      <c r="I78" s="515" t="s">
        <v>29</v>
      </c>
      <c r="J78" s="992"/>
      <c r="K78" s="515" t="s">
        <v>28</v>
      </c>
      <c r="L78" s="993"/>
      <c r="N78" s="994"/>
      <c r="O78" s="729"/>
      <c r="P78" s="688"/>
      <c r="Q78" s="688"/>
      <c r="W78" s="791"/>
      <c r="X78" s="791"/>
      <c r="Y78" s="791"/>
      <c r="Z78" s="791"/>
      <c r="AA78" s="791"/>
      <c r="AB78" s="791"/>
    </row>
    <row r="79" spans="1:28" s="697" customFormat="1" ht="14.25" hidden="1">
      <c r="A79" s="688"/>
      <c r="B79" s="978"/>
      <c r="C79" s="1000" t="s">
        <v>30</v>
      </c>
      <c r="D79" s="990"/>
      <c r="E79" s="991"/>
      <c r="F79" s="515" t="s">
        <v>28</v>
      </c>
      <c r="G79" s="894"/>
      <c r="H79" s="991"/>
      <c r="I79" s="515" t="s">
        <v>29</v>
      </c>
      <c r="J79" s="992"/>
      <c r="K79" s="515" t="s">
        <v>28</v>
      </c>
      <c r="L79" s="993"/>
      <c r="N79" s="994"/>
      <c r="O79" s="995"/>
      <c r="P79" s="688"/>
      <c r="Q79" s="688"/>
      <c r="W79" s="791"/>
      <c r="X79" s="791"/>
      <c r="Y79" s="791"/>
      <c r="Z79" s="791"/>
      <c r="AA79" s="791"/>
      <c r="AB79" s="791"/>
    </row>
    <row r="80" spans="1:28" s="697" customFormat="1" ht="15" hidden="1" thickBot="1">
      <c r="A80" s="688"/>
      <c r="B80" s="1002"/>
      <c r="C80" s="1003"/>
      <c r="D80" s="1004"/>
      <c r="E80" s="1005"/>
      <c r="F80" s="1006"/>
      <c r="G80" s="920"/>
      <c r="H80" s="1005"/>
      <c r="I80" s="1006"/>
      <c r="J80" s="1007"/>
      <c r="K80" s="1006"/>
      <c r="L80" s="993"/>
      <c r="N80" s="1008"/>
      <c r="O80" s="1009"/>
      <c r="P80" s="688"/>
      <c r="Q80" s="688"/>
      <c r="W80" s="791"/>
      <c r="X80" s="791"/>
      <c r="Y80" s="791"/>
      <c r="Z80" s="791"/>
      <c r="AA80" s="791"/>
      <c r="AB80" s="791"/>
    </row>
    <row r="81" spans="1:37" s="697" customFormat="1" ht="16.5" hidden="1" thickBot="1">
      <c r="A81" s="688"/>
      <c r="B81" s="228" t="s">
        <v>31</v>
      </c>
      <c r="C81" s="1010"/>
      <c r="D81" s="1011"/>
      <c r="E81" s="1012"/>
      <c r="F81" s="1013"/>
      <c r="G81" s="1013"/>
      <c r="H81" s="1013"/>
      <c r="I81" s="1013"/>
      <c r="J81" s="1013"/>
      <c r="K81" s="1013"/>
      <c r="L81" s="1013"/>
      <c r="M81" s="1013"/>
      <c r="N81" s="1013"/>
      <c r="O81" s="1014"/>
      <c r="P81" s="688"/>
      <c r="Q81" s="688"/>
      <c r="W81" s="791"/>
      <c r="X81" s="791"/>
      <c r="Y81" s="791"/>
      <c r="Z81" s="791"/>
      <c r="AA81" s="791"/>
      <c r="AB81" s="791"/>
    </row>
    <row r="82" spans="1:37" s="697" customFormat="1" ht="15.75" hidden="1">
      <c r="A82" s="688"/>
      <c r="B82" s="1015" t="s">
        <v>32</v>
      </c>
      <c r="C82" s="1016"/>
      <c r="D82" s="1017"/>
      <c r="E82" s="1018"/>
      <c r="F82" s="1019"/>
      <c r="G82" s="1019"/>
      <c r="H82" s="1019"/>
      <c r="I82" s="1017"/>
      <c r="J82" s="1020" t="s">
        <v>33</v>
      </c>
      <c r="K82" s="1021"/>
      <c r="L82" s="1022"/>
      <c r="M82" s="1016"/>
      <c r="N82" s="1016"/>
      <c r="O82" s="1023"/>
      <c r="P82" s="688"/>
      <c r="Q82" s="688"/>
      <c r="W82" s="791"/>
      <c r="X82" s="791"/>
      <c r="Y82" s="791"/>
      <c r="Z82" s="791"/>
      <c r="AA82" s="791"/>
      <c r="AB82" s="791"/>
    </row>
    <row r="83" spans="1:37" s="697" customFormat="1" ht="15" hidden="1">
      <c r="A83" s="688"/>
      <c r="B83" s="1024"/>
      <c r="C83" s="1025" t="s">
        <v>34</v>
      </c>
      <c r="D83" s="1026"/>
      <c r="E83" s="1026"/>
      <c r="F83" s="1026"/>
      <c r="G83" s="1026"/>
      <c r="H83" s="1026"/>
      <c r="I83" s="1026"/>
      <c r="J83" s="1027" t="s">
        <v>35</v>
      </c>
      <c r="L83" s="1028"/>
      <c r="M83" s="834"/>
      <c r="N83" s="834"/>
      <c r="O83" s="1029"/>
      <c r="P83" s="688"/>
      <c r="Q83" s="688"/>
      <c r="W83" s="791"/>
      <c r="X83" s="791"/>
      <c r="Y83" s="791"/>
      <c r="Z83" s="791"/>
      <c r="AA83" s="791"/>
      <c r="AB83" s="791"/>
    </row>
    <row r="84" spans="1:37" s="697" customFormat="1" ht="15" hidden="1">
      <c r="A84" s="688"/>
      <c r="B84" s="1024"/>
      <c r="C84" s="1025"/>
      <c r="D84" s="1026"/>
      <c r="E84" s="1026"/>
      <c r="F84" s="1026"/>
      <c r="G84" s="1026"/>
      <c r="H84" s="1026"/>
      <c r="I84" s="1026"/>
      <c r="J84" s="1027"/>
      <c r="L84" s="1028"/>
      <c r="M84" s="834"/>
      <c r="N84" s="834"/>
      <c r="O84" s="1029"/>
      <c r="P84" s="688"/>
      <c r="Q84" s="688"/>
      <c r="W84" s="791"/>
      <c r="X84" s="791"/>
      <c r="Y84" s="791"/>
      <c r="Z84" s="791"/>
      <c r="AA84" s="791"/>
      <c r="AB84" s="791"/>
    </row>
    <row r="85" spans="1:37" s="697" customFormat="1" ht="15" hidden="1" thickBot="1">
      <c r="A85" s="688"/>
      <c r="B85" s="1030"/>
      <c r="C85" s="1031"/>
      <c r="D85" s="1032"/>
      <c r="E85" s="1032"/>
      <c r="F85" s="1032"/>
      <c r="G85" s="1032"/>
      <c r="H85" s="1032"/>
      <c r="I85" s="1032"/>
      <c r="J85" s="1033"/>
      <c r="K85" s="814"/>
      <c r="L85" s="1034"/>
      <c r="M85" s="1034"/>
      <c r="N85" s="1034"/>
      <c r="O85" s="1035"/>
      <c r="P85" s="688"/>
      <c r="Q85" s="688"/>
      <c r="W85" s="696"/>
      <c r="X85" s="696"/>
      <c r="Y85" s="696"/>
      <c r="Z85" s="696"/>
      <c r="AA85" s="696"/>
      <c r="AB85" s="696"/>
    </row>
    <row r="86" spans="1:37" ht="14.25" hidden="1">
      <c r="B86" s="894"/>
      <c r="C86" s="894"/>
      <c r="D86" s="909"/>
      <c r="E86" s="894"/>
      <c r="F86" s="707"/>
      <c r="G86" s="707"/>
      <c r="H86" s="707"/>
      <c r="I86" s="708"/>
      <c r="J86" s="708"/>
      <c r="K86" s="707"/>
      <c r="L86" s="707"/>
      <c r="M86" s="728"/>
      <c r="N86" s="728"/>
      <c r="O86" s="728"/>
      <c r="S86" s="697"/>
      <c r="W86" s="696"/>
      <c r="X86" s="696"/>
      <c r="Y86" s="696"/>
      <c r="Z86" s="696"/>
      <c r="AA86" s="696"/>
      <c r="AB86" s="696"/>
      <c r="AC86" s="697"/>
      <c r="AD86" s="697"/>
      <c r="AE86" s="697"/>
      <c r="AF86" s="697"/>
      <c r="AG86" s="697"/>
      <c r="AH86" s="697"/>
      <c r="AI86" s="697"/>
      <c r="AJ86" s="697"/>
      <c r="AK86" s="697"/>
    </row>
    <row r="87" spans="1:37" ht="14.25" hidden="1">
      <c r="B87" s="1038"/>
      <c r="C87" s="1039"/>
      <c r="D87" s="1040"/>
      <c r="E87" s="1041"/>
      <c r="F87" s="1041"/>
      <c r="G87" s="1041"/>
      <c r="H87" s="1041"/>
      <c r="I87" s="806"/>
      <c r="J87" s="1042"/>
      <c r="K87" s="806"/>
      <c r="L87" s="1043"/>
      <c r="M87" s="806"/>
      <c r="N87" s="1044"/>
      <c r="O87" s="1045"/>
      <c r="R87" s="696"/>
      <c r="S87" s="696"/>
      <c r="T87" s="696"/>
      <c r="U87" s="696"/>
      <c r="V87" s="696"/>
      <c r="W87" s="696"/>
      <c r="X87" s="696"/>
      <c r="Y87" s="696"/>
      <c r="Z87" s="696"/>
      <c r="AA87" s="696"/>
      <c r="AB87" s="696"/>
      <c r="AC87" s="697"/>
      <c r="AD87" s="697"/>
      <c r="AE87" s="697"/>
      <c r="AF87" s="697"/>
      <c r="AG87" s="697"/>
    </row>
    <row r="88" spans="1:37" ht="14.25" hidden="1">
      <c r="B88" s="1046"/>
      <c r="C88" s="1047" t="s">
        <v>36</v>
      </c>
      <c r="D88" s="1048" t="s">
        <v>37</v>
      </c>
      <c r="E88" s="1049" t="s">
        <v>38</v>
      </c>
      <c r="G88" s="697"/>
      <c r="H88" s="1049" t="s">
        <v>39</v>
      </c>
      <c r="J88" s="1052" t="s">
        <v>40</v>
      </c>
      <c r="L88" s="1052" t="s">
        <v>41</v>
      </c>
      <c r="N88" s="1054" t="s">
        <v>42</v>
      </c>
      <c r="O88" s="1055"/>
      <c r="R88" s="696"/>
      <c r="S88" s="696"/>
      <c r="T88" s="696"/>
      <c r="U88" s="696"/>
      <c r="V88" s="696"/>
      <c r="W88" s="696"/>
      <c r="X88" s="696"/>
      <c r="Y88" s="696"/>
      <c r="Z88" s="696"/>
      <c r="AA88" s="696"/>
      <c r="AB88" s="696"/>
      <c r="AC88" s="697"/>
      <c r="AD88" s="697"/>
      <c r="AE88" s="697"/>
      <c r="AF88" s="697"/>
      <c r="AG88" s="697"/>
    </row>
    <row r="89" spans="1:37" ht="14.25" hidden="1">
      <c r="A89" s="807"/>
      <c r="B89" s="1046"/>
      <c r="C89" s="1047" t="s">
        <v>43</v>
      </c>
      <c r="D89" s="1056" t="s">
        <v>44</v>
      </c>
      <c r="E89" s="1057"/>
      <c r="F89" s="1058"/>
      <c r="G89" s="1058"/>
      <c r="H89" s="1058"/>
      <c r="I89" s="1059"/>
      <c r="J89" s="1059"/>
      <c r="K89" s="1060"/>
      <c r="L89" s="1060"/>
      <c r="M89" s="728"/>
      <c r="N89" s="728"/>
      <c r="O89" s="1061"/>
      <c r="P89" s="807"/>
      <c r="Q89" s="807"/>
    </row>
    <row r="90" spans="1:37" ht="14.25" hidden="1">
      <c r="B90" s="1062"/>
      <c r="C90" s="1047" t="s">
        <v>45</v>
      </c>
      <c r="D90" s="1063" t="s">
        <v>46</v>
      </c>
      <c r="E90" s="1064"/>
      <c r="G90" s="1065"/>
      <c r="O90" s="1061"/>
    </row>
    <row r="91" spans="1:37" ht="14.25" hidden="1">
      <c r="B91" s="1062"/>
      <c r="C91" s="1047"/>
      <c r="D91" s="1063" t="s">
        <v>47</v>
      </c>
      <c r="E91" s="1064"/>
      <c r="G91" s="1065"/>
      <c r="O91" s="1061"/>
    </row>
    <row r="92" spans="1:37" ht="14.25" hidden="1">
      <c r="B92" s="1066"/>
      <c r="C92" s="1067" t="s">
        <v>48</v>
      </c>
      <c r="D92" s="1068" t="s">
        <v>447</v>
      </c>
      <c r="E92" s="1069"/>
      <c r="F92" s="1070"/>
      <c r="G92" s="1071"/>
      <c r="H92" s="1070"/>
      <c r="I92" s="1072"/>
      <c r="J92" s="1072"/>
      <c r="K92" s="1070"/>
      <c r="L92" s="1070"/>
      <c r="M92" s="1073"/>
      <c r="N92" s="1073"/>
      <c r="O92" s="1074"/>
    </row>
    <row r="93" spans="1:37" ht="14.25">
      <c r="G93" s="1065"/>
      <c r="O93" s="728"/>
    </row>
    <row r="94" spans="1:37" ht="14.25">
      <c r="G94" s="1065"/>
      <c r="L94" s="1065"/>
      <c r="M94" s="728"/>
      <c r="O94" s="728"/>
    </row>
    <row r="95" spans="1:37" ht="14.25">
      <c r="E95" s="1053"/>
      <c r="F95" s="1076"/>
      <c r="G95" s="1065"/>
      <c r="H95" s="1065"/>
      <c r="I95" s="1060"/>
      <c r="L95" s="1065"/>
      <c r="M95" s="728"/>
      <c r="O95" s="728"/>
    </row>
    <row r="96" spans="1:37" ht="14.25">
      <c r="C96" s="1077"/>
      <c r="D96" s="912"/>
      <c r="E96" s="1053"/>
      <c r="F96" s="1076"/>
      <c r="G96" s="1065"/>
      <c r="H96" s="1065"/>
      <c r="I96" s="1060"/>
      <c r="J96" s="1060"/>
      <c r="K96" s="1065"/>
      <c r="L96" s="1065"/>
      <c r="M96" s="728"/>
      <c r="O96" s="728"/>
    </row>
    <row r="97" spans="2:15" ht="14.25">
      <c r="B97" s="1078"/>
      <c r="C97" s="1079"/>
      <c r="D97" s="1080"/>
      <c r="E97" s="1053"/>
      <c r="F97" s="1076"/>
      <c r="G97" s="1058"/>
      <c r="H97" s="1058"/>
      <c r="I97" s="1059"/>
      <c r="J97" s="1059"/>
      <c r="K97" s="1060"/>
      <c r="L97" s="1060"/>
      <c r="M97" s="728"/>
      <c r="O97" s="728"/>
    </row>
    <row r="98" spans="2:15" ht="14.25" hidden="1">
      <c r="B98" s="1078"/>
      <c r="C98" s="1078"/>
      <c r="D98" s="1081"/>
      <c r="G98" s="1058"/>
      <c r="H98" s="1058"/>
      <c r="I98" s="1059"/>
      <c r="J98" s="1059"/>
      <c r="K98" s="1060"/>
      <c r="L98" s="1060"/>
      <c r="M98" s="728"/>
      <c r="N98" s="728"/>
      <c r="O98" s="728"/>
    </row>
    <row r="99" spans="2:15" ht="14.25" hidden="1">
      <c r="E99" s="706"/>
      <c r="F99" s="707"/>
      <c r="G99" s="707"/>
      <c r="H99" s="707"/>
      <c r="I99" s="708"/>
      <c r="J99" s="708"/>
      <c r="K99" s="707"/>
      <c r="L99" s="707"/>
      <c r="M99" s="728"/>
      <c r="N99" s="728"/>
      <c r="O99" s="728"/>
    </row>
    <row r="100" spans="2:15" ht="14.25" hidden="1">
      <c r="E100" s="706"/>
      <c r="F100" s="707"/>
      <c r="G100" s="707"/>
      <c r="H100" s="707"/>
      <c r="I100" s="708"/>
      <c r="J100" s="708"/>
      <c r="K100" s="707"/>
      <c r="L100" s="707"/>
      <c r="M100" s="728"/>
      <c r="N100" s="728"/>
      <c r="O100" s="728"/>
    </row>
    <row r="101" spans="2:15" ht="14.25" hidden="1">
      <c r="E101" s="706"/>
      <c r="F101" s="707"/>
      <c r="G101" s="707"/>
      <c r="H101" s="707"/>
      <c r="I101" s="708"/>
      <c r="J101" s="708"/>
      <c r="K101" s="707"/>
      <c r="L101" s="707"/>
      <c r="M101" s="728"/>
      <c r="N101" s="728"/>
      <c r="O101" s="728"/>
    </row>
    <row r="102" spans="2:15" ht="14.25" hidden="1">
      <c r="E102" s="706"/>
      <c r="F102" s="707"/>
      <c r="G102" s="707"/>
      <c r="H102" s="707"/>
      <c r="I102" s="708"/>
      <c r="J102" s="708"/>
      <c r="K102" s="707"/>
      <c r="L102" s="707"/>
      <c r="M102" s="728"/>
      <c r="N102" s="728"/>
      <c r="O102" s="728"/>
    </row>
    <row r="103" spans="2:15" ht="14.25" hidden="1">
      <c r="E103" s="706"/>
      <c r="F103" s="707"/>
      <c r="G103" s="707"/>
      <c r="H103" s="707"/>
      <c r="I103" s="708"/>
      <c r="J103" s="708"/>
      <c r="K103" s="707"/>
      <c r="L103" s="707"/>
      <c r="M103" s="728"/>
      <c r="N103" s="728"/>
      <c r="O103" s="728"/>
    </row>
    <row r="104" spans="2:15" ht="14.25" hidden="1">
      <c r="E104" s="706"/>
      <c r="F104" s="707"/>
      <c r="G104" s="707"/>
      <c r="H104" s="707"/>
      <c r="I104" s="708"/>
      <c r="J104" s="708"/>
      <c r="K104" s="707"/>
      <c r="L104" s="707"/>
      <c r="M104" s="728"/>
      <c r="N104" s="728"/>
      <c r="O104" s="728"/>
    </row>
    <row r="105" spans="2:15" ht="14.25" hidden="1">
      <c r="E105" s="706"/>
      <c r="F105" s="707"/>
      <c r="G105" s="707"/>
      <c r="H105" s="707"/>
      <c r="I105" s="708"/>
      <c r="J105" s="708"/>
      <c r="K105" s="707"/>
      <c r="L105" s="707"/>
      <c r="M105" s="728"/>
      <c r="N105" s="728"/>
      <c r="O105" s="728"/>
    </row>
    <row r="106" spans="2:15" ht="14.25" hidden="1">
      <c r="E106" s="706"/>
      <c r="F106" s="707"/>
      <c r="G106" s="707"/>
      <c r="H106" s="707"/>
      <c r="I106" s="708"/>
      <c r="J106" s="708"/>
      <c r="K106" s="707"/>
      <c r="L106" s="707"/>
      <c r="M106" s="728"/>
      <c r="N106" s="728"/>
      <c r="O106" s="728"/>
    </row>
    <row r="107" spans="2:15" ht="14.25" hidden="1">
      <c r="E107" s="706"/>
      <c r="F107" s="707"/>
      <c r="G107" s="707"/>
      <c r="H107" s="707"/>
      <c r="I107" s="708"/>
      <c r="J107" s="708"/>
      <c r="K107" s="707"/>
      <c r="L107" s="707"/>
      <c r="M107" s="728"/>
      <c r="N107" s="728"/>
      <c r="O107" s="728"/>
    </row>
    <row r="108" spans="2:15" ht="14.25" hidden="1">
      <c r="E108" s="706"/>
      <c r="F108" s="707"/>
      <c r="G108" s="707"/>
      <c r="H108" s="707"/>
      <c r="I108" s="708"/>
      <c r="J108" s="708"/>
      <c r="K108" s="707"/>
      <c r="L108" s="707"/>
      <c r="M108" s="728"/>
      <c r="N108" s="728"/>
      <c r="O108" s="728"/>
    </row>
    <row r="109" spans="2:15" ht="14.25" hidden="1">
      <c r="E109" s="706"/>
      <c r="F109" s="707"/>
      <c r="G109" s="707"/>
      <c r="H109" s="707"/>
      <c r="I109" s="708"/>
      <c r="J109" s="708"/>
      <c r="K109" s="707"/>
      <c r="L109" s="707"/>
      <c r="M109" s="728"/>
      <c r="N109" s="728"/>
      <c r="O109" s="728"/>
    </row>
    <row r="110" spans="2:15" ht="14.25" hidden="1">
      <c r="E110" s="706"/>
      <c r="F110" s="707"/>
      <c r="G110" s="707"/>
      <c r="H110" s="707"/>
      <c r="I110" s="708"/>
      <c r="J110" s="708"/>
      <c r="K110" s="707"/>
      <c r="L110" s="707"/>
      <c r="M110" s="728"/>
      <c r="N110" s="728"/>
      <c r="O110" s="728"/>
    </row>
    <row r="111" spans="2:15" ht="14.25" hidden="1">
      <c r="E111" s="706"/>
      <c r="F111" s="707"/>
      <c r="G111" s="707"/>
      <c r="H111" s="707"/>
      <c r="I111" s="708"/>
      <c r="J111" s="708"/>
      <c r="K111" s="707"/>
      <c r="L111" s="707"/>
      <c r="M111" s="728"/>
      <c r="N111" s="728"/>
      <c r="O111" s="728"/>
    </row>
    <row r="112" spans="2:15" ht="14.25" hidden="1">
      <c r="E112" s="706"/>
      <c r="F112" s="707"/>
      <c r="G112" s="707"/>
      <c r="H112" s="707"/>
      <c r="I112" s="708"/>
      <c r="J112" s="708"/>
      <c r="K112" s="707"/>
      <c r="L112" s="707"/>
      <c r="M112" s="728"/>
      <c r="N112" s="728"/>
      <c r="O112" s="728"/>
    </row>
    <row r="113" spans="5:15" ht="14.25" hidden="1">
      <c r="E113" s="706"/>
      <c r="F113" s="707"/>
      <c r="G113" s="707"/>
      <c r="H113" s="707"/>
      <c r="I113" s="708"/>
      <c r="J113" s="708"/>
      <c r="K113" s="707"/>
      <c r="L113" s="707"/>
      <c r="M113" s="728"/>
      <c r="N113" s="728"/>
      <c r="O113" s="728"/>
    </row>
    <row r="114" spans="5:15" ht="14.25" hidden="1">
      <c r="E114" s="706"/>
      <c r="F114" s="707"/>
      <c r="G114" s="707"/>
      <c r="H114" s="707"/>
      <c r="I114" s="708"/>
      <c r="J114" s="708"/>
      <c r="K114" s="707"/>
      <c r="L114" s="707"/>
      <c r="M114" s="728"/>
      <c r="N114" s="728"/>
      <c r="O114" s="728"/>
    </row>
    <row r="115" spans="5:15" ht="14.25" hidden="1">
      <c r="E115" s="706"/>
      <c r="F115" s="707"/>
      <c r="G115" s="707"/>
      <c r="H115" s="707"/>
      <c r="I115" s="708"/>
      <c r="J115" s="708"/>
      <c r="K115" s="707"/>
      <c r="L115" s="707"/>
      <c r="M115" s="728"/>
      <c r="N115" s="728"/>
      <c r="O115" s="728"/>
    </row>
    <row r="116" spans="5:15" ht="14.25" hidden="1">
      <c r="E116" s="706"/>
      <c r="F116" s="707"/>
      <c r="G116" s="707"/>
      <c r="H116" s="707"/>
      <c r="I116" s="708"/>
      <c r="J116" s="708"/>
      <c r="K116" s="707"/>
      <c r="L116" s="707"/>
      <c r="M116" s="728"/>
      <c r="N116" s="728"/>
      <c r="O116" s="728"/>
    </row>
    <row r="117" spans="5:15" ht="14.25" hidden="1">
      <c r="E117" s="706"/>
      <c r="F117" s="707"/>
      <c r="G117" s="707"/>
      <c r="H117" s="707"/>
      <c r="I117" s="708"/>
      <c r="J117" s="708"/>
      <c r="K117" s="707"/>
      <c r="L117" s="707"/>
      <c r="M117" s="728"/>
      <c r="N117" s="728"/>
      <c r="O117" s="728"/>
    </row>
    <row r="118" spans="5:15" ht="14.25" hidden="1">
      <c r="E118" s="706"/>
      <c r="F118" s="707"/>
      <c r="G118" s="707"/>
      <c r="H118" s="707"/>
      <c r="I118" s="708"/>
      <c r="J118" s="708"/>
      <c r="K118" s="707"/>
      <c r="L118" s="707"/>
      <c r="M118" s="728"/>
      <c r="N118" s="728"/>
      <c r="O118" s="728"/>
    </row>
    <row r="119" spans="5:15" ht="14.25" hidden="1">
      <c r="E119" s="706"/>
      <c r="F119" s="707"/>
      <c r="G119" s="707"/>
      <c r="H119" s="707"/>
      <c r="I119" s="708"/>
      <c r="J119" s="708"/>
      <c r="K119" s="707"/>
      <c r="L119" s="707"/>
      <c r="M119" s="728"/>
      <c r="N119" s="728"/>
      <c r="O119" s="728"/>
    </row>
    <row r="120" spans="5:15" ht="14.25" hidden="1">
      <c r="E120" s="706"/>
      <c r="F120" s="707"/>
      <c r="G120" s="707"/>
      <c r="H120" s="707"/>
      <c r="I120" s="708"/>
      <c r="J120" s="708"/>
      <c r="K120" s="707"/>
      <c r="L120" s="707"/>
      <c r="M120" s="728"/>
      <c r="N120" s="728"/>
      <c r="O120" s="728"/>
    </row>
    <row r="121" spans="5:15" ht="14.25" hidden="1">
      <c r="E121" s="706"/>
      <c r="F121" s="707"/>
      <c r="G121" s="707"/>
      <c r="H121" s="707"/>
      <c r="I121" s="708"/>
      <c r="J121" s="708"/>
      <c r="K121" s="707"/>
      <c r="L121" s="707"/>
      <c r="M121" s="728"/>
      <c r="N121" s="728"/>
      <c r="O121" s="728"/>
    </row>
    <row r="122" spans="5:15" ht="14.25" hidden="1">
      <c r="E122" s="706"/>
      <c r="F122" s="707"/>
      <c r="G122" s="707"/>
      <c r="H122" s="707"/>
      <c r="I122" s="708"/>
      <c r="J122" s="708"/>
      <c r="K122" s="707"/>
      <c r="L122" s="707"/>
      <c r="M122" s="728"/>
      <c r="N122" s="728"/>
      <c r="O122" s="728"/>
    </row>
    <row r="123" spans="5:15" ht="14.25" hidden="1">
      <c r="E123" s="706"/>
      <c r="F123" s="707"/>
      <c r="G123" s="707"/>
      <c r="H123" s="707"/>
      <c r="I123" s="708"/>
      <c r="J123" s="708"/>
      <c r="K123" s="707"/>
      <c r="L123" s="707"/>
      <c r="M123" s="728"/>
      <c r="N123" s="728"/>
      <c r="O123" s="728"/>
    </row>
    <row r="124" spans="5:15" ht="14.25" hidden="1">
      <c r="E124" s="706"/>
      <c r="F124" s="707"/>
      <c r="G124" s="707"/>
      <c r="H124" s="707"/>
      <c r="I124" s="708"/>
      <c r="J124" s="708"/>
      <c r="K124" s="707"/>
      <c r="L124" s="707"/>
      <c r="M124" s="728"/>
      <c r="N124" s="728"/>
      <c r="O124" s="728"/>
    </row>
    <row r="125" spans="5:15" ht="14.25" hidden="1">
      <c r="E125" s="706"/>
      <c r="F125" s="707"/>
      <c r="G125" s="707"/>
      <c r="H125" s="707"/>
      <c r="I125" s="708"/>
      <c r="J125" s="708"/>
      <c r="K125" s="707"/>
      <c r="L125" s="707"/>
      <c r="M125" s="728"/>
      <c r="N125" s="728"/>
      <c r="O125" s="728"/>
    </row>
    <row r="126" spans="5:15" ht="14.25" hidden="1">
      <c r="E126" s="706"/>
      <c r="F126" s="707"/>
      <c r="G126" s="707"/>
      <c r="H126" s="707"/>
      <c r="I126" s="708"/>
      <c r="J126" s="708"/>
      <c r="K126" s="707"/>
      <c r="L126" s="707"/>
      <c r="M126" s="728"/>
      <c r="N126" s="728"/>
      <c r="O126" s="728"/>
    </row>
    <row r="127" spans="5:15" ht="14.25" hidden="1">
      <c r="E127" s="706"/>
      <c r="F127" s="707"/>
      <c r="G127" s="707"/>
      <c r="H127" s="707"/>
      <c r="I127" s="708"/>
      <c r="J127" s="708"/>
      <c r="K127" s="707"/>
      <c r="L127" s="707"/>
      <c r="M127" s="728"/>
      <c r="N127" s="728"/>
      <c r="O127" s="728"/>
    </row>
    <row r="128" spans="5:15" ht="14.25" hidden="1">
      <c r="E128" s="706"/>
      <c r="F128" s="707"/>
      <c r="G128" s="707"/>
      <c r="H128" s="707"/>
      <c r="I128" s="708"/>
      <c r="J128" s="708"/>
      <c r="K128" s="707"/>
      <c r="L128" s="707"/>
      <c r="M128" s="728"/>
      <c r="N128" s="728"/>
      <c r="O128" s="728"/>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mergeCells count="11">
    <mergeCell ref="Q2:Q5"/>
    <mergeCell ref="K5:L5"/>
    <mergeCell ref="N5:O5"/>
    <mergeCell ref="D13:E13"/>
    <mergeCell ref="D14:E14"/>
    <mergeCell ref="L35:O38"/>
    <mergeCell ref="L65:O69"/>
    <mergeCell ref="J13:K13"/>
    <mergeCell ref="D18:G20"/>
    <mergeCell ref="J18:K20"/>
    <mergeCell ref="H36:K38"/>
  </mergeCells>
  <phoneticPr fontId="20"/>
  <conditionalFormatting sqref="H27:K35">
    <cfRule type="expression" dxfId="25"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4"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FF00"/>
    <pageSetUpPr fitToPage="1"/>
  </sheetPr>
  <dimension ref="A1:AP214"/>
  <sheetViews>
    <sheetView showGridLines="0" topLeftCell="A51" zoomScale="75" zoomScaleNormal="75" workbookViewId="0">
      <selection activeCell="L63" sqref="L63"/>
    </sheetView>
  </sheetViews>
  <sheetFormatPr defaultColWidth="0" defaultRowHeight="0" customHeight="1" zeroHeight="1"/>
  <cols>
    <col min="1" max="1" width="0.75" style="688" customWidth="1"/>
    <col min="2" max="2" width="2.125" style="704" customWidth="1"/>
    <col min="3" max="3" width="13.375" style="704" customWidth="1"/>
    <col min="4" max="4" width="5.375" style="705" customWidth="1"/>
    <col min="5" max="5" width="9.75" style="1075" customWidth="1"/>
    <col min="6" max="6" width="6.25" style="1050" customWidth="1"/>
    <col min="7" max="7" width="6.5" style="1050" customWidth="1"/>
    <col min="8" max="8" width="12.875" style="1050" customWidth="1"/>
    <col min="9" max="9" width="7.125" style="1051" customWidth="1"/>
    <col min="10" max="10" width="12.125" style="1051" customWidth="1"/>
    <col min="11" max="11" width="11.875" style="1050" customWidth="1"/>
    <col min="12" max="12" width="10.75" style="1050" customWidth="1"/>
    <col min="13" max="13" width="11.875" style="1053" customWidth="1"/>
    <col min="14" max="15" width="11.375" style="1053" customWidth="1"/>
    <col min="16" max="16" width="0.75" style="688" customWidth="1"/>
    <col min="17" max="17" width="3.875" style="688" bestFit="1" customWidth="1"/>
    <col min="18" max="18" width="20.625" style="697" hidden="1" customWidth="1"/>
    <col min="19" max="19" width="18.625" style="1036" hidden="1" customWidth="1"/>
    <col min="20" max="20" width="15.25" style="697" hidden="1" customWidth="1"/>
    <col min="21" max="21" width="19.25" style="697" hidden="1" customWidth="1"/>
    <col min="22" max="22" width="18.625" style="697" hidden="1" customWidth="1"/>
    <col min="23" max="23" width="11.125" style="697" hidden="1" customWidth="1"/>
    <col min="24" max="24" width="20.5" style="697" hidden="1" customWidth="1"/>
    <col min="25" max="25" width="18.625" style="697" hidden="1" customWidth="1"/>
    <col min="26" max="26" width="23" style="697" hidden="1" customWidth="1"/>
    <col min="27" max="27" width="4.5" style="697" hidden="1" customWidth="1"/>
    <col min="28" max="28" width="5" style="697" hidden="1" customWidth="1"/>
    <col min="29" max="31" width="5" style="1037" hidden="1" customWidth="1"/>
    <col min="32" max="32" width="5.125" style="1037" hidden="1" customWidth="1"/>
    <col min="33" max="42" width="0" style="1037" hidden="1" customWidth="1"/>
    <col min="43" max="16384" width="9" style="1037" hidden="1"/>
  </cols>
  <sheetData>
    <row r="1" spans="1:28" s="686" customFormat="1" ht="6" customHeight="1" thickBot="1">
      <c r="A1" s="678"/>
      <c r="B1" s="679"/>
      <c r="C1" s="680"/>
      <c r="D1" s="681"/>
      <c r="E1" s="682"/>
      <c r="F1" s="683"/>
      <c r="G1" s="683"/>
      <c r="H1" s="683"/>
      <c r="I1" s="684"/>
      <c r="J1" s="684"/>
      <c r="K1" s="683"/>
      <c r="L1" s="685"/>
      <c r="M1" s="682"/>
      <c r="N1" s="682"/>
      <c r="O1" s="678"/>
      <c r="P1" s="678"/>
      <c r="Q1" s="678"/>
      <c r="S1" s="687"/>
    </row>
    <row r="2" spans="1:28" s="697" customFormat="1" ht="18.75" customHeight="1" thickTop="1">
      <c r="A2" s="688"/>
      <c r="B2" s="689"/>
      <c r="C2" s="690"/>
      <c r="D2" s="691"/>
      <c r="E2" s="692"/>
      <c r="F2" s="693"/>
      <c r="G2" s="693"/>
      <c r="H2" s="693"/>
      <c r="I2" s="694"/>
      <c r="J2" s="695"/>
      <c r="K2" s="695"/>
      <c r="L2" s="695"/>
      <c r="M2" s="695"/>
      <c r="N2" s="693"/>
      <c r="O2" s="529"/>
      <c r="P2" s="688"/>
      <c r="Q2" s="2790" t="s">
        <v>448</v>
      </c>
      <c r="R2" s="696"/>
      <c r="S2" s="696"/>
      <c r="T2" s="696"/>
      <c r="U2" s="696"/>
      <c r="V2" s="696"/>
      <c r="W2" s="696"/>
      <c r="X2" s="696"/>
      <c r="Y2" s="696"/>
      <c r="Z2" s="696"/>
      <c r="AA2" s="696"/>
      <c r="AB2" s="696"/>
    </row>
    <row r="3" spans="1:28" s="697" customFormat="1" ht="18.75" customHeight="1">
      <c r="A3" s="688"/>
      <c r="B3" s="689"/>
      <c r="C3" s="690"/>
      <c r="D3" s="691"/>
      <c r="E3" s="692"/>
      <c r="F3" s="693"/>
      <c r="G3" s="693"/>
      <c r="H3" s="693"/>
      <c r="I3" s="694"/>
      <c r="J3" s="695"/>
      <c r="K3" s="695"/>
      <c r="L3" s="695"/>
      <c r="M3" s="695"/>
      <c r="N3" s="693"/>
      <c r="O3" s="528"/>
      <c r="P3" s="688"/>
      <c r="Q3" s="2791"/>
      <c r="R3" s="696"/>
      <c r="S3" s="696"/>
      <c r="T3" s="696"/>
      <c r="U3" s="696"/>
      <c r="V3" s="696"/>
      <c r="W3" s="696"/>
      <c r="X3" s="696"/>
      <c r="Y3" s="696"/>
      <c r="Z3" s="696"/>
      <c r="AA3" s="696"/>
      <c r="AB3" s="696"/>
    </row>
    <row r="4" spans="1:28" s="697" customFormat="1" ht="18.75" customHeight="1">
      <c r="A4" s="688"/>
      <c r="B4" s="689"/>
      <c r="C4" s="690"/>
      <c r="D4" s="691"/>
      <c r="E4" s="692"/>
      <c r="F4" s="693"/>
      <c r="G4" s="693"/>
      <c r="H4" s="693"/>
      <c r="I4" s="698"/>
      <c r="J4" s="695"/>
      <c r="K4" s="695"/>
      <c r="L4" s="695"/>
      <c r="M4" s="695"/>
      <c r="N4" s="693"/>
      <c r="O4" s="529"/>
      <c r="P4" s="688"/>
      <c r="Q4" s="2791"/>
      <c r="R4" s="696"/>
      <c r="S4" s="696"/>
      <c r="T4" s="696"/>
      <c r="U4" s="696"/>
      <c r="V4" s="696"/>
      <c r="W4" s="696"/>
      <c r="X4" s="696"/>
      <c r="Y4" s="696"/>
      <c r="Z4" s="696"/>
      <c r="AA4" s="696"/>
      <c r="AB4" s="696"/>
    </row>
    <row r="5" spans="1:28" s="697" customFormat="1" ht="13.5" customHeight="1" thickBot="1">
      <c r="A5" s="688"/>
      <c r="B5" s="699"/>
      <c r="C5" s="700"/>
      <c r="D5" s="691"/>
      <c r="E5" s="692"/>
      <c r="F5" s="693"/>
      <c r="G5" s="702" t="s">
        <v>1925</v>
      </c>
      <c r="H5" s="2667" t="str">
        <f>メイン!C6</f>
        <v>CASBEE-建築(改修)2014年版</v>
      </c>
      <c r="I5" s="701"/>
      <c r="J5" s="702"/>
      <c r="K5" s="2745"/>
      <c r="L5" s="2746"/>
      <c r="M5" s="702" t="s">
        <v>984</v>
      </c>
      <c r="N5" s="2745" t="str">
        <f>メイン!C5</f>
        <v>CASBEE-BD_RN_2014(v.2.0)</v>
      </c>
      <c r="O5" s="2747"/>
      <c r="P5" s="688"/>
      <c r="Q5" s="2792"/>
      <c r="R5" s="696"/>
      <c r="S5" s="696"/>
      <c r="T5" s="696"/>
      <c r="U5" s="696"/>
      <c r="V5" s="696"/>
      <c r="W5" s="696"/>
      <c r="X5" s="696"/>
      <c r="Y5" s="696"/>
      <c r="Z5" s="696"/>
      <c r="AA5" s="696"/>
      <c r="AB5" s="696"/>
    </row>
    <row r="6" spans="1:28" s="697" customFormat="1" ht="6" customHeight="1" thickTop="1" thickBot="1">
      <c r="A6" s="688"/>
      <c r="B6" s="703"/>
      <c r="C6" s="704"/>
      <c r="D6" s="705"/>
      <c r="E6" s="706"/>
      <c r="F6" s="707"/>
      <c r="G6" s="707"/>
      <c r="H6" s="707"/>
      <c r="I6" s="708"/>
      <c r="J6" s="709"/>
      <c r="K6" s="709"/>
      <c r="L6" s="710"/>
      <c r="M6" s="706"/>
      <c r="N6" s="706"/>
      <c r="O6" s="706"/>
      <c r="P6" s="688"/>
      <c r="Q6" s="688"/>
      <c r="R6" s="696"/>
      <c r="S6" s="696"/>
      <c r="T6" s="696"/>
      <c r="U6" s="696"/>
      <c r="V6" s="696"/>
      <c r="W6" s="696"/>
      <c r="X6" s="696"/>
      <c r="Y6" s="696"/>
      <c r="Z6" s="696"/>
      <c r="AA6" s="696"/>
      <c r="AB6" s="696"/>
    </row>
    <row r="7" spans="1:28" s="697" customFormat="1" ht="18" customHeight="1" thickBot="1">
      <c r="A7" s="688"/>
      <c r="B7" s="711" t="s">
        <v>985</v>
      </c>
      <c r="C7" s="712"/>
      <c r="D7" s="713"/>
      <c r="E7" s="712"/>
      <c r="F7" s="712"/>
      <c r="G7" s="712"/>
      <c r="H7" s="714"/>
      <c r="I7" s="715"/>
      <c r="J7" s="715"/>
      <c r="K7" s="1082"/>
      <c r="L7" s="1083" t="s">
        <v>986</v>
      </c>
      <c r="M7" s="712"/>
      <c r="N7" s="712"/>
      <c r="O7" s="717"/>
      <c r="P7" s="688"/>
      <c r="Q7" s="688"/>
      <c r="R7" s="718" t="s">
        <v>987</v>
      </c>
      <c r="S7" s="696"/>
      <c r="T7" s="696"/>
      <c r="U7" s="718" t="s">
        <v>988</v>
      </c>
      <c r="V7" s="696"/>
      <c r="W7" s="696"/>
      <c r="X7" s="696"/>
      <c r="Y7" s="696"/>
      <c r="Z7" s="696"/>
      <c r="AA7" s="696"/>
      <c r="AB7" s="696"/>
    </row>
    <row r="8" spans="1:28" s="697" customFormat="1" ht="18" customHeight="1">
      <c r="A8" s="688"/>
      <c r="B8" s="1084" t="s">
        <v>989</v>
      </c>
      <c r="C8" s="1085"/>
      <c r="D8" s="1086" t="str">
        <f>メイン!C11</f>
        <v>旧ビル</v>
      </c>
      <c r="E8" s="1085"/>
      <c r="F8" s="1085"/>
      <c r="G8" s="1087"/>
      <c r="H8" s="723" t="s">
        <v>990</v>
      </c>
      <c r="I8" s="724"/>
      <c r="J8" s="725" t="str">
        <f>メイン!C22</f>
        <v>地上12F</v>
      </c>
      <c r="K8" s="726"/>
      <c r="L8" s="1088"/>
      <c r="M8" s="728"/>
      <c r="N8" s="728"/>
      <c r="O8" s="729"/>
      <c r="P8" s="688"/>
      <c r="Q8" s="688"/>
      <c r="R8" s="730" t="s">
        <v>434</v>
      </c>
      <c r="S8" s="730">
        <f>スコア表示!AN8</f>
        <v>3.0168750000000002</v>
      </c>
      <c r="T8" s="696"/>
      <c r="U8" s="731"/>
      <c r="V8" s="731" t="s">
        <v>991</v>
      </c>
      <c r="W8" s="732" t="s">
        <v>435</v>
      </c>
      <c r="X8" s="732">
        <v>4</v>
      </c>
      <c r="Y8" s="732">
        <v>2</v>
      </c>
      <c r="Z8" s="733" t="s">
        <v>436</v>
      </c>
      <c r="AA8" s="734" t="s">
        <v>437</v>
      </c>
      <c r="AB8" s="696"/>
    </row>
    <row r="9" spans="1:28" s="697" customFormat="1" ht="18" customHeight="1">
      <c r="A9" s="688"/>
      <c r="B9" s="735" t="s">
        <v>992</v>
      </c>
      <c r="C9" s="736"/>
      <c r="D9" s="737" t="str">
        <f>メイン!H12</f>
        <v>○○県○○市</v>
      </c>
      <c r="E9" s="736"/>
      <c r="F9" s="738"/>
      <c r="H9" s="739" t="s">
        <v>993</v>
      </c>
      <c r="I9" s="740"/>
      <c r="J9" s="741" t="str">
        <f>メイン!C23</f>
        <v>S造</v>
      </c>
      <c r="K9" s="742"/>
      <c r="L9" s="743"/>
      <c r="O9" s="744"/>
      <c r="P9" s="688"/>
      <c r="Q9" s="688"/>
      <c r="R9" s="730" t="s">
        <v>438</v>
      </c>
      <c r="S9" s="730">
        <f>スコア表示!AN116</f>
        <v>3.1100000000000003</v>
      </c>
      <c r="U9" s="745" t="s">
        <v>439</v>
      </c>
      <c r="V9" s="731" t="s">
        <v>440</v>
      </c>
      <c r="W9" s="732">
        <v>5</v>
      </c>
      <c r="X9" s="732">
        <v>4</v>
      </c>
      <c r="Y9" s="732">
        <v>2</v>
      </c>
      <c r="Z9" s="746">
        <f>V45</f>
        <v>3</v>
      </c>
      <c r="AA9" s="734">
        <v>3</v>
      </c>
    </row>
    <row r="10" spans="1:28" s="697" customFormat="1" ht="18" customHeight="1">
      <c r="A10" s="688"/>
      <c r="B10" s="735" t="s">
        <v>994</v>
      </c>
      <c r="C10" s="747"/>
      <c r="D10" s="737" t="str">
        <f>メイン!C14</f>
        <v>商業地域、防火地域</v>
      </c>
      <c r="E10" s="747"/>
      <c r="F10" s="747"/>
      <c r="H10" s="723" t="s">
        <v>995</v>
      </c>
      <c r="I10" s="724"/>
      <c r="J10" s="748" t="str">
        <f>メイン!C24</f>
        <v>○○</v>
      </c>
      <c r="K10" s="738" t="s">
        <v>996</v>
      </c>
      <c r="L10" s="749"/>
      <c r="N10" s="750"/>
      <c r="O10" s="751"/>
      <c r="P10" s="688"/>
      <c r="Q10" s="688"/>
      <c r="R10" s="733" t="s">
        <v>997</v>
      </c>
      <c r="S10" s="752">
        <f>25*(S8-1)</f>
        <v>50.421875000000007</v>
      </c>
      <c r="U10" s="745" t="s">
        <v>998</v>
      </c>
      <c r="V10" s="753" t="s">
        <v>999</v>
      </c>
      <c r="W10" s="732">
        <v>5</v>
      </c>
      <c r="X10" s="732">
        <v>4</v>
      </c>
      <c r="Y10" s="732">
        <v>2</v>
      </c>
      <c r="Z10" s="746">
        <f>Y45</f>
        <v>3</v>
      </c>
      <c r="AA10" s="734">
        <v>3</v>
      </c>
    </row>
    <row r="11" spans="1:28" s="697" customFormat="1" ht="18" customHeight="1">
      <c r="A11" s="688"/>
      <c r="B11" s="754" t="s">
        <v>441</v>
      </c>
      <c r="C11" s="720"/>
      <c r="D11" s="755" t="str">
        <f>IF(メイン!H13="","",メイン!H13)</f>
        <v/>
      </c>
      <c r="E11" s="720"/>
      <c r="F11" s="756"/>
      <c r="G11" s="722"/>
      <c r="H11" s="739" t="s">
        <v>1000</v>
      </c>
      <c r="I11" s="740"/>
      <c r="J11" s="757" t="str">
        <f>メイン!C25</f>
        <v>○○</v>
      </c>
      <c r="K11" s="758" t="s">
        <v>1001</v>
      </c>
      <c r="L11" s="749"/>
      <c r="M11" s="759" t="s">
        <v>1002</v>
      </c>
      <c r="N11" s="750"/>
      <c r="O11" s="751"/>
      <c r="P11" s="688"/>
      <c r="Q11" s="688"/>
      <c r="R11" s="733" t="s">
        <v>1003</v>
      </c>
      <c r="S11" s="752">
        <f>25*(5-S9)</f>
        <v>47.249999999999993</v>
      </c>
      <c r="U11" s="745" t="s">
        <v>1004</v>
      </c>
      <c r="V11" s="760" t="s">
        <v>600</v>
      </c>
      <c r="W11" s="732">
        <v>5</v>
      </c>
      <c r="X11" s="732">
        <v>4</v>
      </c>
      <c r="Y11" s="732">
        <v>2</v>
      </c>
      <c r="Z11" s="746">
        <f>Y56</f>
        <v>3.1</v>
      </c>
      <c r="AA11" s="734">
        <v>3</v>
      </c>
    </row>
    <row r="12" spans="1:28" s="697" customFormat="1" ht="18" customHeight="1">
      <c r="A12" s="688"/>
      <c r="B12" s="761" t="s">
        <v>1005</v>
      </c>
      <c r="C12" s="762"/>
      <c r="D12" s="763" t="str">
        <f>メイン!C21</f>
        <v>事務所,</v>
      </c>
      <c r="E12" s="762"/>
      <c r="F12" s="762"/>
      <c r="G12" s="764"/>
      <c r="H12" s="723" t="s">
        <v>1017</v>
      </c>
      <c r="I12" s="780"/>
      <c r="J12" s="792">
        <f>メイン!C39</f>
        <v>41821</v>
      </c>
      <c r="K12" s="782"/>
      <c r="L12" s="749"/>
      <c r="M12" s="769" t="s">
        <v>1926</v>
      </c>
      <c r="N12" s="750"/>
      <c r="O12" s="751"/>
      <c r="P12" s="688"/>
      <c r="Q12" s="688"/>
      <c r="R12" s="733" t="s">
        <v>1008</v>
      </c>
      <c r="S12" s="733">
        <f>S10/S11</f>
        <v>1.06712962962963</v>
      </c>
      <c r="U12" s="745" t="s">
        <v>1009</v>
      </c>
      <c r="V12" s="760" t="s">
        <v>1010</v>
      </c>
      <c r="W12" s="732">
        <v>5</v>
      </c>
      <c r="X12" s="732">
        <v>4</v>
      </c>
      <c r="Y12" s="732">
        <v>2</v>
      </c>
      <c r="Z12" s="746">
        <f>V56</f>
        <v>3</v>
      </c>
      <c r="AA12" s="734">
        <v>3</v>
      </c>
    </row>
    <row r="13" spans="1:28" s="697" customFormat="1" ht="18" customHeight="1">
      <c r="A13" s="688"/>
      <c r="B13" s="770" t="s">
        <v>1016</v>
      </c>
      <c r="C13" s="806"/>
      <c r="D13" s="2748">
        <f>メイン!C15</f>
        <v>21976</v>
      </c>
      <c r="E13" s="2771"/>
      <c r="F13" s="772"/>
      <c r="G13" s="773"/>
      <c r="H13" s="723" t="s">
        <v>1022</v>
      </c>
      <c r="I13" s="780"/>
      <c r="J13" s="788" t="str">
        <f>メイン!C40</f>
        <v>○○○</v>
      </c>
      <c r="K13" s="789"/>
      <c r="L13" s="749"/>
      <c r="M13" s="769" t="s">
        <v>1927</v>
      </c>
      <c r="O13" s="751"/>
      <c r="P13" s="688"/>
      <c r="Q13" s="688"/>
      <c r="R13" s="745" t="s">
        <v>49</v>
      </c>
      <c r="S13" s="776">
        <f>ROUNDDOWN(S12,1)</f>
        <v>1</v>
      </c>
      <c r="U13" s="745" t="s">
        <v>50</v>
      </c>
      <c r="V13" s="760" t="s">
        <v>51</v>
      </c>
      <c r="W13" s="732">
        <v>5</v>
      </c>
      <c r="X13" s="732">
        <v>4</v>
      </c>
      <c r="Y13" s="732">
        <v>2</v>
      </c>
      <c r="Z13" s="746">
        <f>S56</f>
        <v>3.2</v>
      </c>
      <c r="AA13" s="734">
        <v>3</v>
      </c>
    </row>
    <row r="14" spans="1:28" s="697" customFormat="1" ht="18" customHeight="1">
      <c r="A14" s="688"/>
      <c r="B14" s="774" t="s">
        <v>52</v>
      </c>
      <c r="C14" s="801"/>
      <c r="D14" s="1089" t="str">
        <f>メイン!C26</f>
        <v>○○</v>
      </c>
      <c r="E14" s="756" t="s">
        <v>1007</v>
      </c>
      <c r="F14" s="801"/>
      <c r="G14" s="722"/>
      <c r="H14" s="723" t="s">
        <v>1026</v>
      </c>
      <c r="J14" s="792">
        <f>メイン!C41</f>
        <v>41822</v>
      </c>
      <c r="L14" s="749"/>
      <c r="O14" s="751"/>
      <c r="P14" s="688"/>
      <c r="Q14" s="688"/>
      <c r="S14" s="783"/>
      <c r="U14" s="745" t="s">
        <v>53</v>
      </c>
      <c r="V14" s="753" t="s">
        <v>1019</v>
      </c>
      <c r="W14" s="732">
        <v>5</v>
      </c>
      <c r="X14" s="732">
        <v>4</v>
      </c>
      <c r="Y14" s="732">
        <v>2</v>
      </c>
      <c r="Z14" s="746">
        <f>IF(S45=0,1,S45)</f>
        <v>3</v>
      </c>
      <c r="AA14" s="734">
        <v>3</v>
      </c>
    </row>
    <row r="15" spans="1:28" s="697" customFormat="1" ht="18" customHeight="1">
      <c r="A15" s="688"/>
      <c r="B15" s="723" t="s">
        <v>1020</v>
      </c>
      <c r="C15" s="784"/>
      <c r="D15" s="785"/>
      <c r="E15" s="786">
        <f>メイン!H17</f>
        <v>2000</v>
      </c>
      <c r="F15" s="787" t="s">
        <v>1021</v>
      </c>
      <c r="H15" s="739" t="s">
        <v>1029</v>
      </c>
      <c r="I15" s="801"/>
      <c r="J15" s="802" t="str">
        <f>メイン!C42</f>
        <v>○○○</v>
      </c>
      <c r="K15" s="801"/>
      <c r="L15" s="749"/>
      <c r="M15" s="750"/>
      <c r="N15" s="750"/>
      <c r="O15" s="751"/>
      <c r="P15" s="688"/>
      <c r="Q15" s="688"/>
      <c r="R15" s="733" t="s">
        <v>54</v>
      </c>
      <c r="S15" s="790">
        <f>IF(AND($S$10&gt;=50,$S$12&gt;=3),1,IF(S13&lt;0.5,1,IF(S13&lt;1,2,IF(S13&lt;1.5,3,IF(S13&lt;3,4,4))))/5)</f>
        <v>0.6</v>
      </c>
      <c r="V15" s="791"/>
      <c r="Z15" s="791"/>
    </row>
    <row r="16" spans="1:28" s="697" customFormat="1" ht="18" customHeight="1">
      <c r="A16" s="688"/>
      <c r="B16" s="723" t="s">
        <v>1024</v>
      </c>
      <c r="C16" s="784"/>
      <c r="D16" s="785"/>
      <c r="E16" s="786">
        <f>メイン!C18</f>
        <v>1400</v>
      </c>
      <c r="F16" s="787" t="s">
        <v>1025</v>
      </c>
      <c r="H16" s="765" t="s">
        <v>1033</v>
      </c>
      <c r="I16" s="806"/>
      <c r="J16" s="2754" t="str">
        <f>IF(メイン!C27=0,"",メイン!C27)</f>
        <v>○○○</v>
      </c>
      <c r="K16" s="2755"/>
      <c r="L16" s="749"/>
      <c r="M16" s="750"/>
      <c r="N16" s="750"/>
      <c r="O16" s="751"/>
      <c r="P16" s="688"/>
      <c r="Q16" s="688"/>
      <c r="R16" s="733" t="s">
        <v>55</v>
      </c>
      <c r="S16" s="790">
        <f>1-S15</f>
        <v>0.4</v>
      </c>
      <c r="T16" s="791"/>
      <c r="U16" s="796"/>
      <c r="V16" s="791"/>
      <c r="W16" s="791"/>
      <c r="X16" s="791"/>
      <c r="Y16" s="791"/>
      <c r="Z16" s="791"/>
      <c r="AA16" s="791"/>
      <c r="AB16" s="791"/>
    </row>
    <row r="17" spans="1:28" s="697" customFormat="1" ht="18" customHeight="1" thickBot="1">
      <c r="A17" s="688"/>
      <c r="B17" s="1090" t="s">
        <v>1028</v>
      </c>
      <c r="C17" s="1091"/>
      <c r="D17" s="1092"/>
      <c r="E17" s="1093">
        <f>メイン!C19</f>
        <v>10000</v>
      </c>
      <c r="F17" s="1094" t="s">
        <v>1021</v>
      </c>
      <c r="G17" s="1095"/>
      <c r="H17" s="743"/>
      <c r="J17" s="2757"/>
      <c r="K17" s="2758"/>
      <c r="L17" s="1096"/>
      <c r="M17" s="1097"/>
      <c r="N17" s="1098"/>
      <c r="O17" s="1099"/>
      <c r="P17" s="688"/>
      <c r="Q17" s="688"/>
      <c r="R17" s="791"/>
      <c r="S17" s="791"/>
      <c r="T17" s="791"/>
      <c r="U17" s="791"/>
      <c r="V17" s="791"/>
      <c r="W17" s="791"/>
      <c r="X17" s="791"/>
      <c r="Y17" s="791"/>
      <c r="Z17" s="791"/>
      <c r="AA17" s="791"/>
      <c r="AB17" s="791"/>
    </row>
    <row r="18" spans="1:28" s="697" customFormat="1" ht="18" hidden="1" customHeight="1">
      <c r="A18" s="688"/>
      <c r="B18" s="743"/>
      <c r="D18" s="1100"/>
      <c r="E18" s="1101"/>
      <c r="F18" s="1101"/>
      <c r="G18" s="1102"/>
      <c r="I18"/>
      <c r="J18" s="2760"/>
      <c r="K18" s="2765"/>
      <c r="L18" s="1103"/>
      <c r="M18" s="1104"/>
      <c r="N18" s="1105"/>
      <c r="O18" s="1106"/>
      <c r="P18" s="688"/>
      <c r="Q18" s="688"/>
      <c r="R18" s="809"/>
      <c r="S18" s="810"/>
      <c r="T18" s="791"/>
      <c r="U18" s="791"/>
      <c r="V18" s="810"/>
      <c r="W18" s="811"/>
      <c r="X18" s="791"/>
      <c r="Y18" s="791"/>
      <c r="Z18" s="791"/>
      <c r="AA18" s="791"/>
      <c r="AB18" s="791"/>
    </row>
    <row r="19" spans="1:28" s="697" customFormat="1" ht="18" hidden="1" customHeight="1">
      <c r="A19" s="688"/>
      <c r="B19" s="1107"/>
      <c r="C19" s="1108"/>
      <c r="D19" s="1109"/>
      <c r="E19" s="1101"/>
      <c r="F19" s="1101"/>
      <c r="G19" s="1102"/>
      <c r="H19"/>
      <c r="I19"/>
      <c r="J19"/>
      <c r="K19" s="1110"/>
      <c r="L19" s="1103"/>
      <c r="M19" s="1104"/>
      <c r="N19" s="1105"/>
      <c r="O19" s="1106"/>
      <c r="P19" s="688"/>
      <c r="Q19" s="688"/>
      <c r="R19" s="809"/>
      <c r="S19" s="810"/>
      <c r="T19" s="791"/>
      <c r="U19" s="791"/>
      <c r="V19" s="810"/>
      <c r="W19" s="811"/>
      <c r="X19" s="791"/>
      <c r="Y19" s="791"/>
      <c r="Z19" s="791"/>
      <c r="AA19" s="791"/>
      <c r="AB19" s="791"/>
    </row>
    <row r="20" spans="1:28" s="697" customFormat="1" ht="18" hidden="1" customHeight="1" thickBot="1">
      <c r="A20" s="688"/>
      <c r="B20" s="1111"/>
      <c r="C20" s="1112"/>
      <c r="D20" s="1113"/>
      <c r="E20" s="1114"/>
      <c r="F20" s="1114"/>
      <c r="G20" s="1115"/>
      <c r="H20"/>
      <c r="I20"/>
      <c r="J20"/>
      <c r="K20" s="1116"/>
      <c r="L20" s="1117"/>
      <c r="M20" s="1118"/>
      <c r="N20" s="1098"/>
      <c r="O20" s="1099"/>
      <c r="P20" s="688"/>
      <c r="Q20" s="688"/>
      <c r="R20" s="809"/>
      <c r="S20" s="810"/>
      <c r="T20" s="791"/>
      <c r="U20" s="791"/>
      <c r="V20" s="810"/>
      <c r="W20" s="811"/>
      <c r="X20" s="791"/>
      <c r="Y20" s="791"/>
      <c r="Z20" s="791"/>
      <c r="AA20" s="791"/>
      <c r="AB20" s="791"/>
    </row>
    <row r="21" spans="1:28" s="697" customFormat="1" ht="8.25" customHeight="1" thickBot="1">
      <c r="A21" s="688"/>
      <c r="B21" s="819"/>
      <c r="C21" s="820"/>
      <c r="D21" s="819"/>
      <c r="E21" s="821"/>
      <c r="F21" s="821"/>
      <c r="G21" s="821"/>
      <c r="H21" s="821"/>
      <c r="I21" s="822"/>
      <c r="J21" s="823"/>
      <c r="K21" s="824"/>
      <c r="L21" s="821"/>
      <c r="M21" s="821"/>
      <c r="N21" s="821"/>
      <c r="O21" s="821"/>
      <c r="P21" s="688"/>
      <c r="Q21" s="688"/>
      <c r="R21" s="809"/>
      <c r="S21" s="810"/>
      <c r="T21" s="791"/>
      <c r="U21" s="791"/>
      <c r="V21" s="810"/>
      <c r="W21" s="811"/>
      <c r="X21" s="791"/>
      <c r="Y21" s="791"/>
      <c r="Z21" s="791"/>
      <c r="AA21" s="791"/>
      <c r="AB21" s="791"/>
    </row>
    <row r="22" spans="1:28" s="697" customFormat="1" ht="19.5" thickBot="1">
      <c r="A22" s="688"/>
      <c r="B22" s="825" t="s">
        <v>1037</v>
      </c>
      <c r="C22" s="826"/>
      <c r="D22" s="827"/>
      <c r="E22" s="828"/>
      <c r="F22" s="828"/>
      <c r="G22" s="828"/>
      <c r="H22" s="716" t="s">
        <v>339</v>
      </c>
      <c r="I22" s="830"/>
      <c r="J22" s="831"/>
      <c r="K22" s="831"/>
      <c r="L22" s="829" t="s">
        <v>340</v>
      </c>
      <c r="M22" s="830"/>
      <c r="N22" s="831"/>
      <c r="O22" s="832"/>
      <c r="P22" s="688"/>
      <c r="Q22" s="688"/>
      <c r="R22" s="733" t="s">
        <v>1038</v>
      </c>
      <c r="S22" s="731" t="s">
        <v>1039</v>
      </c>
      <c r="T22" s="731" t="s">
        <v>1040</v>
      </c>
      <c r="U22" s="731" t="s">
        <v>1041</v>
      </c>
      <c r="AB22" s="791"/>
    </row>
    <row r="23" spans="1:28" s="697" customFormat="1" ht="15" customHeight="1">
      <c r="A23" s="688"/>
      <c r="B23" s="743"/>
      <c r="H23" s="833"/>
      <c r="I23" s="834"/>
      <c r="J23" s="834"/>
      <c r="K23" s="834"/>
      <c r="L23" s="835"/>
      <c r="M23" s="836"/>
      <c r="O23" s="837"/>
      <c r="R23" s="733" t="s">
        <v>1042</v>
      </c>
      <c r="S23" s="746"/>
      <c r="T23" s="838">
        <f>S11</f>
        <v>47.249999999999993</v>
      </c>
      <c r="U23" s="838">
        <v>0</v>
      </c>
      <c r="V23" s="791"/>
      <c r="W23" s="731" t="s">
        <v>1043</v>
      </c>
      <c r="X23" s="731"/>
      <c r="Y23" s="791"/>
      <c r="Z23" s="731" t="s">
        <v>1044</v>
      </c>
      <c r="AA23" s="731"/>
      <c r="AB23" s="791"/>
    </row>
    <row r="24" spans="1:28" s="697" customFormat="1" ht="15" customHeight="1">
      <c r="A24" s="688"/>
      <c r="B24" s="743"/>
      <c r="C24" s="783">
        <f>S13</f>
        <v>1</v>
      </c>
      <c r="H24" s="839"/>
      <c r="I24" s="834"/>
      <c r="J24" s="834"/>
      <c r="K24" s="834"/>
      <c r="L24" s="835"/>
      <c r="M24" s="836"/>
      <c r="N24" s="840"/>
      <c r="O24" s="841"/>
      <c r="R24" s="733" t="s">
        <v>1045</v>
      </c>
      <c r="S24" s="746"/>
      <c r="T24" s="838">
        <f>S10</f>
        <v>50.421875000000007</v>
      </c>
      <c r="U24" s="838">
        <v>0</v>
      </c>
      <c r="V24" s="791"/>
      <c r="W24" s="746">
        <v>50</v>
      </c>
      <c r="X24" s="746">
        <v>50</v>
      </c>
      <c r="Y24" s="791"/>
      <c r="Z24" s="746">
        <v>0</v>
      </c>
      <c r="AA24" s="746">
        <v>100</v>
      </c>
      <c r="AB24" s="791"/>
    </row>
    <row r="25" spans="1:28" s="697" customFormat="1" ht="15" customHeight="1">
      <c r="A25" s="688"/>
      <c r="B25" s="743"/>
      <c r="H25" s="839"/>
      <c r="I25" s="834"/>
      <c r="J25" s="834"/>
      <c r="K25" s="834"/>
      <c r="L25" s="835"/>
      <c r="N25" s="840"/>
      <c r="O25" s="841"/>
      <c r="R25" s="746">
        <v>0</v>
      </c>
      <c r="S25" s="731">
        <f>T23</f>
        <v>47.249999999999993</v>
      </c>
      <c r="T25" s="842">
        <f>T23</f>
        <v>47.249999999999993</v>
      </c>
      <c r="U25" s="842">
        <v>0.1</v>
      </c>
      <c r="V25" s="791"/>
      <c r="W25" s="746">
        <v>0</v>
      </c>
      <c r="X25" s="746">
        <v>100</v>
      </c>
      <c r="Y25" s="791"/>
      <c r="Z25" s="746">
        <v>50</v>
      </c>
      <c r="AA25" s="746">
        <v>50</v>
      </c>
      <c r="AB25" s="791"/>
    </row>
    <row r="26" spans="1:28" s="697" customFormat="1" ht="15" customHeight="1">
      <c r="A26" s="688"/>
      <c r="B26" s="843"/>
      <c r="C26" s="844"/>
      <c r="D26" s="844"/>
      <c r="E26" s="844"/>
      <c r="F26" s="844"/>
      <c r="G26" s="845"/>
      <c r="H26" s="846"/>
      <c r="I26" s="834"/>
      <c r="J26" s="728"/>
      <c r="K26" s="834"/>
      <c r="L26" s="835"/>
      <c r="M26" s="836"/>
      <c r="N26" s="840"/>
      <c r="O26" s="841"/>
      <c r="R26" s="746">
        <v>0</v>
      </c>
      <c r="S26" s="731">
        <v>0</v>
      </c>
      <c r="T26" s="842">
        <f>T24</f>
        <v>50.421875000000007</v>
      </c>
      <c r="U26" s="842">
        <f>T24</f>
        <v>50.421875000000007</v>
      </c>
      <c r="V26" s="791"/>
      <c r="W26" s="791"/>
      <c r="X26" s="791"/>
      <c r="Y26" s="791"/>
      <c r="Z26" s="791"/>
      <c r="AA26" s="791"/>
      <c r="AB26" s="791"/>
    </row>
    <row r="27" spans="1:28" s="697" customFormat="1" ht="15" customHeight="1">
      <c r="A27" s="688"/>
      <c r="B27" s="743"/>
      <c r="H27" s="2103" t="str">
        <f>U35</f>
        <v>標準計算</v>
      </c>
      <c r="I27" s="1816"/>
      <c r="J27" s="1816"/>
      <c r="K27" s="1823"/>
      <c r="L27" s="835"/>
      <c r="N27" s="840"/>
      <c r="O27" s="841"/>
      <c r="V27" s="791"/>
      <c r="W27" s="791"/>
      <c r="X27" s="791"/>
      <c r="Y27" s="791"/>
      <c r="Z27" s="791"/>
      <c r="AA27" s="791"/>
      <c r="AB27" s="791"/>
    </row>
    <row r="28" spans="1:28" s="697" customFormat="1" ht="15" customHeight="1">
      <c r="A28" s="688"/>
      <c r="B28" s="743"/>
      <c r="H28" s="2107"/>
      <c r="I28" s="848"/>
      <c r="J28" s="849"/>
      <c r="K28" s="1817"/>
      <c r="L28" s="835"/>
      <c r="N28" s="840"/>
      <c r="O28" s="841"/>
      <c r="R28" s="851" t="s">
        <v>1046</v>
      </c>
      <c r="S28" s="731" t="s">
        <v>1047</v>
      </c>
      <c r="T28" s="852">
        <v>0</v>
      </c>
      <c r="U28" s="852">
        <f>100/6</f>
        <v>16.666666666666668</v>
      </c>
      <c r="V28" s="853">
        <f>U28*2</f>
        <v>33.333333333333336</v>
      </c>
      <c r="W28" s="852">
        <f>U28*3</f>
        <v>50</v>
      </c>
      <c r="X28" s="852">
        <f>U28*4</f>
        <v>66.666666666666671</v>
      </c>
      <c r="Y28" s="852">
        <f>U28*5</f>
        <v>83.333333333333343</v>
      </c>
      <c r="Z28" s="852">
        <v>100</v>
      </c>
      <c r="AA28" s="791"/>
      <c r="AB28" s="791"/>
    </row>
    <row r="29" spans="1:28" s="697" customFormat="1" ht="15" customHeight="1">
      <c r="A29" s="688"/>
      <c r="B29" s="743"/>
      <c r="H29" s="2107"/>
      <c r="I29" s="848"/>
      <c r="J29" s="849"/>
      <c r="K29" s="850"/>
      <c r="L29" s="835"/>
      <c r="N29" s="840"/>
      <c r="O29" s="841"/>
      <c r="R29" s="851"/>
      <c r="S29" s="731" t="s">
        <v>1048</v>
      </c>
      <c r="T29" s="852">
        <v>100</v>
      </c>
      <c r="U29" s="852">
        <v>100</v>
      </c>
      <c r="V29" s="852">
        <v>100</v>
      </c>
      <c r="W29" s="852">
        <v>100</v>
      </c>
      <c r="X29" s="852">
        <v>100</v>
      </c>
      <c r="Y29" s="852">
        <v>100</v>
      </c>
      <c r="Z29" s="852">
        <v>100</v>
      </c>
      <c r="AA29" s="791"/>
      <c r="AB29" s="791"/>
    </row>
    <row r="30" spans="1:28" s="697" customFormat="1" ht="15" customHeight="1">
      <c r="A30" s="688"/>
      <c r="B30" s="743"/>
      <c r="H30" s="2107"/>
      <c r="I30" s="848"/>
      <c r="J30" s="849"/>
      <c r="K30" s="1814"/>
      <c r="L30" s="854"/>
      <c r="M30" s="855"/>
      <c r="N30" s="856"/>
      <c r="O30" s="857"/>
      <c r="R30" s="851">
        <v>3</v>
      </c>
      <c r="S30" s="731" t="s">
        <v>1049</v>
      </c>
      <c r="T30" s="852">
        <v>50</v>
      </c>
      <c r="U30" s="852">
        <f t="shared" ref="U30:V33" si="0">U$28*$R30</f>
        <v>50</v>
      </c>
      <c r="V30" s="852">
        <f t="shared" si="0"/>
        <v>100</v>
      </c>
      <c r="W30" s="852">
        <v>100</v>
      </c>
      <c r="X30" s="852">
        <v>100</v>
      </c>
      <c r="Y30" s="852">
        <v>100</v>
      </c>
      <c r="Z30" s="852">
        <v>100</v>
      </c>
      <c r="AA30" s="791"/>
      <c r="AB30" s="791"/>
    </row>
    <row r="31" spans="1:28" s="697" customFormat="1" ht="15" customHeight="1">
      <c r="A31" s="688"/>
      <c r="B31" s="743"/>
      <c r="H31" s="2107"/>
      <c r="I31" s="848"/>
      <c r="J31" s="849"/>
      <c r="K31" s="1814"/>
      <c r="L31" s="847"/>
      <c r="M31" s="848"/>
      <c r="N31" s="849"/>
      <c r="O31" s="1815"/>
      <c r="R31" s="851">
        <v>1.5</v>
      </c>
      <c r="S31" s="731" t="s">
        <v>1050</v>
      </c>
      <c r="T31" s="852">
        <v>0</v>
      </c>
      <c r="U31" s="852">
        <f t="shared" si="0"/>
        <v>25</v>
      </c>
      <c r="V31" s="852">
        <f t="shared" si="0"/>
        <v>50</v>
      </c>
      <c r="W31" s="852">
        <f t="shared" ref="W31:X33" si="1">W$28*$R31</f>
        <v>75</v>
      </c>
      <c r="X31" s="852">
        <f t="shared" si="1"/>
        <v>100</v>
      </c>
      <c r="Y31" s="852">
        <v>100</v>
      </c>
      <c r="Z31" s="852">
        <v>100</v>
      </c>
      <c r="AA31" s="791"/>
      <c r="AB31" s="791"/>
    </row>
    <row r="32" spans="1:28" s="697" customFormat="1" ht="15" customHeight="1">
      <c r="A32" s="688"/>
      <c r="B32" s="743"/>
      <c r="H32" s="2107"/>
      <c r="I32" s="848"/>
      <c r="J32" s="849"/>
      <c r="K32" s="850"/>
      <c r="L32" s="835"/>
      <c r="N32" s="840"/>
      <c r="O32" s="841"/>
      <c r="R32" s="851">
        <v>1</v>
      </c>
      <c r="S32" s="731" t="s">
        <v>1051</v>
      </c>
      <c r="T32" s="852">
        <v>0</v>
      </c>
      <c r="U32" s="852">
        <f t="shared" si="0"/>
        <v>16.666666666666668</v>
      </c>
      <c r="V32" s="852">
        <f t="shared" si="0"/>
        <v>33.333333333333336</v>
      </c>
      <c r="W32" s="852">
        <f t="shared" si="1"/>
        <v>50</v>
      </c>
      <c r="X32" s="852">
        <f t="shared" si="1"/>
        <v>66.666666666666671</v>
      </c>
      <c r="Y32" s="852">
        <f>Y$28*$R32</f>
        <v>83.333333333333343</v>
      </c>
      <c r="Z32" s="852">
        <f>Z$28*$R32</f>
        <v>100</v>
      </c>
      <c r="AA32" s="791"/>
      <c r="AB32" s="791"/>
    </row>
    <row r="33" spans="1:30" s="697" customFormat="1" ht="15" customHeight="1">
      <c r="A33" s="688"/>
      <c r="B33" s="743"/>
      <c r="H33" s="2107"/>
      <c r="I33" s="848"/>
      <c r="J33" s="849"/>
      <c r="K33" s="850"/>
      <c r="L33" s="835"/>
      <c r="N33" s="840"/>
      <c r="O33" s="841"/>
      <c r="R33" s="851">
        <v>0.5</v>
      </c>
      <c r="S33" s="731" t="s">
        <v>1052</v>
      </c>
      <c r="T33" s="852">
        <v>0</v>
      </c>
      <c r="U33" s="852">
        <f t="shared" si="0"/>
        <v>8.3333333333333339</v>
      </c>
      <c r="V33" s="852">
        <f t="shared" si="0"/>
        <v>16.666666666666668</v>
      </c>
      <c r="W33" s="852">
        <f t="shared" si="1"/>
        <v>25</v>
      </c>
      <c r="X33" s="852">
        <f t="shared" si="1"/>
        <v>33.333333333333336</v>
      </c>
      <c r="Y33" s="852">
        <f>Y$28*$R33</f>
        <v>41.666666666666671</v>
      </c>
      <c r="Z33" s="852">
        <f>Z$28*$R33</f>
        <v>50</v>
      </c>
      <c r="AA33" s="791"/>
      <c r="AB33" s="791"/>
    </row>
    <row r="34" spans="1:30" s="697" customFormat="1" ht="15" customHeight="1" thickBot="1">
      <c r="A34" s="688"/>
      <c r="B34" s="743"/>
      <c r="H34" s="846"/>
      <c r="I34" s="834"/>
      <c r="J34" s="834"/>
      <c r="K34" s="834"/>
      <c r="L34" s="835"/>
      <c r="M34" s="836"/>
      <c r="N34" s="840"/>
      <c r="O34" s="841"/>
      <c r="AA34" s="791"/>
      <c r="AB34" s="791"/>
    </row>
    <row r="35" spans="1:30" s="697" customFormat="1" ht="15" customHeight="1" thickBot="1">
      <c r="A35" s="807"/>
      <c r="B35" s="743"/>
      <c r="H35" s="846"/>
      <c r="I35" s="834"/>
      <c r="J35" s="834"/>
      <c r="K35" s="834"/>
      <c r="L35" s="2772"/>
      <c r="M35" s="2773"/>
      <c r="N35" s="2773"/>
      <c r="O35" s="2774"/>
      <c r="R35" s="733" t="s">
        <v>980</v>
      </c>
      <c r="S35" s="790">
        <f>IF(T35&lt;=0.3,1,IF(T35&lt;=0.6,0.8,IF(X40&lt;=0.8,0.6,IF(X40&lt;=1,0.4,0.2))))</f>
        <v>0.4</v>
      </c>
      <c r="T35" s="1818">
        <f>IF(U35=W35,X41,X42)</f>
        <v>0.90489220275528981</v>
      </c>
      <c r="U35" s="860" t="str">
        <f>メイン!C43</f>
        <v>標準計算</v>
      </c>
      <c r="V35" s="1822" t="s">
        <v>872</v>
      </c>
      <c r="W35" s="863" t="s">
        <v>529</v>
      </c>
      <c r="X35" s="863" t="s">
        <v>1057</v>
      </c>
      <c r="AA35" s="791"/>
      <c r="AB35" s="791"/>
    </row>
    <row r="36" spans="1:30" s="697" customFormat="1" ht="15" customHeight="1">
      <c r="A36" s="807"/>
      <c r="B36" s="743"/>
      <c r="H36" s="2784" t="str">
        <f>IF(U35=W35,X35,X36)</f>
        <v>このグラフは、LR3中の「地球温暖化への配慮」の内容を、一般的な建物（参照値）と比べたライフサイクルCO2 排出量の目安で示したものです</v>
      </c>
      <c r="I36" s="2785"/>
      <c r="J36" s="2785"/>
      <c r="K36" s="2786"/>
      <c r="L36" s="2772"/>
      <c r="M36" s="2773"/>
      <c r="N36" s="2773"/>
      <c r="O36" s="2774"/>
      <c r="R36" s="733" t="s">
        <v>1027</v>
      </c>
      <c r="S36" s="1819">
        <f>1-S35</f>
        <v>0.6</v>
      </c>
      <c r="T36" s="1818"/>
      <c r="U36" s="863" t="s">
        <v>871</v>
      </c>
      <c r="V36" s="1818" t="str">
        <f>IF(U35=W36,V35,"")</f>
        <v/>
      </c>
      <c r="W36" s="863" t="s">
        <v>531</v>
      </c>
      <c r="X36" s="863" t="s">
        <v>1059</v>
      </c>
      <c r="AA36" s="791"/>
      <c r="AB36" s="791"/>
    </row>
    <row r="37" spans="1:30" s="697" customFormat="1" ht="15" customHeight="1">
      <c r="A37" s="807"/>
      <c r="B37" s="743"/>
      <c r="C37" s="864"/>
      <c r="H37" s="2784"/>
      <c r="I37" s="2785"/>
      <c r="J37" s="2785"/>
      <c r="K37" s="2786"/>
      <c r="L37" s="2772"/>
      <c r="M37" s="2773"/>
      <c r="N37" s="2773"/>
      <c r="O37" s="2774"/>
      <c r="AA37" s="791"/>
      <c r="AB37" s="791"/>
    </row>
    <row r="38" spans="1:30" s="697" customFormat="1" ht="15" customHeight="1" thickBot="1">
      <c r="A38" s="807"/>
      <c r="B38" s="812"/>
      <c r="C38" s="814"/>
      <c r="D38" s="814"/>
      <c r="E38" s="814"/>
      <c r="F38" s="814"/>
      <c r="G38" s="814"/>
      <c r="H38" s="2787"/>
      <c r="I38" s="2788"/>
      <c r="J38" s="2788"/>
      <c r="K38" s="2789"/>
      <c r="L38" s="2775"/>
      <c r="M38" s="2776"/>
      <c r="N38" s="2776"/>
      <c r="O38" s="2777"/>
      <c r="R38" s="858" t="s">
        <v>1053</v>
      </c>
      <c r="S38" s="859" t="s">
        <v>1054</v>
      </c>
      <c r="T38" s="859" t="s">
        <v>1055</v>
      </c>
      <c r="U38" s="859" t="s">
        <v>1056</v>
      </c>
      <c r="V38" s="859" t="s">
        <v>460</v>
      </c>
      <c r="W38" s="859" t="s">
        <v>461</v>
      </c>
      <c r="X38" s="859" t="s">
        <v>442</v>
      </c>
      <c r="Y38" s="730" t="s">
        <v>443</v>
      </c>
      <c r="AC38" s="791"/>
      <c r="AD38" s="791"/>
    </row>
    <row r="39" spans="1:30" s="697" customFormat="1" ht="18" customHeight="1" thickBot="1">
      <c r="A39" s="688"/>
      <c r="B39" s="865" t="s">
        <v>1061</v>
      </c>
      <c r="C39" s="866"/>
      <c r="D39" s="867"/>
      <c r="E39" s="866"/>
      <c r="F39" s="866"/>
      <c r="G39" s="866"/>
      <c r="H39" s="868"/>
      <c r="I39" s="869"/>
      <c r="J39" s="866"/>
      <c r="K39" s="866"/>
      <c r="L39" s="866"/>
      <c r="M39" s="870"/>
      <c r="N39" s="870"/>
      <c r="O39" s="871"/>
      <c r="P39" s="688"/>
      <c r="Q39" s="688"/>
      <c r="R39" s="730" t="s">
        <v>444</v>
      </c>
      <c r="S39" s="861">
        <f>IF($U$35=$W$35,'条件(標準)_前'!D9,'条件(個別)_前'!D9)</f>
        <v>14.004999999999999</v>
      </c>
      <c r="T39" s="861">
        <f>IF($U$35=$W$35,'条件(標準)_前'!D34,'条件(個別)_前'!D34)</f>
        <v>15.990999999999998</v>
      </c>
      <c r="U39" s="861">
        <f>IF($U$35=$W$35,'条件(標準)_前'!D46,'条件(個別)_前'!D46)</f>
        <v>119.9773426229508</v>
      </c>
      <c r="V39" s="861"/>
      <c r="W39" s="861"/>
      <c r="X39" s="862">
        <v>1</v>
      </c>
      <c r="Y39" s="730">
        <f>IF(COUNTIF(S39:W39,Z40)&gt;0,Z40,SUM(S39:W39))</f>
        <v>149.97334262295078</v>
      </c>
      <c r="AC39" s="791"/>
      <c r="AD39" s="791"/>
    </row>
    <row r="40" spans="1:30" s="697" customFormat="1" ht="18.75">
      <c r="A40" s="688"/>
      <c r="B40" s="872" t="s">
        <v>1062</v>
      </c>
      <c r="C40" s="873"/>
      <c r="D40" s="873"/>
      <c r="E40" s="874"/>
      <c r="F40" s="873"/>
      <c r="G40" s="873"/>
      <c r="H40" s="873"/>
      <c r="I40" s="873"/>
      <c r="J40" s="873"/>
      <c r="K40" s="875"/>
      <c r="L40" s="876"/>
      <c r="M40" s="877" t="s">
        <v>56</v>
      </c>
      <c r="N40" s="878">
        <f>スコア表示!T8</f>
        <v>3</v>
      </c>
      <c r="O40" s="879"/>
      <c r="P40" s="688"/>
      <c r="Q40" s="688"/>
      <c r="R40" s="730" t="s">
        <v>981</v>
      </c>
      <c r="S40" s="861">
        <f>IF($U$35=$W$35,'条件(標準)_前'!E9,'条件(個別)_前'!E9)</f>
        <v>11.739099999999999</v>
      </c>
      <c r="T40" s="861">
        <f>IF($U$35=$W$35,'条件(標準)_前'!E34,'条件(個別)_前'!E34)</f>
        <v>15.990999999999998</v>
      </c>
      <c r="U40" s="861">
        <f>IF($U$35=$W$35,'条件(標準)_前'!E46,'条件(個別)_前'!E46)</f>
        <v>107.97960836065572</v>
      </c>
      <c r="V40" s="861"/>
      <c r="W40" s="861"/>
      <c r="X40" s="862">
        <f>IF(Y39=Z40,Z40,Y40/Y39)</f>
        <v>0.90489220275528981</v>
      </c>
      <c r="Y40" s="730">
        <f>IF(COUNTIF(S40:W40,Z41)&gt;0,Z41,SUM(S40:W40))</f>
        <v>135.70970836065572</v>
      </c>
      <c r="Z40" s="697" t="s">
        <v>1058</v>
      </c>
      <c r="AC40" s="791"/>
      <c r="AD40" s="791"/>
    </row>
    <row r="41" spans="1:30" s="697" customFormat="1" ht="15">
      <c r="A41" s="688"/>
      <c r="B41" s="743"/>
      <c r="C41" s="880" t="str">
        <f>スコア表示!B9&amp;" "&amp;スコア表示!D9</f>
        <v>Q1 室内環境</v>
      </c>
      <c r="D41" s="881"/>
      <c r="E41" s="881"/>
      <c r="F41" s="881"/>
      <c r="G41" s="881"/>
      <c r="H41" s="881" t="str">
        <f>"     "&amp;スコア表示!B61&amp;" "&amp;スコア表示!D61</f>
        <v xml:space="preserve">     Q2 サービス性能</v>
      </c>
      <c r="I41" s="881"/>
      <c r="J41" s="807"/>
      <c r="K41" s="807"/>
      <c r="L41" s="882" t="str">
        <f>スコア表示!B109&amp;" "&amp;スコア表示!D109</f>
        <v>Q3 室外環境（敷地内）</v>
      </c>
      <c r="M41" s="882"/>
      <c r="N41" s="807"/>
      <c r="O41" s="883"/>
      <c r="P41" s="688"/>
      <c r="R41" s="730" t="s">
        <v>457</v>
      </c>
      <c r="S41" s="1813"/>
      <c r="T41" s="1813"/>
      <c r="U41" s="1813"/>
      <c r="V41" s="861">
        <f>IF($U$35=$W$35,'条件(標準)_前'!E9+'条件(標準)_前'!E34+'条件(標準)_前'!E47,'条件(個別)_前'!E9+'条件(個別)_前'!E34+'条件(個別)_前'!E47)</f>
        <v>135.70970836065572</v>
      </c>
      <c r="W41" s="861"/>
      <c r="X41" s="862">
        <f>IF(Y39=Z41,Z41,Y41/Y39)</f>
        <v>0.90489220275528981</v>
      </c>
      <c r="Y41" s="730">
        <f>IF(COUNTIF(S41:W41,Z42)&gt;0,Z42,SUM(S41:W41))</f>
        <v>135.70970836065572</v>
      </c>
      <c r="Z41" s="697" t="s">
        <v>1058</v>
      </c>
    </row>
    <row r="42" spans="1:30" s="697" customFormat="1" ht="15" customHeight="1">
      <c r="A42" s="688"/>
      <c r="B42" s="743"/>
      <c r="C42" s="884"/>
      <c r="D42" s="885"/>
      <c r="E42" s="886"/>
      <c r="G42" s="881">
        <f>S45</f>
        <v>3</v>
      </c>
      <c r="I42" s="886"/>
      <c r="K42" s="881">
        <f>V45</f>
        <v>3</v>
      </c>
      <c r="M42" s="887"/>
      <c r="N42" s="886"/>
      <c r="O42" s="888">
        <f>Y45</f>
        <v>3</v>
      </c>
      <c r="P42" s="688"/>
      <c r="Q42" s="688"/>
      <c r="R42" s="730" t="s">
        <v>458</v>
      </c>
      <c r="S42" s="1813"/>
      <c r="T42" s="1813"/>
      <c r="U42" s="1813"/>
      <c r="V42" s="1812"/>
      <c r="W42" s="861">
        <f>IF($U$35=$W$35,'条件(標準)_前'!E9+'条件(標準)_前'!E34+'条件(標準)_前'!E52,'条件(個別)_前'!E9+'条件(個別)_前'!E34+'条件(個別)_前'!E52)</f>
        <v>135.70970836065572</v>
      </c>
      <c r="X42" s="862">
        <f>IF(Y39=Z42,Z42,Y42/Y39)</f>
        <v>0.90489220275528981</v>
      </c>
      <c r="Y42" s="730">
        <f>IF(COUNTIF(S42:W42,Z42)&gt;0,Z42,SUM(S42:W42))</f>
        <v>135.70970836065572</v>
      </c>
      <c r="Z42" s="697" t="s">
        <v>1058</v>
      </c>
    </row>
    <row r="43" spans="1:30" s="697" customFormat="1" ht="15" customHeight="1">
      <c r="A43" s="688"/>
      <c r="B43" s="743"/>
      <c r="G43" s="707"/>
      <c r="H43" s="707"/>
      <c r="I43" s="708"/>
      <c r="J43" s="708"/>
      <c r="K43" s="707"/>
      <c r="L43" s="807"/>
      <c r="M43" s="807"/>
      <c r="N43" s="807"/>
      <c r="O43" s="883"/>
      <c r="P43" s="688"/>
      <c r="Q43" s="688"/>
      <c r="AA43" s="791"/>
      <c r="AB43" s="791"/>
    </row>
    <row r="44" spans="1:30" s="697" customFormat="1" ht="15" customHeight="1">
      <c r="A44" s="688"/>
      <c r="B44" s="743"/>
      <c r="G44" s="707"/>
      <c r="H44" s="707"/>
      <c r="I44" s="708"/>
      <c r="J44" s="708"/>
      <c r="K44" s="707"/>
      <c r="L44" s="807"/>
      <c r="M44" s="807"/>
      <c r="N44" s="807"/>
      <c r="O44" s="883"/>
      <c r="P44" s="688"/>
      <c r="Q44" s="688"/>
      <c r="R44" s="733"/>
      <c r="S44" s="733" t="s">
        <v>1201</v>
      </c>
      <c r="T44" s="733" t="s">
        <v>57</v>
      </c>
      <c r="U44" s="733"/>
      <c r="V44" s="733" t="s">
        <v>1201</v>
      </c>
      <c r="W44" s="733" t="s">
        <v>57</v>
      </c>
      <c r="X44" s="733"/>
      <c r="Y44" s="733" t="s">
        <v>1201</v>
      </c>
      <c r="Z44" s="733" t="s">
        <v>57</v>
      </c>
      <c r="AA44" s="791"/>
      <c r="AB44" s="791"/>
    </row>
    <row r="45" spans="1:30" s="697" customFormat="1" ht="15" customHeight="1">
      <c r="A45" s="688"/>
      <c r="B45" s="743"/>
      <c r="G45" s="707"/>
      <c r="H45" s="707"/>
      <c r="I45" s="708"/>
      <c r="J45" s="708"/>
      <c r="K45" s="707"/>
      <c r="L45" s="807"/>
      <c r="M45" s="807"/>
      <c r="N45" s="807"/>
      <c r="O45" s="883"/>
      <c r="P45" s="688"/>
      <c r="Q45" s="688"/>
      <c r="R45" s="889" t="s">
        <v>1063</v>
      </c>
      <c r="S45" s="890">
        <f>スコア表示!T9</f>
        <v>3</v>
      </c>
      <c r="T45" s="890">
        <f>スコア表示!AN9</f>
        <v>3</v>
      </c>
      <c r="U45" s="731" t="s">
        <v>1064</v>
      </c>
      <c r="V45" s="890">
        <f>スコア表示!T61</f>
        <v>3</v>
      </c>
      <c r="W45" s="890">
        <f>スコア表示!AN61</f>
        <v>3.0562499999999999</v>
      </c>
      <c r="X45" s="889" t="s">
        <v>1065</v>
      </c>
      <c r="Y45" s="890">
        <f>スコア表示!T109</f>
        <v>3</v>
      </c>
      <c r="Z45" s="890">
        <f>スコア表示!AN109</f>
        <v>3</v>
      </c>
      <c r="AA45" s="791"/>
      <c r="AB45" s="791"/>
    </row>
    <row r="46" spans="1:30" s="697" customFormat="1" ht="15" customHeight="1">
      <c r="A46" s="688"/>
      <c r="B46" s="743"/>
      <c r="G46" s="707"/>
      <c r="H46" s="707"/>
      <c r="I46" s="708"/>
      <c r="J46" s="708"/>
      <c r="K46" s="707"/>
      <c r="L46" s="807"/>
      <c r="M46" s="807"/>
      <c r="N46" s="807"/>
      <c r="O46" s="883"/>
      <c r="P46" s="688"/>
      <c r="Q46" s="688"/>
      <c r="AA46" s="791"/>
      <c r="AB46" s="791"/>
    </row>
    <row r="47" spans="1:30" s="697" customFormat="1" ht="15" customHeight="1">
      <c r="A47" s="688"/>
      <c r="B47" s="743"/>
      <c r="G47" s="707"/>
      <c r="H47" s="707"/>
      <c r="I47" s="708"/>
      <c r="J47" s="708"/>
      <c r="K47" s="707"/>
      <c r="L47" s="807"/>
      <c r="M47" s="807"/>
      <c r="N47" s="807"/>
      <c r="O47" s="883"/>
      <c r="P47" s="688"/>
      <c r="Q47" s="688"/>
      <c r="R47" s="733"/>
      <c r="S47" s="733" t="s">
        <v>436</v>
      </c>
      <c r="T47" s="733" t="s">
        <v>445</v>
      </c>
      <c r="U47" s="733"/>
      <c r="V47" s="733" t="s">
        <v>436</v>
      </c>
      <c r="W47" s="733" t="s">
        <v>445</v>
      </c>
      <c r="X47" s="733"/>
      <c r="Y47" s="891" t="s">
        <v>436</v>
      </c>
      <c r="Z47" s="733" t="s">
        <v>445</v>
      </c>
      <c r="AA47" s="791"/>
      <c r="AB47" s="791"/>
    </row>
    <row r="48" spans="1:30" s="697" customFormat="1" ht="15" customHeight="1">
      <c r="A48" s="688"/>
      <c r="B48" s="743"/>
      <c r="G48" s="893"/>
      <c r="H48" s="893"/>
      <c r="I48" s="708"/>
      <c r="J48" s="708"/>
      <c r="K48" s="707"/>
      <c r="L48" s="807"/>
      <c r="M48" s="807"/>
      <c r="N48" s="807"/>
      <c r="O48" s="883"/>
      <c r="P48" s="688"/>
      <c r="Q48" s="688"/>
      <c r="R48" s="892" t="s">
        <v>1066</v>
      </c>
      <c r="S48" s="890">
        <f>スコア表示!T10</f>
        <v>3</v>
      </c>
      <c r="T48" s="733" t="str">
        <f>IF(S48=0,"N.A.","")</f>
        <v/>
      </c>
      <c r="U48" s="731" t="s">
        <v>1067</v>
      </c>
      <c r="V48" s="890">
        <f>スコア表示!T62</f>
        <v>3</v>
      </c>
      <c r="W48" s="733" t="str">
        <f>IF(V48=0,"N.A.","")</f>
        <v/>
      </c>
      <c r="X48" s="892" t="s">
        <v>1068</v>
      </c>
      <c r="Y48" s="890">
        <f>スコア表示!T110</f>
        <v>3</v>
      </c>
      <c r="Z48" s="733" t="str">
        <f>IF(Y48=0,"N.A.","")</f>
        <v/>
      </c>
      <c r="AA48" s="791"/>
      <c r="AB48" s="791"/>
    </row>
    <row r="49" spans="1:28" s="697" customFormat="1" ht="15" customHeight="1">
      <c r="A49" s="807"/>
      <c r="B49" s="743"/>
      <c r="G49" s="893"/>
      <c r="H49" s="893"/>
      <c r="I49" s="708"/>
      <c r="J49" s="708"/>
      <c r="K49" s="707"/>
      <c r="L49" s="807"/>
      <c r="M49" s="807"/>
      <c r="N49" s="807"/>
      <c r="O49" s="883"/>
      <c r="P49" s="807"/>
      <c r="Q49" s="688"/>
      <c r="R49" s="892" t="s">
        <v>1069</v>
      </c>
      <c r="S49" s="890">
        <f>スコア表示!T20</f>
        <v>3</v>
      </c>
      <c r="T49" s="733" t="str">
        <f>IF(S49=0,"N.A.","")</f>
        <v/>
      </c>
      <c r="U49" s="731" t="s">
        <v>1188</v>
      </c>
      <c r="V49" s="890">
        <f>スコア表示!T75</f>
        <v>3.1</v>
      </c>
      <c r="W49" s="733" t="str">
        <f>IF(V49=0,"N.A.","")</f>
        <v/>
      </c>
      <c r="X49" s="892" t="s">
        <v>1189</v>
      </c>
      <c r="Y49" s="890">
        <f>スコア表示!T111</f>
        <v>3</v>
      </c>
      <c r="Z49" s="733" t="str">
        <f>IF(Y49=0,"N.A.","")</f>
        <v/>
      </c>
      <c r="AA49" s="791"/>
      <c r="AB49" s="791"/>
    </row>
    <row r="50" spans="1:28" s="697" customFormat="1" ht="15" customHeight="1">
      <c r="A50" s="807"/>
      <c r="B50" s="743"/>
      <c r="G50" s="894"/>
      <c r="H50" s="895"/>
      <c r="I50" s="896"/>
      <c r="J50" s="896"/>
      <c r="K50" s="897"/>
      <c r="L50" s="898"/>
      <c r="M50" s="898"/>
      <c r="N50" s="898"/>
      <c r="O50" s="899"/>
      <c r="P50" s="807"/>
      <c r="Q50" s="688"/>
      <c r="R50" s="892" t="s">
        <v>1190</v>
      </c>
      <c r="S50" s="890">
        <f>スコア表示!T34</f>
        <v>3</v>
      </c>
      <c r="T50" s="733" t="str">
        <f>IF(S50=0,"N.A.","")</f>
        <v/>
      </c>
      <c r="U50" s="731" t="s">
        <v>1191</v>
      </c>
      <c r="V50" s="890">
        <f>スコア表示!T97</f>
        <v>3</v>
      </c>
      <c r="W50" s="733" t="str">
        <f>IF(V50=0,"N.A.","")</f>
        <v/>
      </c>
      <c r="X50" s="892" t="s">
        <v>1192</v>
      </c>
      <c r="Y50" s="890">
        <f>スコア表示!T112</f>
        <v>3</v>
      </c>
      <c r="Z50" s="733" t="str">
        <f>IF(Y50=0,"N.A.","")</f>
        <v/>
      </c>
      <c r="AA50" s="791"/>
      <c r="AB50" s="791"/>
    </row>
    <row r="51" spans="1:28" s="697" customFormat="1" ht="18" customHeight="1">
      <c r="A51" s="900"/>
      <c r="B51" s="901" t="s">
        <v>1194</v>
      </c>
      <c r="C51" s="902"/>
      <c r="D51" s="903"/>
      <c r="E51" s="902"/>
      <c r="F51" s="902"/>
      <c r="G51" s="902"/>
      <c r="H51" s="873"/>
      <c r="I51" s="873"/>
      <c r="J51" s="873"/>
      <c r="K51" s="875"/>
      <c r="L51" s="876"/>
      <c r="M51" s="877" t="s">
        <v>1195</v>
      </c>
      <c r="N51" s="904">
        <f>スコア表示!T116</f>
        <v>3.1</v>
      </c>
      <c r="O51" s="879"/>
      <c r="P51" s="688"/>
      <c r="Q51" s="688"/>
      <c r="R51" s="892" t="s">
        <v>1193</v>
      </c>
      <c r="S51" s="890">
        <f>スコア表示!T47</f>
        <v>3</v>
      </c>
      <c r="T51" s="733" t="str">
        <f>IF(S51=0,"N.A.","")</f>
        <v/>
      </c>
      <c r="U51" s="791"/>
      <c r="V51" s="791"/>
      <c r="W51" s="791"/>
      <c r="X51" s="791"/>
      <c r="Y51" s="791"/>
      <c r="Z51" s="791"/>
      <c r="AA51" s="791"/>
      <c r="AB51" s="791"/>
    </row>
    <row r="52" spans="1:28" s="697" customFormat="1" ht="15">
      <c r="A52" s="688"/>
      <c r="B52" s="905"/>
      <c r="C52" s="882" t="str">
        <f>スコア表示!B117&amp;" "&amp;スコア表示!D117</f>
        <v>LR1 エネルギー</v>
      </c>
      <c r="D52" s="882"/>
      <c r="E52" s="906"/>
      <c r="F52" s="882"/>
      <c r="G52" s="882"/>
      <c r="H52" s="882" t="str">
        <f>"     "&amp;スコア表示!B140&amp;" "&amp;スコア表示!D140</f>
        <v xml:space="preserve">     LR2 資源・マテリアル</v>
      </c>
      <c r="I52" s="882"/>
      <c r="J52" s="882"/>
      <c r="K52" s="882"/>
      <c r="L52" s="880" t="str">
        <f>スコア表示!B159&amp;" "&amp;スコア表示!D159</f>
        <v>LR3 敷地外環境</v>
      </c>
      <c r="M52" s="882"/>
      <c r="N52" s="882"/>
      <c r="O52" s="907"/>
      <c r="P52" s="688"/>
      <c r="Q52" s="688"/>
      <c r="R52" s="791"/>
      <c r="S52" s="791"/>
      <c r="T52" s="733"/>
      <c r="U52" s="791"/>
      <c r="V52" s="791"/>
      <c r="W52" s="791"/>
      <c r="X52" s="791"/>
      <c r="Y52" s="791"/>
      <c r="Z52" s="791"/>
      <c r="AA52" s="791"/>
      <c r="AB52" s="791"/>
    </row>
    <row r="53" spans="1:28" s="697" customFormat="1" ht="15">
      <c r="A53" s="807"/>
      <c r="B53" s="727"/>
      <c r="C53" s="884"/>
      <c r="D53" s="885"/>
      <c r="E53" s="886"/>
      <c r="G53" s="881">
        <f>S56</f>
        <v>3.2</v>
      </c>
      <c r="I53" s="886"/>
      <c r="K53" s="881">
        <f>V56</f>
        <v>3</v>
      </c>
      <c r="L53" s="886"/>
      <c r="N53" s="908"/>
      <c r="O53" s="888">
        <f>Y56</f>
        <v>3.1</v>
      </c>
      <c r="P53" s="807"/>
      <c r="Q53" s="688"/>
      <c r="R53" s="791"/>
      <c r="S53" s="791"/>
      <c r="T53" s="791"/>
      <c r="U53" s="791"/>
      <c r="V53" s="791"/>
      <c r="W53" s="791"/>
      <c r="X53" s="791"/>
      <c r="Y53" s="791"/>
      <c r="Z53" s="791"/>
      <c r="AA53" s="791"/>
      <c r="AB53" s="791"/>
    </row>
    <row r="54" spans="1:28" s="697" customFormat="1" ht="14.25">
      <c r="A54" s="807"/>
      <c r="B54" s="727"/>
      <c r="C54" s="909"/>
      <c r="D54" s="909"/>
      <c r="E54" s="910"/>
      <c r="F54" s="894"/>
      <c r="G54" s="894"/>
      <c r="H54" s="894"/>
      <c r="I54" s="708"/>
      <c r="J54" s="708"/>
      <c r="K54" s="707"/>
      <c r="L54" s="707"/>
      <c r="M54" s="728"/>
      <c r="N54" s="728"/>
      <c r="O54" s="729"/>
      <c r="P54" s="807"/>
      <c r="Q54" s="688"/>
      <c r="AA54" s="791"/>
      <c r="AB54" s="791"/>
    </row>
    <row r="55" spans="1:28" s="697" customFormat="1" ht="15.75" customHeight="1">
      <c r="A55" s="688"/>
      <c r="B55" s="727"/>
      <c r="C55" s="728"/>
      <c r="D55" s="912"/>
      <c r="E55" s="706"/>
      <c r="F55" s="707"/>
      <c r="G55" s="707"/>
      <c r="H55" s="707"/>
      <c r="I55" s="913"/>
      <c r="J55" s="708"/>
      <c r="K55" s="707"/>
      <c r="L55" s="707"/>
      <c r="M55" s="728"/>
      <c r="N55" s="728"/>
      <c r="O55" s="729"/>
      <c r="P55" s="688"/>
      <c r="Q55" s="688"/>
      <c r="R55" s="733"/>
      <c r="S55" s="733" t="s">
        <v>1196</v>
      </c>
      <c r="T55" s="733" t="s">
        <v>1197</v>
      </c>
      <c r="U55" s="733"/>
      <c r="V55" s="733" t="s">
        <v>1196</v>
      </c>
      <c r="W55" s="733" t="s">
        <v>1197</v>
      </c>
      <c r="X55" s="733"/>
      <c r="Y55" s="733" t="s">
        <v>1196</v>
      </c>
      <c r="Z55" s="733" t="s">
        <v>1197</v>
      </c>
      <c r="AA55" s="791"/>
      <c r="AB55" s="791"/>
    </row>
    <row r="56" spans="1:28" s="697" customFormat="1" ht="15.75" customHeight="1">
      <c r="A56" s="688"/>
      <c r="B56" s="727"/>
      <c r="C56" s="704"/>
      <c r="D56" s="705"/>
      <c r="E56" s="706"/>
      <c r="F56" s="707"/>
      <c r="G56" s="707"/>
      <c r="H56" s="707"/>
      <c r="I56" s="913"/>
      <c r="J56" s="708"/>
      <c r="K56" s="707"/>
      <c r="L56" s="707"/>
      <c r="M56" s="728"/>
      <c r="N56" s="728"/>
      <c r="O56" s="729"/>
      <c r="P56" s="688"/>
      <c r="Q56" s="688"/>
      <c r="R56" s="731" t="s">
        <v>1198</v>
      </c>
      <c r="S56" s="890">
        <f>スコア表示!T117</f>
        <v>3.2</v>
      </c>
      <c r="T56" s="890">
        <f>スコア表示!AN117</f>
        <v>3.2</v>
      </c>
      <c r="U56" s="731" t="s">
        <v>1199</v>
      </c>
      <c r="V56" s="890">
        <f>スコア表示!T140</f>
        <v>3</v>
      </c>
      <c r="W56" s="890">
        <f>スコア表示!AN140</f>
        <v>3.0000000000000004</v>
      </c>
      <c r="X56" s="731" t="s">
        <v>1200</v>
      </c>
      <c r="Y56" s="890">
        <f>スコア表示!T159</f>
        <v>3.1</v>
      </c>
      <c r="Z56" s="890">
        <f>スコア表示!AN159</f>
        <v>3.0999999999999996</v>
      </c>
      <c r="AA56" s="791"/>
      <c r="AB56" s="791"/>
    </row>
    <row r="57" spans="1:28" s="697" customFormat="1" ht="15.75" customHeight="1">
      <c r="A57" s="688"/>
      <c r="B57" s="915"/>
      <c r="C57" s="704"/>
      <c r="D57" s="705"/>
      <c r="E57" s="706"/>
      <c r="F57" s="707"/>
      <c r="G57" s="707"/>
      <c r="H57" s="707"/>
      <c r="I57" s="913"/>
      <c r="J57" s="708"/>
      <c r="K57" s="707"/>
      <c r="L57" s="707"/>
      <c r="M57" s="728"/>
      <c r="N57" s="728"/>
      <c r="O57" s="729"/>
      <c r="P57" s="688"/>
      <c r="Q57" s="688"/>
      <c r="Y57" s="911"/>
      <c r="AA57" s="791"/>
      <c r="AB57" s="791"/>
    </row>
    <row r="58" spans="1:28" s="697" customFormat="1" ht="15.75" customHeight="1">
      <c r="A58" s="688"/>
      <c r="B58" s="915"/>
      <c r="C58" s="704"/>
      <c r="D58" s="705"/>
      <c r="E58" s="706"/>
      <c r="F58" s="707"/>
      <c r="G58" s="707"/>
      <c r="H58" s="707"/>
      <c r="I58" s="913"/>
      <c r="J58" s="708"/>
      <c r="K58" s="707"/>
      <c r="L58" s="707"/>
      <c r="M58" s="728"/>
      <c r="N58" s="728"/>
      <c r="O58" s="729"/>
      <c r="P58" s="688"/>
      <c r="Q58" s="688"/>
      <c r="R58" s="733"/>
      <c r="S58" s="733" t="s">
        <v>1201</v>
      </c>
      <c r="T58" s="733" t="s">
        <v>1202</v>
      </c>
      <c r="U58" s="733"/>
      <c r="V58" s="733" t="s">
        <v>1201</v>
      </c>
      <c r="W58" s="733" t="s">
        <v>1202</v>
      </c>
      <c r="X58" s="733"/>
      <c r="Y58" s="891" t="s">
        <v>1201</v>
      </c>
      <c r="Z58" s="733" t="s">
        <v>1202</v>
      </c>
      <c r="AA58" s="791"/>
      <c r="AB58" s="791"/>
    </row>
    <row r="59" spans="1:28" s="697" customFormat="1" ht="15.75" customHeight="1">
      <c r="A59" s="688"/>
      <c r="B59" s="915"/>
      <c r="C59" s="704"/>
      <c r="D59" s="705"/>
      <c r="E59" s="706"/>
      <c r="F59" s="707"/>
      <c r="G59" s="707"/>
      <c r="H59" s="707"/>
      <c r="I59" s="913"/>
      <c r="J59" s="708"/>
      <c r="K59" s="707"/>
      <c r="L59" s="707"/>
      <c r="M59" s="728"/>
      <c r="N59" s="728"/>
      <c r="O59" s="729"/>
      <c r="P59" s="688"/>
      <c r="Q59" s="688"/>
      <c r="R59" s="731" t="s">
        <v>1203</v>
      </c>
      <c r="S59" s="890">
        <f>スコア表示!T118</f>
        <v>4</v>
      </c>
      <c r="T59" s="733" t="str">
        <f>IF(S59=0,"N.A.","")</f>
        <v/>
      </c>
      <c r="U59" s="914" t="s">
        <v>1204</v>
      </c>
      <c r="V59" s="890">
        <f>スコア表示!T141</f>
        <v>3</v>
      </c>
      <c r="W59" s="733" t="str">
        <f>IF(V59=0,"N.A.","")</f>
        <v/>
      </c>
      <c r="X59" s="731" t="s">
        <v>1205</v>
      </c>
      <c r="Y59" s="890">
        <f>スコア表示!T160</f>
        <v>3.3</v>
      </c>
      <c r="Z59" s="733" t="str">
        <f>IF(Y59=0,"N.A.","")</f>
        <v/>
      </c>
      <c r="AA59" s="791"/>
      <c r="AB59" s="791"/>
    </row>
    <row r="60" spans="1:28" s="697" customFormat="1" ht="15.75" customHeight="1">
      <c r="A60" s="688"/>
      <c r="B60" s="915"/>
      <c r="C60" s="704"/>
      <c r="D60" s="705"/>
      <c r="E60" s="706"/>
      <c r="F60" s="707"/>
      <c r="G60" s="707"/>
      <c r="H60" s="707"/>
      <c r="I60" s="913"/>
      <c r="J60" s="708"/>
      <c r="K60" s="707"/>
      <c r="L60" s="707"/>
      <c r="M60" s="728"/>
      <c r="N60" s="728"/>
      <c r="O60" s="729"/>
      <c r="P60" s="688"/>
      <c r="Q60" s="688"/>
      <c r="R60" s="731" t="s">
        <v>1206</v>
      </c>
      <c r="S60" s="890">
        <f>スコア表示!T119</f>
        <v>3</v>
      </c>
      <c r="T60" s="733" t="str">
        <f>IF(S60=0,"N.A.","")</f>
        <v/>
      </c>
      <c r="U60" s="914" t="s">
        <v>0</v>
      </c>
      <c r="V60" s="890">
        <f>スコア表示!T146</f>
        <v>3</v>
      </c>
      <c r="W60" s="733" t="str">
        <f>IF(V60=0,"N.A.","")</f>
        <v/>
      </c>
      <c r="X60" s="731" t="s">
        <v>1</v>
      </c>
      <c r="Y60" s="890">
        <f>スコア表示!T161</f>
        <v>3</v>
      </c>
      <c r="Z60" s="733" t="str">
        <f>IF(Y60=0,"N.A.","")</f>
        <v/>
      </c>
      <c r="AA60" s="791"/>
      <c r="AB60" s="791"/>
    </row>
    <row r="61" spans="1:28" s="697" customFormat="1" ht="15.75" customHeight="1" thickBot="1">
      <c r="A61" s="688"/>
      <c r="B61" s="919"/>
      <c r="C61" s="920"/>
      <c r="D61" s="921"/>
      <c r="E61" s="920"/>
      <c r="F61" s="922"/>
      <c r="G61" s="922"/>
      <c r="H61" s="922"/>
      <c r="I61" s="923"/>
      <c r="J61" s="815"/>
      <c r="K61" s="815"/>
      <c r="L61" s="815"/>
      <c r="M61" s="924"/>
      <c r="N61" s="924"/>
      <c r="O61" s="925"/>
      <c r="P61" s="688"/>
      <c r="Q61" s="688"/>
      <c r="R61" s="731" t="s">
        <v>2</v>
      </c>
      <c r="S61" s="890">
        <f>スコア表示!T124</f>
        <v>3</v>
      </c>
      <c r="T61" s="733" t="str">
        <f>IF(S61=0,"N.A.","")</f>
        <v/>
      </c>
      <c r="U61" s="916" t="s">
        <v>3</v>
      </c>
      <c r="V61" s="917">
        <f>スコア表示!T153</f>
        <v>3</v>
      </c>
      <c r="W61" s="733" t="str">
        <f>IF(V61=0,"N.A.","")</f>
        <v/>
      </c>
      <c r="X61" s="731" t="s">
        <v>4</v>
      </c>
      <c r="Y61" s="890">
        <f>スコア表示!T169</f>
        <v>3</v>
      </c>
      <c r="Z61" s="733" t="str">
        <f>IF(Y61=0,"N.A.","")</f>
        <v/>
      </c>
      <c r="AA61" s="791"/>
      <c r="AB61" s="791"/>
    </row>
    <row r="62" spans="1:28" s="697" customFormat="1" ht="6" customHeight="1" thickBot="1">
      <c r="A62" s="688"/>
      <c r="B62" s="927"/>
      <c r="C62" s="913"/>
      <c r="D62" s="928"/>
      <c r="E62" s="706"/>
      <c r="F62" s="707"/>
      <c r="G62" s="707"/>
      <c r="H62" s="707"/>
      <c r="I62" s="708"/>
      <c r="J62" s="708"/>
      <c r="K62" s="707"/>
      <c r="L62" s="707"/>
      <c r="M62" s="728"/>
      <c r="N62" s="728"/>
      <c r="O62" s="728"/>
      <c r="P62" s="688"/>
      <c r="Q62" s="807"/>
      <c r="R62" s="731" t="s">
        <v>5</v>
      </c>
      <c r="S62" s="890">
        <f>スコア表示!T133</f>
        <v>3</v>
      </c>
      <c r="T62" s="733" t="str">
        <f>IF(S62=0,"N.A.","")</f>
        <v/>
      </c>
      <c r="U62" s="791"/>
      <c r="V62" s="918"/>
      <c r="W62" s="918"/>
      <c r="X62" s="918"/>
      <c r="Y62" s="918"/>
      <c r="Z62" s="918"/>
      <c r="AA62" s="791"/>
      <c r="AB62" s="791"/>
    </row>
    <row r="63" spans="1:28" s="697" customFormat="1" ht="15.75">
      <c r="A63" s="688"/>
      <c r="B63" s="825" t="s">
        <v>1931</v>
      </c>
      <c r="C63" s="929"/>
      <c r="D63" s="930"/>
      <c r="E63" s="929"/>
      <c r="F63" s="929"/>
      <c r="G63" s="929"/>
      <c r="H63" s="931"/>
      <c r="I63" s="932"/>
      <c r="J63" s="929"/>
      <c r="K63" s="929"/>
      <c r="L63" s="929"/>
      <c r="M63" s="933"/>
      <c r="N63" s="933"/>
      <c r="O63" s="934"/>
      <c r="P63" s="688"/>
      <c r="Q63" s="807"/>
      <c r="R63" s="791"/>
      <c r="S63" s="791"/>
      <c r="T63" s="791"/>
      <c r="U63" s="791"/>
      <c r="V63" s="918"/>
      <c r="W63" s="918"/>
      <c r="X63" s="918"/>
      <c r="Y63" s="918"/>
      <c r="Z63" s="918"/>
      <c r="AA63" s="791"/>
      <c r="AB63" s="791"/>
    </row>
    <row r="64" spans="1:28" s="697" customFormat="1" ht="14.25">
      <c r="A64" s="688"/>
      <c r="B64" s="935" t="s">
        <v>1929</v>
      </c>
      <c r="C64" s="936"/>
      <c r="D64" s="937"/>
      <c r="E64" s="936"/>
      <c r="F64" s="936"/>
      <c r="G64" s="936"/>
      <c r="H64" s="936"/>
      <c r="I64" s="936"/>
      <c r="J64" s="936"/>
      <c r="K64" s="938"/>
      <c r="L64" s="2668" t="s">
        <v>1930</v>
      </c>
      <c r="M64" s="936"/>
      <c r="N64" s="940"/>
      <c r="O64" s="941"/>
      <c r="P64" s="688"/>
      <c r="Q64" s="807"/>
      <c r="R64" s="926"/>
      <c r="S64" s="791"/>
      <c r="T64" s="791"/>
      <c r="U64" s="791"/>
      <c r="V64" s="918"/>
      <c r="W64" s="918"/>
      <c r="X64" s="918"/>
      <c r="Y64" s="918"/>
      <c r="Z64" s="918"/>
      <c r="AA64" s="791"/>
      <c r="AB64" s="791"/>
    </row>
    <row r="65" spans="1:28" s="697" customFormat="1" ht="52.5" customHeight="1">
      <c r="A65" s="688"/>
      <c r="B65" s="2669"/>
      <c r="C65" s="2670"/>
      <c r="D65" s="2670"/>
      <c r="E65" s="2670"/>
      <c r="F65" s="2670"/>
      <c r="G65" s="2670"/>
      <c r="H65" s="2670"/>
      <c r="I65" s="2670"/>
      <c r="J65" s="2670"/>
      <c r="K65" s="2671">
        <f>'スコア（重点項目）（改修前）'!J7</f>
        <v>77</v>
      </c>
      <c r="L65" s="2778"/>
      <c r="M65" s="2779"/>
      <c r="N65" s="2779"/>
      <c r="O65" s="2780"/>
      <c r="P65" s="688"/>
      <c r="Q65" s="807"/>
      <c r="R65" s="791"/>
      <c r="S65" s="791"/>
      <c r="T65" s="791"/>
      <c r="U65" s="791"/>
      <c r="V65" s="918"/>
      <c r="W65" s="918"/>
      <c r="X65" s="918"/>
      <c r="Y65" s="918"/>
      <c r="Z65" s="918"/>
      <c r="AA65" s="791"/>
      <c r="AB65" s="791"/>
    </row>
    <row r="66" spans="1:28" s="697" customFormat="1" ht="14.25">
      <c r="A66" s="688"/>
      <c r="B66" s="2672" t="str">
        <f>"重点事項１：" &amp; 'スコア（重点項目）（改修後）'!C10</f>
        <v>重点事項１：温室効果ガス排出量削減の推進</v>
      </c>
      <c r="C66" s="940"/>
      <c r="D66" s="940"/>
      <c r="E66" s="940"/>
      <c r="F66" s="940"/>
      <c r="G66" s="943"/>
      <c r="H66" s="2673" t="str">
        <f>"重点事項２：" &amp; 'スコア（重点項目）（改修後）'!C19</f>
        <v>重点事項２：安全安心で暮らしやすい社会の実現</v>
      </c>
      <c r="I66" s="940"/>
      <c r="J66" s="940"/>
      <c r="K66" s="943"/>
      <c r="L66" s="2778"/>
      <c r="M66" s="2779"/>
      <c r="N66" s="2779"/>
      <c r="O66" s="2780"/>
      <c r="P66" s="688"/>
      <c r="Q66" s="807"/>
      <c r="R66" s="791"/>
      <c r="S66" s="791"/>
      <c r="T66" s="791"/>
      <c r="U66" s="791"/>
      <c r="V66" s="791"/>
      <c r="W66" s="791"/>
      <c r="X66" s="791"/>
      <c r="Y66" s="791"/>
      <c r="Z66" s="791"/>
      <c r="AA66" s="791"/>
      <c r="AB66" s="791"/>
    </row>
    <row r="67" spans="1:28" s="697" customFormat="1" ht="50.25" customHeight="1">
      <c r="A67" s="688"/>
      <c r="B67" s="2674"/>
      <c r="C67" s="2675"/>
      <c r="D67" s="2675"/>
      <c r="E67" s="2675"/>
      <c r="F67" s="2675"/>
      <c r="G67" s="2682">
        <f>'スコア（重点項目）（改修前）'!H10</f>
        <v>80.3</v>
      </c>
      <c r="H67" s="2676"/>
      <c r="I67" s="2675"/>
      <c r="J67" s="2675"/>
      <c r="K67" s="2684">
        <f>'スコア（重点項目）（改修前）'!H19</f>
        <v>75</v>
      </c>
      <c r="L67" s="2778"/>
      <c r="M67" s="2779"/>
      <c r="N67" s="2779"/>
      <c r="O67" s="2780"/>
      <c r="P67" s="688"/>
      <c r="Q67" s="807"/>
      <c r="R67" s="791"/>
      <c r="S67" s="791"/>
      <c r="T67" s="791"/>
      <c r="U67" s="791"/>
      <c r="V67" s="791"/>
      <c r="W67" s="791"/>
      <c r="X67" s="791"/>
      <c r="Y67" s="791"/>
      <c r="Z67" s="791"/>
      <c r="AA67" s="791"/>
      <c r="AB67" s="791"/>
    </row>
    <row r="68" spans="1:28" s="697" customFormat="1" ht="14.25">
      <c r="A68" s="688"/>
      <c r="B68" s="2678" t="str">
        <f>"重点事項３：" &amp; 'スコア（重点項目）（改修後）'!C25</f>
        <v>重点事項３：県の地域資源の有効活用と保全</v>
      </c>
      <c r="C68" s="952"/>
      <c r="D68" s="937"/>
      <c r="E68" s="937"/>
      <c r="F68" s="937"/>
      <c r="G68" s="953"/>
      <c r="H68" s="2673" t="str">
        <f>"重点事項４：" &amp; 'スコア（重点項目）（改修後）'!C30</f>
        <v>重点事項４：循環型社会の実現</v>
      </c>
      <c r="I68" s="940"/>
      <c r="J68" s="940"/>
      <c r="K68" s="943"/>
      <c r="L68" s="2778"/>
      <c r="M68" s="2779"/>
      <c r="N68" s="2779"/>
      <c r="O68" s="2780"/>
      <c r="P68" s="688"/>
      <c r="Q68" s="807"/>
      <c r="R68" s="791"/>
      <c r="S68" s="791"/>
      <c r="T68" s="791"/>
      <c r="U68" s="791"/>
      <c r="V68" s="791"/>
      <c r="W68" s="791"/>
      <c r="X68" s="791"/>
      <c r="Y68" s="791"/>
      <c r="Z68" s="791"/>
      <c r="AA68" s="791"/>
      <c r="AB68" s="791"/>
    </row>
    <row r="69" spans="1:28" s="697" customFormat="1" ht="61.5" customHeight="1" thickBot="1">
      <c r="A69" s="688"/>
      <c r="B69" s="2663"/>
      <c r="C69" s="2664"/>
      <c r="D69" s="2664"/>
      <c r="E69" s="2664"/>
      <c r="F69" s="2664"/>
      <c r="G69" s="2683">
        <f>'スコア（重点項目）（改修前）'!H25</f>
        <v>75</v>
      </c>
      <c r="H69" s="2677"/>
      <c r="I69" s="2664"/>
      <c r="J69" s="2664"/>
      <c r="K69" s="2685">
        <f>'スコア（重点項目）（改修前）'!H30</f>
        <v>75</v>
      </c>
      <c r="L69" s="2781"/>
      <c r="M69" s="2782"/>
      <c r="N69" s="2782"/>
      <c r="O69" s="2783"/>
      <c r="P69" s="688"/>
      <c r="Q69" s="807"/>
      <c r="R69" s="791"/>
      <c r="S69" s="791"/>
      <c r="T69" s="791"/>
      <c r="U69" s="791"/>
      <c r="V69" s="791"/>
      <c r="W69" s="791"/>
      <c r="X69" s="791"/>
      <c r="Y69" s="791"/>
      <c r="Z69" s="791"/>
      <c r="AA69" s="791"/>
      <c r="AB69" s="791"/>
    </row>
    <row r="70" spans="1:28" s="697" customFormat="1" ht="5.25" customHeight="1">
      <c r="A70" s="688"/>
      <c r="B70" s="688"/>
      <c r="C70" s="688"/>
      <c r="D70" s="688"/>
      <c r="E70" s="688"/>
      <c r="F70" s="688"/>
      <c r="G70" s="688"/>
      <c r="H70" s="688"/>
      <c r="I70" s="688"/>
      <c r="J70" s="688"/>
      <c r="K70" s="688"/>
      <c r="L70" s="688"/>
      <c r="M70" s="688"/>
      <c r="N70" s="688"/>
      <c r="O70" s="688"/>
      <c r="P70" s="688"/>
      <c r="Q70" s="688"/>
      <c r="R70" s="791"/>
      <c r="S70" s="791"/>
      <c r="T70" s="791"/>
      <c r="U70" s="791"/>
      <c r="V70" s="791"/>
      <c r="W70" s="791"/>
      <c r="X70" s="791"/>
      <c r="Y70" s="791"/>
      <c r="Z70" s="791"/>
      <c r="AA70" s="791"/>
      <c r="AB70" s="791"/>
    </row>
    <row r="71" spans="1:28" s="697" customFormat="1" ht="16.5" hidden="1" thickBot="1">
      <c r="A71" s="688"/>
      <c r="B71" s="957" t="s">
        <v>9</v>
      </c>
      <c r="C71" s="958"/>
      <c r="D71" s="959"/>
      <c r="E71" s="958"/>
      <c r="F71" s="958"/>
      <c r="G71" s="958"/>
      <c r="H71" s="958"/>
      <c r="I71" s="958"/>
      <c r="J71" s="960"/>
      <c r="K71" s="961"/>
      <c r="L71" s="961"/>
      <c r="M71" s="961"/>
      <c r="N71" s="962"/>
      <c r="O71" s="963" t="s">
        <v>10</v>
      </c>
      <c r="P71" s="688"/>
      <c r="Q71" s="688"/>
      <c r="R71" s="791"/>
      <c r="S71" s="791"/>
      <c r="T71" s="791"/>
      <c r="U71" s="791"/>
      <c r="V71" s="791"/>
      <c r="W71" s="791"/>
      <c r="X71" s="791"/>
      <c r="Y71" s="791"/>
      <c r="Z71" s="791"/>
      <c r="AA71" s="791"/>
      <c r="AB71" s="791"/>
    </row>
    <row r="72" spans="1:28" s="697" customFormat="1" ht="15.75" hidden="1">
      <c r="A72" s="688"/>
      <c r="B72" s="964" t="s">
        <v>11</v>
      </c>
      <c r="C72" s="965"/>
      <c r="D72" s="966"/>
      <c r="E72" s="965"/>
      <c r="F72" s="965"/>
      <c r="G72" s="965"/>
      <c r="H72" s="965"/>
      <c r="I72" s="965"/>
      <c r="J72" s="967"/>
      <c r="K72" s="968"/>
      <c r="L72" s="969"/>
      <c r="M72" s="969"/>
      <c r="N72" s="967"/>
      <c r="O72" s="970" t="s">
        <v>446</v>
      </c>
      <c r="P72" s="688"/>
      <c r="Q72" s="688"/>
      <c r="R72" s="791"/>
      <c r="S72" s="791"/>
      <c r="T72" s="791"/>
      <c r="U72" s="791"/>
      <c r="V72" s="791"/>
      <c r="W72" s="791"/>
      <c r="X72" s="791"/>
      <c r="Y72" s="791"/>
      <c r="Z72" s="791"/>
      <c r="AA72" s="791"/>
      <c r="AB72" s="791"/>
    </row>
    <row r="73" spans="1:28" s="697" customFormat="1" ht="14.25" hidden="1">
      <c r="A73" s="688"/>
      <c r="B73" s="971"/>
      <c r="C73" s="972"/>
      <c r="D73" s="973"/>
      <c r="E73" s="974" t="s">
        <v>12</v>
      </c>
      <c r="F73" s="975"/>
      <c r="G73" s="975"/>
      <c r="H73" s="974" t="s">
        <v>13</v>
      </c>
      <c r="I73" s="975"/>
      <c r="J73" s="974" t="s">
        <v>14</v>
      </c>
      <c r="K73" s="976"/>
      <c r="L73" s="974" t="s">
        <v>15</v>
      </c>
      <c r="M73" s="975"/>
      <c r="N73" s="975"/>
      <c r="O73" s="977" t="s">
        <v>16</v>
      </c>
      <c r="P73" s="688"/>
      <c r="Q73" s="688"/>
      <c r="R73" s="791"/>
      <c r="S73" s="791"/>
      <c r="T73" s="791"/>
      <c r="U73" s="791"/>
      <c r="V73" s="791"/>
      <c r="W73" s="791"/>
      <c r="X73" s="791"/>
      <c r="Y73" s="791"/>
      <c r="Z73" s="791"/>
      <c r="AA73" s="791"/>
      <c r="AB73" s="791"/>
    </row>
    <row r="74" spans="1:28" s="697" customFormat="1" ht="14.25" hidden="1">
      <c r="A74" s="688"/>
      <c r="B74" s="978"/>
      <c r="C74" s="979" t="s">
        <v>17</v>
      </c>
      <c r="D74" s="980"/>
      <c r="E74" s="981"/>
      <c r="F74" s="982" t="s">
        <v>18</v>
      </c>
      <c r="G74" s="983"/>
      <c r="H74" s="981"/>
      <c r="I74" s="982" t="s">
        <v>19</v>
      </c>
      <c r="J74" s="984"/>
      <c r="K74" s="982" t="s">
        <v>18</v>
      </c>
      <c r="L74" s="985"/>
      <c r="M74" s="986"/>
      <c r="N74" s="987"/>
      <c r="O74" s="988"/>
      <c r="P74" s="688"/>
      <c r="Q74" s="688"/>
      <c r="R74" s="791"/>
      <c r="S74" s="791"/>
      <c r="T74" s="791"/>
      <c r="U74" s="791"/>
      <c r="V74" s="791"/>
      <c r="W74" s="791"/>
      <c r="X74" s="791"/>
      <c r="Y74" s="791"/>
      <c r="Z74" s="791"/>
      <c r="AA74" s="791"/>
      <c r="AB74" s="791"/>
    </row>
    <row r="75" spans="1:28" s="697" customFormat="1" ht="15.75" hidden="1">
      <c r="A75" s="688"/>
      <c r="B75" s="978"/>
      <c r="C75" s="989" t="s">
        <v>20</v>
      </c>
      <c r="D75" s="990"/>
      <c r="E75" s="991"/>
      <c r="F75" s="894" t="s">
        <v>21</v>
      </c>
      <c r="G75" s="894"/>
      <c r="H75" s="991"/>
      <c r="I75" s="894" t="s">
        <v>22</v>
      </c>
      <c r="J75" s="992"/>
      <c r="K75" s="894" t="s">
        <v>21</v>
      </c>
      <c r="L75" s="993"/>
      <c r="N75" s="994"/>
      <c r="O75" s="995"/>
      <c r="P75" s="688"/>
      <c r="Q75" s="688"/>
      <c r="W75" s="791"/>
      <c r="X75" s="791"/>
      <c r="Y75" s="791"/>
      <c r="Z75" s="791"/>
      <c r="AA75" s="791"/>
      <c r="AB75" s="791"/>
    </row>
    <row r="76" spans="1:28" s="697" customFormat="1" ht="14.25" hidden="1">
      <c r="A76" s="996"/>
      <c r="B76" s="997"/>
      <c r="C76" s="998" t="s">
        <v>23</v>
      </c>
      <c r="D76" s="990"/>
      <c r="E76" s="991"/>
      <c r="F76" s="983" t="s">
        <v>24</v>
      </c>
      <c r="G76" s="983"/>
      <c r="H76" s="991"/>
      <c r="I76" s="983" t="s">
        <v>25</v>
      </c>
      <c r="J76" s="992"/>
      <c r="K76" s="983" t="s">
        <v>24</v>
      </c>
      <c r="L76" s="993"/>
      <c r="N76" s="999"/>
      <c r="O76" s="995"/>
      <c r="P76" s="996"/>
      <c r="Q76" s="688"/>
      <c r="W76" s="791"/>
      <c r="X76" s="791"/>
      <c r="Y76" s="791"/>
      <c r="Z76" s="791"/>
      <c r="AA76" s="791"/>
      <c r="AB76" s="791"/>
    </row>
    <row r="77" spans="1:28" s="697" customFormat="1" ht="15.75" hidden="1">
      <c r="A77" s="688"/>
      <c r="B77" s="978"/>
      <c r="C77" s="1000" t="s">
        <v>26</v>
      </c>
      <c r="D77" s="990"/>
      <c r="E77" s="991"/>
      <c r="F77" s="894" t="s">
        <v>21</v>
      </c>
      <c r="G77" s="894"/>
      <c r="H77" s="991"/>
      <c r="I77" s="894" t="s">
        <v>22</v>
      </c>
      <c r="J77" s="992"/>
      <c r="K77" s="894" t="s">
        <v>21</v>
      </c>
      <c r="L77" s="993"/>
      <c r="N77" s="994"/>
      <c r="O77" s="1001"/>
      <c r="P77" s="688"/>
      <c r="Q77" s="688"/>
      <c r="W77" s="791"/>
      <c r="X77" s="791"/>
      <c r="Y77" s="791"/>
      <c r="Z77" s="791"/>
      <c r="AA77" s="791"/>
      <c r="AB77" s="791"/>
    </row>
    <row r="78" spans="1:28" s="697" customFormat="1" ht="14.25" hidden="1">
      <c r="A78" s="688"/>
      <c r="B78" s="978"/>
      <c r="C78" s="1000" t="s">
        <v>27</v>
      </c>
      <c r="D78" s="990"/>
      <c r="E78" s="991"/>
      <c r="F78" s="515" t="s">
        <v>28</v>
      </c>
      <c r="G78" s="894"/>
      <c r="H78" s="991"/>
      <c r="I78" s="515" t="s">
        <v>29</v>
      </c>
      <c r="J78" s="992"/>
      <c r="K78" s="515" t="s">
        <v>28</v>
      </c>
      <c r="L78" s="993"/>
      <c r="N78" s="994"/>
      <c r="O78" s="729"/>
      <c r="P78" s="688"/>
      <c r="Q78" s="688"/>
      <c r="W78" s="791"/>
      <c r="X78" s="791"/>
      <c r="Y78" s="791"/>
      <c r="Z78" s="791"/>
      <c r="AA78" s="791"/>
      <c r="AB78" s="791"/>
    </row>
    <row r="79" spans="1:28" s="697" customFormat="1" ht="14.25" hidden="1">
      <c r="A79" s="688"/>
      <c r="B79" s="978"/>
      <c r="C79" s="1000" t="s">
        <v>30</v>
      </c>
      <c r="D79" s="990"/>
      <c r="E79" s="991"/>
      <c r="F79" s="515" t="s">
        <v>28</v>
      </c>
      <c r="G79" s="894"/>
      <c r="H79" s="991"/>
      <c r="I79" s="515" t="s">
        <v>29</v>
      </c>
      <c r="J79" s="992"/>
      <c r="K79" s="515" t="s">
        <v>28</v>
      </c>
      <c r="L79" s="993"/>
      <c r="N79" s="994"/>
      <c r="O79" s="995"/>
      <c r="P79" s="688"/>
      <c r="Q79" s="688"/>
      <c r="W79" s="791"/>
      <c r="X79" s="791"/>
      <c r="Y79" s="791"/>
      <c r="Z79" s="791"/>
      <c r="AA79" s="791"/>
      <c r="AB79" s="791"/>
    </row>
    <row r="80" spans="1:28" s="697" customFormat="1" ht="15" hidden="1" thickBot="1">
      <c r="A80" s="688"/>
      <c r="B80" s="1002"/>
      <c r="C80" s="1003"/>
      <c r="D80" s="1004"/>
      <c r="E80" s="1005"/>
      <c r="F80" s="1006"/>
      <c r="G80" s="920"/>
      <c r="H80" s="1005"/>
      <c r="I80" s="1006"/>
      <c r="J80" s="1007"/>
      <c r="K80" s="1006"/>
      <c r="L80" s="993"/>
      <c r="N80" s="1008"/>
      <c r="O80" s="1009"/>
      <c r="P80" s="688"/>
      <c r="Q80" s="688"/>
      <c r="W80" s="791"/>
      <c r="X80" s="791"/>
      <c r="Y80" s="791"/>
      <c r="Z80" s="791"/>
      <c r="AA80" s="791"/>
      <c r="AB80" s="791"/>
    </row>
    <row r="81" spans="1:42" s="697" customFormat="1" ht="16.5" hidden="1" thickBot="1">
      <c r="A81" s="688"/>
      <c r="B81" s="228" t="s">
        <v>31</v>
      </c>
      <c r="C81" s="1010"/>
      <c r="D81" s="1011"/>
      <c r="E81" s="1012"/>
      <c r="F81" s="1013"/>
      <c r="G81" s="1013"/>
      <c r="H81" s="1013"/>
      <c r="I81" s="1013"/>
      <c r="J81" s="1013"/>
      <c r="K81" s="1013"/>
      <c r="L81" s="1013"/>
      <c r="M81" s="1013"/>
      <c r="N81" s="1013"/>
      <c r="O81" s="1014"/>
      <c r="P81" s="688"/>
      <c r="Q81" s="688"/>
      <c r="W81" s="791"/>
      <c r="X81" s="791"/>
      <c r="Y81" s="791"/>
      <c r="Z81" s="791"/>
      <c r="AA81" s="791"/>
      <c r="AB81" s="791"/>
    </row>
    <row r="82" spans="1:42" s="697" customFormat="1" ht="15.75" hidden="1">
      <c r="A82" s="688"/>
      <c r="B82" s="1015" t="s">
        <v>32</v>
      </c>
      <c r="C82" s="1016"/>
      <c r="D82" s="1017"/>
      <c r="E82" s="1018"/>
      <c r="F82" s="1019"/>
      <c r="G82" s="1019"/>
      <c r="H82" s="1019"/>
      <c r="I82" s="1017"/>
      <c r="J82" s="1020" t="s">
        <v>33</v>
      </c>
      <c r="K82" s="1021"/>
      <c r="L82" s="1022"/>
      <c r="M82" s="1016"/>
      <c r="N82" s="1016"/>
      <c r="O82" s="1023"/>
      <c r="P82" s="688"/>
      <c r="Q82" s="688"/>
      <c r="W82" s="791"/>
      <c r="X82" s="791"/>
      <c r="Y82" s="791"/>
      <c r="Z82" s="791"/>
      <c r="AA82" s="791"/>
      <c r="AB82" s="791"/>
    </row>
    <row r="83" spans="1:42" s="697" customFormat="1" ht="15" hidden="1">
      <c r="A83" s="688"/>
      <c r="B83" s="1024"/>
      <c r="C83" s="1025" t="s">
        <v>34</v>
      </c>
      <c r="D83" s="1026"/>
      <c r="E83" s="1026"/>
      <c r="F83" s="1026"/>
      <c r="G83" s="1026"/>
      <c r="H83" s="1026"/>
      <c r="I83" s="1026"/>
      <c r="J83" s="1027" t="s">
        <v>35</v>
      </c>
      <c r="L83" s="1028"/>
      <c r="M83" s="834"/>
      <c r="N83" s="834"/>
      <c r="O83" s="1029"/>
      <c r="P83" s="688"/>
      <c r="Q83" s="688"/>
      <c r="W83" s="791"/>
      <c r="X83" s="791"/>
      <c r="Y83" s="791"/>
      <c r="Z83" s="791"/>
      <c r="AA83" s="791"/>
      <c r="AB83" s="791"/>
    </row>
    <row r="84" spans="1:42" s="697" customFormat="1" ht="15" hidden="1">
      <c r="A84" s="688"/>
      <c r="B84" s="1024"/>
      <c r="C84" s="1025"/>
      <c r="D84" s="1026"/>
      <c r="E84" s="1026"/>
      <c r="F84" s="1026"/>
      <c r="G84" s="1026"/>
      <c r="H84" s="1026"/>
      <c r="I84" s="1026"/>
      <c r="J84" s="1027"/>
      <c r="L84" s="1028"/>
      <c r="M84" s="834"/>
      <c r="N84" s="834"/>
      <c r="O84" s="1029"/>
      <c r="P84" s="688"/>
      <c r="Q84" s="688"/>
      <c r="W84" s="791"/>
      <c r="X84" s="791"/>
      <c r="Y84" s="791"/>
      <c r="Z84" s="791"/>
      <c r="AA84" s="791"/>
      <c r="AB84" s="791"/>
    </row>
    <row r="85" spans="1:42" s="697" customFormat="1" ht="15" hidden="1" thickBot="1">
      <c r="A85" s="688"/>
      <c r="B85" s="1030"/>
      <c r="C85" s="1031"/>
      <c r="D85" s="1032"/>
      <c r="E85" s="1032"/>
      <c r="F85" s="1032"/>
      <c r="G85" s="1032"/>
      <c r="H85" s="1032"/>
      <c r="I85" s="1032"/>
      <c r="J85" s="1033"/>
      <c r="K85" s="814"/>
      <c r="L85" s="1034"/>
      <c r="M85" s="1034"/>
      <c r="N85" s="1034"/>
      <c r="O85" s="1035"/>
      <c r="P85" s="688"/>
      <c r="Q85" s="688"/>
      <c r="W85" s="696"/>
      <c r="X85" s="696"/>
      <c r="Y85" s="696"/>
      <c r="Z85" s="696"/>
      <c r="AA85" s="696"/>
      <c r="AB85" s="696"/>
    </row>
    <row r="86" spans="1:42" ht="14.25" hidden="1">
      <c r="B86" s="894"/>
      <c r="C86" s="894"/>
      <c r="D86" s="909"/>
      <c r="E86" s="894"/>
      <c r="F86" s="707"/>
      <c r="G86" s="707"/>
      <c r="H86" s="707"/>
      <c r="I86" s="708"/>
      <c r="J86" s="708"/>
      <c r="K86" s="707"/>
      <c r="L86" s="707"/>
      <c r="M86" s="728"/>
      <c r="N86" s="728"/>
      <c r="O86" s="728"/>
      <c r="S86" s="697"/>
      <c r="W86" s="696"/>
      <c r="X86" s="696"/>
      <c r="Y86" s="696"/>
      <c r="Z86" s="696"/>
      <c r="AA86" s="696"/>
      <c r="AB86" s="696"/>
      <c r="AC86" s="697"/>
      <c r="AD86" s="697"/>
      <c r="AE86" s="697"/>
      <c r="AF86" s="697"/>
      <c r="AG86" s="697"/>
      <c r="AH86" s="697"/>
      <c r="AI86" s="697"/>
      <c r="AJ86" s="697"/>
      <c r="AK86" s="697"/>
      <c r="AL86" s="697"/>
      <c r="AM86" s="697"/>
      <c r="AN86" s="697"/>
      <c r="AO86" s="697"/>
      <c r="AP86" s="697"/>
    </row>
    <row r="87" spans="1:42" ht="14.25" hidden="1">
      <c r="B87" s="1038"/>
      <c r="C87" s="1039"/>
      <c r="D87" s="1040"/>
      <c r="E87" s="1041"/>
      <c r="F87" s="1041"/>
      <c r="G87" s="1041"/>
      <c r="H87" s="1041"/>
      <c r="I87" s="806"/>
      <c r="J87" s="1042"/>
      <c r="K87" s="806"/>
      <c r="L87" s="1043"/>
      <c r="M87" s="806"/>
      <c r="N87" s="1044"/>
      <c r="O87" s="1045"/>
      <c r="R87" s="696"/>
      <c r="S87" s="696"/>
      <c r="T87" s="696"/>
      <c r="U87" s="696"/>
      <c r="V87" s="696"/>
      <c r="W87" s="696"/>
      <c r="X87" s="696"/>
      <c r="Y87" s="696"/>
      <c r="Z87" s="696"/>
      <c r="AA87" s="696"/>
      <c r="AB87" s="696"/>
      <c r="AC87" s="697"/>
      <c r="AD87" s="697"/>
      <c r="AE87" s="697"/>
      <c r="AF87" s="697"/>
      <c r="AG87" s="697"/>
      <c r="AH87" s="697"/>
      <c r="AI87" s="697"/>
      <c r="AJ87" s="697"/>
      <c r="AK87" s="697"/>
      <c r="AL87" s="697"/>
      <c r="AM87" s="697"/>
      <c r="AN87" s="697"/>
      <c r="AO87" s="697"/>
      <c r="AP87" s="697"/>
    </row>
    <row r="88" spans="1:42" ht="14.25" hidden="1">
      <c r="B88" s="1046"/>
      <c r="C88" s="1047" t="s">
        <v>36</v>
      </c>
      <c r="D88" s="1048" t="s">
        <v>37</v>
      </c>
      <c r="E88" s="1049" t="s">
        <v>38</v>
      </c>
      <c r="G88" s="697"/>
      <c r="H88" s="1049" t="s">
        <v>39</v>
      </c>
      <c r="J88" s="1052" t="s">
        <v>40</v>
      </c>
      <c r="L88" s="1052" t="s">
        <v>41</v>
      </c>
      <c r="N88" s="1054" t="s">
        <v>42</v>
      </c>
      <c r="O88" s="1055"/>
      <c r="R88" s="696"/>
      <c r="S88" s="696"/>
      <c r="T88" s="696"/>
      <c r="U88" s="696"/>
      <c r="V88" s="696"/>
      <c r="W88" s="696"/>
      <c r="X88" s="696"/>
      <c r="Y88" s="696"/>
      <c r="Z88" s="696"/>
      <c r="AA88" s="696"/>
      <c r="AB88" s="696"/>
      <c r="AC88" s="697"/>
      <c r="AD88" s="697"/>
      <c r="AE88" s="697"/>
      <c r="AF88" s="697"/>
      <c r="AG88" s="697"/>
      <c r="AH88" s="697"/>
      <c r="AI88" s="697"/>
      <c r="AJ88" s="697"/>
      <c r="AK88" s="697"/>
      <c r="AL88" s="697"/>
      <c r="AM88" s="697"/>
      <c r="AN88" s="697"/>
      <c r="AO88" s="697"/>
      <c r="AP88" s="697"/>
    </row>
    <row r="89" spans="1:42" ht="14.25" hidden="1">
      <c r="A89" s="807"/>
      <c r="B89" s="1046"/>
      <c r="C89" s="1047" t="s">
        <v>43</v>
      </c>
      <c r="D89" s="1056" t="s">
        <v>44</v>
      </c>
      <c r="E89" s="1057"/>
      <c r="F89" s="1058"/>
      <c r="G89" s="1058"/>
      <c r="H89" s="1058"/>
      <c r="I89" s="1059"/>
      <c r="J89" s="1059"/>
      <c r="K89" s="1060"/>
      <c r="L89" s="1060"/>
      <c r="M89" s="728"/>
      <c r="N89" s="728"/>
      <c r="O89" s="1061"/>
      <c r="P89" s="807"/>
      <c r="Q89" s="807"/>
    </row>
    <row r="90" spans="1:42" ht="14.25" hidden="1">
      <c r="B90" s="1062"/>
      <c r="C90" s="1047" t="s">
        <v>45</v>
      </c>
      <c r="D90" s="1063" t="s">
        <v>46</v>
      </c>
      <c r="E90" s="1064"/>
      <c r="G90" s="1065"/>
      <c r="O90" s="1061"/>
    </row>
    <row r="91" spans="1:42" ht="14.25" hidden="1">
      <c r="B91" s="1062"/>
      <c r="C91" s="1047"/>
      <c r="D91" s="1063" t="s">
        <v>47</v>
      </c>
      <c r="E91" s="1064"/>
      <c r="G91" s="1065"/>
      <c r="O91" s="1061"/>
    </row>
    <row r="92" spans="1:42" ht="14.25" hidden="1">
      <c r="B92" s="1066"/>
      <c r="C92" s="1067" t="s">
        <v>48</v>
      </c>
      <c r="D92" s="1068" t="s">
        <v>447</v>
      </c>
      <c r="E92" s="1069"/>
      <c r="F92" s="1070"/>
      <c r="G92" s="1071"/>
      <c r="H92" s="1070"/>
      <c r="I92" s="1072"/>
      <c r="J92" s="1072"/>
      <c r="K92" s="1070"/>
      <c r="L92" s="1070"/>
      <c r="M92" s="1073"/>
      <c r="N92" s="1073"/>
      <c r="O92" s="1074"/>
    </row>
    <row r="93" spans="1:42" ht="14.25">
      <c r="G93" s="1065"/>
      <c r="O93" s="728"/>
    </row>
    <row r="94" spans="1:42" ht="14.25">
      <c r="G94" s="1065"/>
      <c r="L94" s="1065"/>
      <c r="M94" s="728"/>
      <c r="O94" s="728"/>
    </row>
    <row r="95" spans="1:42" ht="14.25">
      <c r="E95" s="1053"/>
      <c r="F95" s="1076"/>
      <c r="G95" s="1065"/>
      <c r="H95" s="1065"/>
      <c r="I95" s="1060"/>
      <c r="L95" s="1065"/>
      <c r="M95" s="728"/>
      <c r="O95" s="728"/>
    </row>
    <row r="96" spans="1:42" ht="14.25">
      <c r="C96" s="1077"/>
      <c r="D96" s="912"/>
      <c r="E96" s="1053"/>
      <c r="F96" s="1076"/>
      <c r="G96" s="1065"/>
      <c r="H96" s="1065"/>
      <c r="I96" s="1060"/>
      <c r="J96" s="1060"/>
      <c r="K96" s="1065"/>
      <c r="L96" s="1065"/>
      <c r="M96" s="728"/>
      <c r="O96" s="728"/>
    </row>
    <row r="97" spans="2:15" ht="14.25">
      <c r="B97" s="1078"/>
      <c r="C97" s="1079"/>
      <c r="D97" s="1080"/>
      <c r="E97" s="1053"/>
      <c r="F97" s="1076"/>
      <c r="G97" s="1058"/>
      <c r="H97" s="1058"/>
      <c r="I97" s="1059"/>
      <c r="J97" s="1059"/>
      <c r="K97" s="1060"/>
      <c r="L97" s="1060"/>
      <c r="M97" s="728"/>
      <c r="O97" s="728"/>
    </row>
    <row r="98" spans="2:15" ht="14.25" hidden="1">
      <c r="B98" s="1078"/>
      <c r="C98" s="1078"/>
      <c r="D98" s="1081"/>
      <c r="G98" s="1058"/>
      <c r="H98" s="1058"/>
      <c r="I98" s="1059"/>
      <c r="J98" s="1059"/>
      <c r="K98" s="1060"/>
      <c r="L98" s="1060"/>
      <c r="M98" s="728"/>
      <c r="N98" s="728"/>
      <c r="O98" s="728"/>
    </row>
    <row r="99" spans="2:15" ht="14.25" hidden="1">
      <c r="E99" s="706"/>
      <c r="F99" s="707"/>
      <c r="G99" s="707"/>
      <c r="H99" s="707"/>
      <c r="I99" s="708"/>
      <c r="J99" s="708"/>
      <c r="K99" s="707"/>
      <c r="L99" s="707"/>
      <c r="M99" s="728"/>
      <c r="N99" s="728"/>
      <c r="O99" s="728"/>
    </row>
    <row r="100" spans="2:15" ht="14.25" hidden="1">
      <c r="E100" s="706"/>
      <c r="F100" s="707"/>
      <c r="G100" s="707"/>
      <c r="H100" s="707"/>
      <c r="I100" s="708"/>
      <c r="J100" s="708"/>
      <c r="K100" s="707"/>
      <c r="L100" s="707"/>
      <c r="M100" s="728"/>
      <c r="N100" s="728"/>
      <c r="O100" s="728"/>
    </row>
    <row r="101" spans="2:15" ht="14.25" hidden="1">
      <c r="E101" s="706"/>
      <c r="F101" s="707"/>
      <c r="G101" s="707"/>
      <c r="H101" s="707"/>
      <c r="I101" s="708"/>
      <c r="J101" s="708"/>
      <c r="K101" s="707"/>
      <c r="L101" s="707"/>
      <c r="M101" s="728"/>
      <c r="N101" s="728"/>
      <c r="O101" s="728"/>
    </row>
    <row r="102" spans="2:15" ht="14.25" hidden="1">
      <c r="E102" s="706"/>
      <c r="F102" s="707"/>
      <c r="G102" s="707"/>
      <c r="H102" s="707"/>
      <c r="I102" s="708"/>
      <c r="J102" s="708"/>
      <c r="K102" s="707"/>
      <c r="L102" s="707"/>
      <c r="M102" s="728"/>
      <c r="N102" s="728"/>
      <c r="O102" s="728"/>
    </row>
    <row r="103" spans="2:15" ht="14.25" hidden="1">
      <c r="E103" s="706"/>
      <c r="F103" s="707"/>
      <c r="G103" s="707"/>
      <c r="H103" s="707"/>
      <c r="I103" s="708"/>
      <c r="J103" s="708"/>
      <c r="K103" s="707"/>
      <c r="L103" s="707"/>
      <c r="M103" s="728"/>
      <c r="N103" s="728"/>
      <c r="O103" s="728"/>
    </row>
    <row r="104" spans="2:15" ht="14.25" hidden="1">
      <c r="E104" s="706"/>
      <c r="F104" s="707"/>
      <c r="G104" s="707"/>
      <c r="H104" s="707"/>
      <c r="I104" s="708"/>
      <c r="J104" s="708"/>
      <c r="K104" s="707"/>
      <c r="L104" s="707"/>
      <c r="M104" s="728"/>
      <c r="N104" s="728"/>
      <c r="O104" s="728"/>
    </row>
    <row r="105" spans="2:15" ht="14.25" hidden="1">
      <c r="E105" s="706"/>
      <c r="F105" s="707"/>
      <c r="G105" s="707"/>
      <c r="H105" s="707"/>
      <c r="I105" s="708"/>
      <c r="J105" s="708"/>
      <c r="K105" s="707"/>
      <c r="L105" s="707"/>
      <c r="M105" s="728"/>
      <c r="N105" s="728"/>
      <c r="O105" s="728"/>
    </row>
    <row r="106" spans="2:15" ht="14.25" hidden="1">
      <c r="E106" s="706"/>
      <c r="F106" s="707"/>
      <c r="G106" s="707"/>
      <c r="H106" s="707"/>
      <c r="I106" s="708"/>
      <c r="J106" s="708"/>
      <c r="K106" s="707"/>
      <c r="L106" s="707"/>
      <c r="M106" s="728"/>
      <c r="N106" s="728"/>
      <c r="O106" s="728"/>
    </row>
    <row r="107" spans="2:15" ht="14.25" hidden="1">
      <c r="E107" s="706"/>
      <c r="F107" s="707"/>
      <c r="G107" s="707"/>
      <c r="H107" s="707"/>
      <c r="I107" s="708"/>
      <c r="J107" s="708"/>
      <c r="K107" s="707"/>
      <c r="L107" s="707"/>
      <c r="M107" s="728"/>
      <c r="N107" s="728"/>
      <c r="O107" s="728"/>
    </row>
    <row r="108" spans="2:15" ht="14.25" hidden="1">
      <c r="E108" s="706"/>
      <c r="F108" s="707"/>
      <c r="G108" s="707"/>
      <c r="H108" s="707"/>
      <c r="I108" s="708"/>
      <c r="J108" s="708"/>
      <c r="K108" s="707"/>
      <c r="L108" s="707"/>
      <c r="M108" s="728"/>
      <c r="N108" s="728"/>
      <c r="O108" s="728"/>
    </row>
    <row r="109" spans="2:15" ht="14.25" hidden="1">
      <c r="E109" s="706"/>
      <c r="F109" s="707"/>
      <c r="G109" s="707"/>
      <c r="H109" s="707"/>
      <c r="I109" s="708"/>
      <c r="J109" s="708"/>
      <c r="K109" s="707"/>
      <c r="L109" s="707"/>
      <c r="M109" s="728"/>
      <c r="N109" s="728"/>
      <c r="O109" s="728"/>
    </row>
    <row r="110" spans="2:15" ht="14.25" hidden="1">
      <c r="E110" s="706"/>
      <c r="F110" s="707"/>
      <c r="G110" s="707"/>
      <c r="H110" s="707"/>
      <c r="I110" s="708"/>
      <c r="J110" s="708"/>
      <c r="K110" s="707"/>
      <c r="L110" s="707"/>
      <c r="M110" s="728"/>
      <c r="N110" s="728"/>
      <c r="O110" s="728"/>
    </row>
    <row r="111" spans="2:15" ht="14.25" hidden="1">
      <c r="E111" s="706"/>
      <c r="F111" s="707"/>
      <c r="G111" s="707"/>
      <c r="H111" s="707"/>
      <c r="I111" s="708"/>
      <c r="J111" s="708"/>
      <c r="K111" s="707"/>
      <c r="L111" s="707"/>
      <c r="M111" s="728"/>
      <c r="N111" s="728"/>
      <c r="O111" s="728"/>
    </row>
    <row r="112" spans="2:15" ht="14.25" hidden="1">
      <c r="E112" s="706"/>
      <c r="F112" s="707"/>
      <c r="G112" s="707"/>
      <c r="H112" s="707"/>
      <c r="I112" s="708"/>
      <c r="J112" s="708"/>
      <c r="K112" s="707"/>
      <c r="L112" s="707"/>
      <c r="M112" s="728"/>
      <c r="N112" s="728"/>
      <c r="O112" s="728"/>
    </row>
    <row r="113" spans="5:15" ht="14.25" hidden="1">
      <c r="E113" s="706"/>
      <c r="F113" s="707"/>
      <c r="G113" s="707"/>
      <c r="H113" s="707"/>
      <c r="I113" s="708"/>
      <c r="J113" s="708"/>
      <c r="K113" s="707"/>
      <c r="L113" s="707"/>
      <c r="M113" s="728"/>
      <c r="N113" s="728"/>
      <c r="O113" s="728"/>
    </row>
    <row r="114" spans="5:15" ht="14.25" hidden="1">
      <c r="E114" s="706"/>
      <c r="F114" s="707"/>
      <c r="G114" s="707"/>
      <c r="H114" s="707"/>
      <c r="I114" s="708"/>
      <c r="J114" s="708"/>
      <c r="K114" s="707"/>
      <c r="L114" s="707"/>
      <c r="M114" s="728"/>
      <c r="N114" s="728"/>
      <c r="O114" s="728"/>
    </row>
    <row r="115" spans="5:15" ht="14.25" hidden="1">
      <c r="E115" s="706"/>
      <c r="F115" s="707"/>
      <c r="G115" s="707"/>
      <c r="H115" s="707"/>
      <c r="I115" s="708"/>
      <c r="J115" s="708"/>
      <c r="K115" s="707"/>
      <c r="L115" s="707"/>
      <c r="M115" s="728"/>
      <c r="N115" s="728"/>
      <c r="O115" s="728"/>
    </row>
    <row r="116" spans="5:15" ht="14.25" hidden="1">
      <c r="E116" s="706"/>
      <c r="F116" s="707"/>
      <c r="G116" s="707"/>
      <c r="H116" s="707"/>
      <c r="I116" s="708"/>
      <c r="J116" s="708"/>
      <c r="K116" s="707"/>
      <c r="L116" s="707"/>
      <c r="M116" s="728"/>
      <c r="N116" s="728"/>
      <c r="O116" s="728"/>
    </row>
    <row r="117" spans="5:15" ht="14.25" hidden="1">
      <c r="E117" s="706"/>
      <c r="F117" s="707"/>
      <c r="G117" s="707"/>
      <c r="H117" s="707"/>
      <c r="I117" s="708"/>
      <c r="J117" s="708"/>
      <c r="K117" s="707"/>
      <c r="L117" s="707"/>
      <c r="M117" s="728"/>
      <c r="N117" s="728"/>
      <c r="O117" s="728"/>
    </row>
    <row r="118" spans="5:15" ht="14.25" hidden="1">
      <c r="E118" s="706"/>
      <c r="F118" s="707"/>
      <c r="G118" s="707"/>
      <c r="H118" s="707"/>
      <c r="I118" s="708"/>
      <c r="J118" s="708"/>
      <c r="K118" s="707"/>
      <c r="L118" s="707"/>
      <c r="M118" s="728"/>
      <c r="N118" s="728"/>
      <c r="O118" s="728"/>
    </row>
    <row r="119" spans="5:15" ht="14.25" hidden="1">
      <c r="E119" s="706"/>
      <c r="F119" s="707"/>
      <c r="G119" s="707"/>
      <c r="H119" s="707"/>
      <c r="I119" s="708"/>
      <c r="J119" s="708"/>
      <c r="K119" s="707"/>
      <c r="L119" s="707"/>
      <c r="M119" s="728"/>
      <c r="N119" s="728"/>
      <c r="O119" s="728"/>
    </row>
    <row r="120" spans="5:15" ht="14.25" hidden="1">
      <c r="E120" s="706"/>
      <c r="F120" s="707"/>
      <c r="G120" s="707"/>
      <c r="H120" s="707"/>
      <c r="I120" s="708"/>
      <c r="J120" s="708"/>
      <c r="K120" s="707"/>
      <c r="L120" s="707"/>
      <c r="M120" s="728"/>
      <c r="N120" s="728"/>
      <c r="O120" s="728"/>
    </row>
    <row r="121" spans="5:15" ht="14.25" hidden="1">
      <c r="E121" s="706"/>
      <c r="F121" s="707"/>
      <c r="G121" s="707"/>
      <c r="H121" s="707"/>
      <c r="I121" s="708"/>
      <c r="J121" s="708"/>
      <c r="K121" s="707"/>
      <c r="L121" s="707"/>
      <c r="M121" s="728"/>
      <c r="N121" s="728"/>
      <c r="O121" s="728"/>
    </row>
    <row r="122" spans="5:15" ht="14.25" hidden="1">
      <c r="E122" s="706"/>
      <c r="F122" s="707"/>
      <c r="G122" s="707"/>
      <c r="H122" s="707"/>
      <c r="I122" s="708"/>
      <c r="J122" s="708"/>
      <c r="K122" s="707"/>
      <c r="L122" s="707"/>
      <c r="M122" s="728"/>
      <c r="N122" s="728"/>
      <c r="O122" s="728"/>
    </row>
    <row r="123" spans="5:15" ht="14.25" hidden="1">
      <c r="E123" s="706"/>
      <c r="F123" s="707"/>
      <c r="G123" s="707"/>
      <c r="H123" s="707"/>
      <c r="I123" s="708"/>
      <c r="J123" s="708"/>
      <c r="K123" s="707"/>
      <c r="L123" s="707"/>
      <c r="M123" s="728"/>
      <c r="N123" s="728"/>
      <c r="O123" s="728"/>
    </row>
    <row r="124" spans="5:15" ht="14.25" hidden="1">
      <c r="E124" s="706"/>
      <c r="F124" s="707"/>
      <c r="G124" s="707"/>
      <c r="H124" s="707"/>
      <c r="I124" s="708"/>
      <c r="J124" s="708"/>
      <c r="K124" s="707"/>
      <c r="L124" s="707"/>
      <c r="M124" s="728"/>
      <c r="N124" s="728"/>
      <c r="O124" s="728"/>
    </row>
    <row r="125" spans="5:15" ht="14.25" hidden="1">
      <c r="E125" s="706"/>
      <c r="F125" s="707"/>
      <c r="G125" s="707"/>
      <c r="H125" s="707"/>
      <c r="I125" s="708"/>
      <c r="J125" s="708"/>
      <c r="K125" s="707"/>
      <c r="L125" s="707"/>
      <c r="M125" s="728"/>
      <c r="N125" s="728"/>
      <c r="O125" s="728"/>
    </row>
    <row r="126" spans="5:15" ht="14.25" hidden="1">
      <c r="E126" s="706"/>
      <c r="F126" s="707"/>
      <c r="G126" s="707"/>
      <c r="H126" s="707"/>
      <c r="I126" s="708"/>
      <c r="J126" s="708"/>
      <c r="K126" s="707"/>
      <c r="L126" s="707"/>
      <c r="M126" s="728"/>
      <c r="N126" s="728"/>
      <c r="O126" s="728"/>
    </row>
    <row r="127" spans="5:15" ht="14.25" hidden="1">
      <c r="E127" s="706"/>
      <c r="F127" s="707"/>
      <c r="G127" s="707"/>
      <c r="H127" s="707"/>
      <c r="I127" s="708"/>
      <c r="J127" s="708"/>
      <c r="K127" s="707"/>
      <c r="L127" s="707"/>
      <c r="M127" s="728"/>
      <c r="N127" s="728"/>
      <c r="O127" s="728"/>
    </row>
    <row r="128" spans="5:15" ht="14.25" hidden="1">
      <c r="E128" s="706"/>
      <c r="F128" s="707"/>
      <c r="G128" s="707"/>
      <c r="H128" s="707"/>
      <c r="I128" s="708"/>
      <c r="J128" s="708"/>
      <c r="K128" s="707"/>
      <c r="L128" s="707"/>
      <c r="M128" s="728"/>
      <c r="N128" s="728"/>
      <c r="O128" s="728"/>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password="8D30" sheet="1" objects="1" scenarios="1"/>
  <mergeCells count="8">
    <mergeCell ref="L65:O69"/>
    <mergeCell ref="Q2:Q5"/>
    <mergeCell ref="D13:E13"/>
    <mergeCell ref="J16:K18"/>
    <mergeCell ref="K5:L5"/>
    <mergeCell ref="L35:O38"/>
    <mergeCell ref="N5:O5"/>
    <mergeCell ref="H36:K38"/>
  </mergeCells>
  <phoneticPr fontId="20"/>
  <conditionalFormatting sqref="H27:K35">
    <cfRule type="expression" dxfId="24"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FF00"/>
  </sheetPr>
  <dimension ref="A1:AR97"/>
  <sheetViews>
    <sheetView showGridLines="0" zoomScale="75" zoomScaleNormal="75" workbookViewId="0">
      <selection activeCell="Q35" sqref="Q35"/>
    </sheetView>
  </sheetViews>
  <sheetFormatPr defaultColWidth="0" defaultRowHeight="0" customHeight="1" zeroHeight="1"/>
  <cols>
    <col min="1" max="1" width="0.75" style="688" customWidth="1"/>
    <col min="2" max="2" width="2.125" style="704" customWidth="1"/>
    <col min="3" max="3" width="13.375" style="704" customWidth="1"/>
    <col min="4" max="4" width="5.375" style="705" customWidth="1"/>
    <col min="5" max="5" width="9.75" style="1075" customWidth="1"/>
    <col min="6" max="6" width="6.25" style="1050" customWidth="1"/>
    <col min="7" max="7" width="6.5" style="1050" customWidth="1"/>
    <col min="8" max="8" width="12.875" style="1050" customWidth="1"/>
    <col min="9" max="9" width="7.125" style="1051" customWidth="1"/>
    <col min="10" max="10" width="12.125" style="1051" customWidth="1"/>
    <col min="11" max="11" width="11.875" style="1050" customWidth="1"/>
    <col min="12" max="12" width="10.875" style="1050" customWidth="1"/>
    <col min="13" max="13" width="11.875" style="1053" customWidth="1"/>
    <col min="14" max="15" width="10.625" style="1053" customWidth="1"/>
    <col min="16" max="16" width="0.75" style="688" customWidth="1"/>
    <col min="17" max="17" width="3.875" style="688" customWidth="1"/>
    <col min="18" max="18" width="10.625" style="697" hidden="1" customWidth="1"/>
    <col min="19" max="19" width="10.625" style="1036" hidden="1" customWidth="1"/>
    <col min="20" max="28" width="10.625" style="697" hidden="1" customWidth="1"/>
    <col min="29" max="32" width="10.625" style="1037" hidden="1" customWidth="1"/>
    <col min="33" max="44" width="0" style="1037" hidden="1" customWidth="1"/>
    <col min="45" max="16384" width="9" style="1037" hidden="1"/>
  </cols>
  <sheetData>
    <row r="1" spans="1:28" s="686" customFormat="1" ht="6" customHeight="1" thickBot="1">
      <c r="A1" s="678"/>
      <c r="B1" s="679"/>
      <c r="C1" s="680"/>
      <c r="D1" s="681"/>
      <c r="E1" s="682"/>
      <c r="F1" s="683"/>
      <c r="G1" s="683"/>
      <c r="H1" s="683"/>
      <c r="I1" s="684"/>
      <c r="J1" s="684"/>
      <c r="K1" s="683"/>
      <c r="L1" s="685"/>
      <c r="M1" s="682"/>
      <c r="N1" s="682"/>
      <c r="O1" s="678"/>
      <c r="P1" s="678"/>
      <c r="Q1" s="678"/>
      <c r="S1" s="687"/>
    </row>
    <row r="2" spans="1:28" s="697" customFormat="1" ht="18.75" customHeight="1" thickTop="1">
      <c r="A2" s="688"/>
      <c r="B2" s="689"/>
      <c r="C2" s="1995"/>
      <c r="D2" s="691"/>
      <c r="E2" s="692"/>
      <c r="F2" s="693"/>
      <c r="G2" s="693"/>
      <c r="H2" s="693"/>
      <c r="I2" s="694"/>
      <c r="J2" s="695"/>
      <c r="K2" s="695"/>
      <c r="L2" s="695"/>
      <c r="M2" s="695"/>
      <c r="N2" s="693"/>
      <c r="O2" s="529"/>
      <c r="P2" s="688"/>
      <c r="Q2" s="2790" t="s">
        <v>449</v>
      </c>
      <c r="R2" s="696"/>
      <c r="S2" s="696"/>
      <c r="T2" s="696"/>
      <c r="U2" s="696"/>
      <c r="V2" s="696"/>
      <c r="W2" s="696"/>
      <c r="X2" s="696"/>
      <c r="Y2" s="696"/>
      <c r="Z2" s="696"/>
      <c r="AA2" s="696"/>
      <c r="AB2" s="696"/>
    </row>
    <row r="3" spans="1:28" s="697" customFormat="1" ht="18.75" customHeight="1">
      <c r="A3" s="688"/>
      <c r="B3" s="689"/>
      <c r="C3" s="690"/>
      <c r="D3" s="691"/>
      <c r="E3" s="692"/>
      <c r="F3" s="693"/>
      <c r="G3" s="693"/>
      <c r="H3" s="693"/>
      <c r="I3" s="694"/>
      <c r="J3" s="695"/>
      <c r="K3" s="695"/>
      <c r="L3" s="695"/>
      <c r="M3" s="695"/>
      <c r="N3" s="693"/>
      <c r="O3" s="528"/>
      <c r="P3" s="688"/>
      <c r="Q3" s="2791"/>
      <c r="R3" s="696"/>
      <c r="S3" s="696"/>
      <c r="T3" s="696"/>
      <c r="U3" s="696"/>
      <c r="V3" s="696"/>
      <c r="W3" s="696"/>
      <c r="X3" s="696"/>
      <c r="Y3" s="696"/>
      <c r="Z3" s="696"/>
      <c r="AA3" s="696"/>
      <c r="AB3" s="696"/>
    </row>
    <row r="4" spans="1:28" s="697" customFormat="1" ht="18.75" customHeight="1">
      <c r="A4" s="688"/>
      <c r="B4" s="689"/>
      <c r="C4" s="690"/>
      <c r="D4" s="691"/>
      <c r="E4" s="692"/>
      <c r="F4" s="693"/>
      <c r="G4" s="693"/>
      <c r="H4" s="693"/>
      <c r="I4" s="698"/>
      <c r="J4" s="695"/>
      <c r="K4" s="695"/>
      <c r="L4" s="695"/>
      <c r="M4" s="695"/>
      <c r="N4" s="693"/>
      <c r="O4" s="529"/>
      <c r="P4" s="688"/>
      <c r="Q4" s="2791"/>
      <c r="R4" s="696"/>
      <c r="S4" s="696"/>
      <c r="T4" s="696"/>
      <c r="U4" s="696"/>
      <c r="V4" s="696"/>
      <c r="W4" s="696"/>
      <c r="X4" s="696"/>
      <c r="Y4" s="696"/>
      <c r="Z4" s="696"/>
      <c r="AA4" s="696"/>
      <c r="AB4" s="696"/>
    </row>
    <row r="5" spans="1:28" s="697" customFormat="1" ht="13.5" customHeight="1" thickBot="1">
      <c r="A5" s="688"/>
      <c r="B5" s="699"/>
      <c r="C5" s="700"/>
      <c r="D5" s="691"/>
      <c r="E5" s="692"/>
      <c r="F5" s="693"/>
      <c r="G5" s="702" t="s">
        <v>1925</v>
      </c>
      <c r="H5" s="2667" t="str">
        <f>メイン!C6</f>
        <v>CASBEE-建築(改修)2014年版</v>
      </c>
      <c r="I5" s="701"/>
      <c r="J5" s="850"/>
      <c r="K5" s="1119"/>
      <c r="L5" s="695"/>
      <c r="M5" s="850" t="s">
        <v>984</v>
      </c>
      <c r="N5" s="1120" t="str">
        <f>メイン!C5</f>
        <v>CASBEE-BD_RN_2014(v.2.0)</v>
      </c>
      <c r="O5" s="1121"/>
      <c r="P5" s="688"/>
      <c r="Q5" s="2792"/>
      <c r="R5" s="696"/>
      <c r="S5" s="696"/>
      <c r="T5" s="696"/>
      <c r="U5" s="696"/>
      <c r="V5" s="696"/>
      <c r="W5" s="696"/>
      <c r="X5" s="696"/>
      <c r="Y5" s="696"/>
      <c r="Z5" s="696"/>
      <c r="AA5" s="696"/>
      <c r="AB5" s="696"/>
    </row>
    <row r="6" spans="1:28" s="697" customFormat="1" ht="6" customHeight="1" thickTop="1" thickBot="1">
      <c r="A6" s="688"/>
      <c r="B6" s="703"/>
      <c r="C6" s="704"/>
      <c r="D6" s="705"/>
      <c r="E6" s="706"/>
      <c r="F6" s="707"/>
      <c r="G6" s="707"/>
      <c r="H6" s="707"/>
      <c r="I6" s="708"/>
      <c r="J6" s="709"/>
      <c r="K6" s="709"/>
      <c r="L6" s="710"/>
      <c r="M6" s="706"/>
      <c r="N6" s="706"/>
      <c r="O6" s="706"/>
      <c r="P6" s="688"/>
      <c r="Q6" s="688"/>
      <c r="R6" s="696"/>
      <c r="S6" s="696"/>
      <c r="T6" s="696"/>
      <c r="U6" s="696"/>
      <c r="V6" s="696"/>
      <c r="W6" s="696"/>
      <c r="X6" s="696"/>
      <c r="Y6" s="696"/>
      <c r="Z6" s="696"/>
      <c r="AA6" s="696"/>
      <c r="AB6" s="696"/>
    </row>
    <row r="7" spans="1:28" s="697" customFormat="1" ht="18" customHeight="1" thickBot="1">
      <c r="A7" s="688"/>
      <c r="B7" s="711" t="s">
        <v>985</v>
      </c>
      <c r="C7" s="712"/>
      <c r="D7" s="713"/>
      <c r="E7" s="712"/>
      <c r="F7" s="712"/>
      <c r="G7" s="712"/>
      <c r="H7" s="712"/>
      <c r="I7" s="712"/>
      <c r="J7" s="712"/>
      <c r="K7" s="712"/>
      <c r="L7" s="712"/>
      <c r="M7" s="712"/>
      <c r="N7" s="712"/>
      <c r="O7" s="717"/>
      <c r="P7" s="688"/>
      <c r="Q7" s="688"/>
      <c r="R7" s="718" t="s">
        <v>58</v>
      </c>
      <c r="S7" s="1122" t="s">
        <v>59</v>
      </c>
      <c r="T7" s="1123" t="s">
        <v>60</v>
      </c>
      <c r="U7" s="718" t="s">
        <v>61</v>
      </c>
      <c r="V7" s="696"/>
      <c r="W7" s="696"/>
      <c r="X7" s="696"/>
      <c r="Y7" s="696"/>
      <c r="Z7" s="1124" t="s">
        <v>62</v>
      </c>
      <c r="AA7" s="1125"/>
      <c r="AB7" s="696"/>
    </row>
    <row r="8" spans="1:28" s="697" customFormat="1" ht="18" customHeight="1">
      <c r="A8" s="688"/>
      <c r="B8" s="1126" t="s">
        <v>469</v>
      </c>
      <c r="C8" s="1085"/>
      <c r="D8" s="1127"/>
      <c r="E8" s="1085"/>
      <c r="F8" s="1085"/>
      <c r="G8" s="1128"/>
      <c r="H8" s="1126" t="s">
        <v>470</v>
      </c>
      <c r="I8" s="1127"/>
      <c r="J8" s="1085"/>
      <c r="K8" s="1085"/>
      <c r="L8" s="1129" t="s">
        <v>63</v>
      </c>
      <c r="M8" s="1130"/>
      <c r="N8" s="1130"/>
      <c r="O8" s="1131"/>
      <c r="P8" s="688"/>
      <c r="Q8" s="688"/>
      <c r="R8" s="1132" t="s">
        <v>64</v>
      </c>
      <c r="S8" s="1133">
        <f>スコア表示!AN8</f>
        <v>3.0168750000000002</v>
      </c>
      <c r="T8" s="1134">
        <f>スコア表示!AO8</f>
        <v>3.0000000000000004</v>
      </c>
      <c r="U8" s="1135"/>
      <c r="V8" s="731" t="s">
        <v>991</v>
      </c>
      <c r="W8" s="732" t="s">
        <v>65</v>
      </c>
      <c r="X8" s="732">
        <v>4</v>
      </c>
      <c r="Y8" s="1136">
        <v>2</v>
      </c>
      <c r="Z8" s="1137" t="s">
        <v>66</v>
      </c>
      <c r="AA8" s="1138" t="s">
        <v>67</v>
      </c>
      <c r="AB8" s="1139" t="s">
        <v>68</v>
      </c>
    </row>
    <row r="9" spans="1:28" s="697" customFormat="1" ht="15" customHeight="1">
      <c r="A9" s="688"/>
      <c r="B9" s="1140" t="s">
        <v>989</v>
      </c>
      <c r="C9" s="1141"/>
      <c r="D9" s="1142" t="str">
        <f>メイン!C11</f>
        <v>旧ビル</v>
      </c>
      <c r="E9" s="1143"/>
      <c r="F9" s="1142"/>
      <c r="G9" s="1144"/>
      <c r="H9" s="1145" t="s">
        <v>989</v>
      </c>
      <c r="I9" s="1146"/>
      <c r="J9" s="1147" t="str">
        <f>メイン!H11</f>
        <v>新ビル</v>
      </c>
      <c r="K9" s="1148"/>
      <c r="L9" s="1149" t="s">
        <v>1033</v>
      </c>
      <c r="M9" s="1150"/>
      <c r="N9" s="2796" t="str">
        <f>IF(メイン!C27=0,"",メイン!C27)</f>
        <v>○○○</v>
      </c>
      <c r="O9" s="2797"/>
      <c r="P9" s="688"/>
      <c r="Q9" s="688"/>
      <c r="R9" s="1132" t="s">
        <v>69</v>
      </c>
      <c r="S9" s="1133">
        <f>スコア表示!AN116</f>
        <v>3.1100000000000003</v>
      </c>
      <c r="T9" s="1134">
        <f>スコア表示!AO116</f>
        <v>3.3099999999999996</v>
      </c>
      <c r="U9" s="1151" t="s">
        <v>70</v>
      </c>
      <c r="V9" s="731" t="s">
        <v>71</v>
      </c>
      <c r="W9" s="732">
        <v>5</v>
      </c>
      <c r="X9" s="732">
        <v>4</v>
      </c>
      <c r="Y9" s="1136">
        <v>2</v>
      </c>
      <c r="Z9" s="1152">
        <f>X48</f>
        <v>3</v>
      </c>
      <c r="AA9" s="1153">
        <f>Z48</f>
        <v>3</v>
      </c>
      <c r="AB9" s="1139">
        <v>3</v>
      </c>
    </row>
    <row r="10" spans="1:28" s="697" customFormat="1" ht="15" customHeight="1">
      <c r="A10" s="688"/>
      <c r="B10" s="1154" t="s">
        <v>1005</v>
      </c>
      <c r="C10" s="1155"/>
      <c r="D10" s="810" t="str">
        <f>メイン!C21</f>
        <v>事務所,</v>
      </c>
      <c r="E10" s="810"/>
      <c r="F10" s="810"/>
      <c r="G10" s="1156"/>
      <c r="H10" s="1157" t="s">
        <v>1005</v>
      </c>
      <c r="I10" s="1155"/>
      <c r="J10" s="1158" t="str">
        <f>メイン!H21</f>
        <v>事務所,物販店,</v>
      </c>
      <c r="K10" s="1159"/>
      <c r="L10" s="1160"/>
      <c r="M10" s="1161"/>
      <c r="N10" s="2798"/>
      <c r="O10" s="2799"/>
      <c r="P10" s="688"/>
      <c r="Q10" s="688"/>
      <c r="R10" s="1162" t="s">
        <v>72</v>
      </c>
      <c r="S10" s="1163">
        <f>25*(S8-1)</f>
        <v>50.421875000000007</v>
      </c>
      <c r="T10" s="1164">
        <f>25*(T8-1)</f>
        <v>50.000000000000014</v>
      </c>
      <c r="U10" s="1151" t="s">
        <v>73</v>
      </c>
      <c r="V10" s="753" t="s">
        <v>999</v>
      </c>
      <c r="W10" s="732">
        <v>5</v>
      </c>
      <c r="X10" s="732">
        <v>4</v>
      </c>
      <c r="Y10" s="1136">
        <v>2</v>
      </c>
      <c r="Z10" s="1152">
        <f>AC48</f>
        <v>3</v>
      </c>
      <c r="AA10" s="1153">
        <f>AE48</f>
        <v>3</v>
      </c>
      <c r="AB10" s="1139">
        <v>3</v>
      </c>
    </row>
    <row r="11" spans="1:28" s="697" customFormat="1" ht="15" customHeight="1">
      <c r="A11" s="688"/>
      <c r="B11" s="1154" t="s">
        <v>74</v>
      </c>
      <c r="C11" s="1165"/>
      <c r="D11" s="2808">
        <f>メイン!C15</f>
        <v>21976</v>
      </c>
      <c r="E11" s="2809"/>
      <c r="F11" s="810"/>
      <c r="G11" s="1156"/>
      <c r="H11" s="1157" t="s">
        <v>75</v>
      </c>
      <c r="I11" s="1155"/>
      <c r="J11" s="1166">
        <f>メイン!H15</f>
        <v>41974</v>
      </c>
      <c r="K11" s="1159"/>
      <c r="L11" s="1160" t="s">
        <v>76</v>
      </c>
      <c r="M11" s="1167"/>
      <c r="N11" s="1168" t="str">
        <f>メイン!H26</f>
        <v>○○</v>
      </c>
      <c r="O11" s="1169" t="s">
        <v>1007</v>
      </c>
      <c r="P11" s="688"/>
      <c r="Q11" s="688"/>
      <c r="R11" s="1162" t="s">
        <v>77</v>
      </c>
      <c r="S11" s="1163">
        <f>25*(5-S9)</f>
        <v>47.249999999999993</v>
      </c>
      <c r="T11" s="1164">
        <f>25*(5-T9)</f>
        <v>42.250000000000007</v>
      </c>
      <c r="U11" s="1151" t="s">
        <v>78</v>
      </c>
      <c r="V11" s="760" t="s">
        <v>600</v>
      </c>
      <c r="W11" s="732">
        <v>5</v>
      </c>
      <c r="X11" s="732">
        <v>4</v>
      </c>
      <c r="Y11" s="1136">
        <v>2</v>
      </c>
      <c r="Z11" s="1152">
        <f>AC59</f>
        <v>3.1</v>
      </c>
      <c r="AA11" s="1153">
        <f>AE59</f>
        <v>3.1</v>
      </c>
      <c r="AB11" s="1139">
        <v>3</v>
      </c>
    </row>
    <row r="12" spans="1:28" s="697" customFormat="1" ht="15" customHeight="1">
      <c r="A12" s="688"/>
      <c r="B12" s="1157" t="s">
        <v>1024</v>
      </c>
      <c r="C12" s="1165"/>
      <c r="D12" s="1170"/>
      <c r="E12" s="1171">
        <f>メイン!C18</f>
        <v>1400</v>
      </c>
      <c r="F12" s="810" t="s">
        <v>490</v>
      </c>
      <c r="G12" s="1156"/>
      <c r="H12" s="1157" t="s">
        <v>79</v>
      </c>
      <c r="I12" s="1161"/>
      <c r="J12" s="1171">
        <f>メイン!H18</f>
        <v>1400</v>
      </c>
      <c r="K12" s="810" t="s">
        <v>490</v>
      </c>
      <c r="L12" s="1160" t="s">
        <v>1032</v>
      </c>
      <c r="M12" s="1172"/>
      <c r="N12" s="2800" t="str">
        <f>IF(メイン!H27=0,"",メイン!H27)</f>
        <v>○○○</v>
      </c>
      <c r="O12" s="2801"/>
      <c r="P12" s="688"/>
      <c r="Q12" s="688"/>
      <c r="R12" s="1162" t="s">
        <v>80</v>
      </c>
      <c r="S12" s="1163">
        <f>S10/S11</f>
        <v>1.06712962962963</v>
      </c>
      <c r="T12" s="1173">
        <f>T10/T11</f>
        <v>1.1834319526627219</v>
      </c>
      <c r="U12" s="1151" t="s">
        <v>81</v>
      </c>
      <c r="V12" s="760" t="s">
        <v>1010</v>
      </c>
      <c r="W12" s="732">
        <v>5</v>
      </c>
      <c r="X12" s="732">
        <v>4</v>
      </c>
      <c r="Y12" s="1136">
        <v>2</v>
      </c>
      <c r="Z12" s="1152">
        <f>X59</f>
        <v>3</v>
      </c>
      <c r="AA12" s="1153">
        <f>Z59</f>
        <v>3</v>
      </c>
      <c r="AB12" s="1139">
        <v>3</v>
      </c>
    </row>
    <row r="13" spans="1:28" s="697" customFormat="1" ht="15" customHeight="1">
      <c r="A13" s="688"/>
      <c r="B13" s="1154" t="s">
        <v>1028</v>
      </c>
      <c r="C13" s="1155"/>
      <c r="D13" s="810"/>
      <c r="E13" s="1171">
        <f>メイン!C19</f>
        <v>10000</v>
      </c>
      <c r="F13" s="810" t="s">
        <v>490</v>
      </c>
      <c r="G13" s="1156"/>
      <c r="H13" s="1157" t="s">
        <v>82</v>
      </c>
      <c r="I13" s="1161"/>
      <c r="J13" s="1171">
        <f>メイン!H19</f>
        <v>10000</v>
      </c>
      <c r="K13" s="810" t="s">
        <v>490</v>
      </c>
      <c r="L13" s="1160"/>
      <c r="M13" s="1172"/>
      <c r="N13" s="2800"/>
      <c r="O13" s="2801"/>
      <c r="P13" s="688"/>
      <c r="Q13" s="688"/>
      <c r="R13" s="1174" t="s">
        <v>83</v>
      </c>
      <c r="S13" s="1175">
        <f>ROUNDDOWN(S12,1)</f>
        <v>1</v>
      </c>
      <c r="T13" s="1176">
        <f>ROUNDDOWN(T12,1)</f>
        <v>1.1000000000000001</v>
      </c>
      <c r="U13" s="1151" t="s">
        <v>84</v>
      </c>
      <c r="V13" s="760" t="s">
        <v>85</v>
      </c>
      <c r="W13" s="732">
        <v>5</v>
      </c>
      <c r="X13" s="732">
        <v>4</v>
      </c>
      <c r="Y13" s="1136">
        <v>2</v>
      </c>
      <c r="Z13" s="1152">
        <f>S59</f>
        <v>3.2</v>
      </c>
      <c r="AA13" s="1153">
        <f>U59</f>
        <v>3.7</v>
      </c>
      <c r="AB13" s="1139">
        <v>3</v>
      </c>
    </row>
    <row r="14" spans="1:28" s="697" customFormat="1" ht="15" customHeight="1" thickBot="1">
      <c r="A14" s="688"/>
      <c r="B14" s="1154" t="s">
        <v>990</v>
      </c>
      <c r="C14" s="1161"/>
      <c r="D14" s="810" t="str">
        <f>メイン!C22</f>
        <v>地上12F</v>
      </c>
      <c r="E14" s="1177"/>
      <c r="F14" s="810"/>
      <c r="G14" s="1156"/>
      <c r="H14" s="1157" t="s">
        <v>86</v>
      </c>
      <c r="I14" s="1161"/>
      <c r="J14" s="810" t="str">
        <f>メイン!H22</f>
        <v>地上12F</v>
      </c>
      <c r="K14" s="1156"/>
      <c r="L14" s="1160" t="s">
        <v>87</v>
      </c>
      <c r="M14" s="1161"/>
      <c r="N14" s="1178"/>
      <c r="O14" s="1169"/>
      <c r="P14" s="688"/>
      <c r="Q14" s="688"/>
      <c r="S14" s="1179"/>
      <c r="T14" s="1180"/>
      <c r="U14" s="1151" t="s">
        <v>88</v>
      </c>
      <c r="V14" s="753" t="s">
        <v>1019</v>
      </c>
      <c r="W14" s="732">
        <v>5</v>
      </c>
      <c r="X14" s="732">
        <v>4</v>
      </c>
      <c r="Y14" s="1136">
        <v>2</v>
      </c>
      <c r="Z14" s="1181">
        <f>IF(S48=0,1,S48)</f>
        <v>3</v>
      </c>
      <c r="AA14" s="1182">
        <f>IF(U48=0,1,U48)</f>
        <v>3</v>
      </c>
      <c r="AB14" s="1139">
        <v>3</v>
      </c>
    </row>
    <row r="15" spans="1:28" s="697" customFormat="1" ht="15" customHeight="1">
      <c r="A15" s="688"/>
      <c r="B15" s="1157" t="s">
        <v>993</v>
      </c>
      <c r="C15" s="1155"/>
      <c r="D15" s="1183" t="str">
        <f>メイン!C23</f>
        <v>S造</v>
      </c>
      <c r="E15" s="1184"/>
      <c r="F15" s="810"/>
      <c r="G15" s="1156"/>
      <c r="H15" s="1157" t="s">
        <v>89</v>
      </c>
      <c r="I15" s="1161"/>
      <c r="J15" s="810" t="str">
        <f>メイン!H23</f>
        <v>S造</v>
      </c>
      <c r="K15" s="1156"/>
      <c r="L15" s="1160" t="s">
        <v>1031</v>
      </c>
      <c r="M15" s="1185"/>
      <c r="N15" s="1178" t="str">
        <f>IF(メイン!H33=0,"",メイン!H33)</f>
        <v>○○○</v>
      </c>
      <c r="O15" s="1169"/>
      <c r="P15" s="688"/>
      <c r="Q15" s="688"/>
      <c r="R15" s="1162" t="s">
        <v>450</v>
      </c>
      <c r="S15" s="1186">
        <f>IF(AND($S$10&gt;=50,$S$12&gt;=3),1,IF(S13&lt;0.5,1,IF(S13&lt;1,2,IF(S13&lt;1.5,3,IF(S13&lt;3,4,4))))/5)</f>
        <v>0.6</v>
      </c>
      <c r="T15" s="1187">
        <f>IF(AND($T$10&gt;=50,$T$12&gt;=3),1,IF(T13&lt;0.5,1,IF(T13&lt;1,2,IF(T13&lt;1.5,3,IF(T13&lt;3,4,4))))/5)</f>
        <v>0.6</v>
      </c>
      <c r="V15" s="791"/>
      <c r="Z15" s="791"/>
    </row>
    <row r="16" spans="1:28" s="697" customFormat="1" ht="15" customHeight="1" thickBot="1">
      <c r="A16" s="688"/>
      <c r="B16" s="1157" t="s">
        <v>995</v>
      </c>
      <c r="C16" s="1155"/>
      <c r="D16" s="1183" t="str">
        <f>メイン!C24</f>
        <v>○○</v>
      </c>
      <c r="E16" s="1188" t="s">
        <v>996</v>
      </c>
      <c r="F16" s="810"/>
      <c r="G16" s="1156"/>
      <c r="H16" s="1157" t="s">
        <v>995</v>
      </c>
      <c r="I16" s="1161"/>
      <c r="J16" s="1184" t="str">
        <f>メイン!H24</f>
        <v>○○</v>
      </c>
      <c r="K16" s="1188" t="s">
        <v>996</v>
      </c>
      <c r="L16" s="1160" t="s">
        <v>1034</v>
      </c>
      <c r="M16" s="1185"/>
      <c r="N16" s="1178" t="str">
        <f>IF(メイン!H34=0,"",メイン!H34)</f>
        <v>○○○</v>
      </c>
      <c r="O16" s="1169"/>
      <c r="P16" s="688"/>
      <c r="Q16" s="688"/>
      <c r="R16" s="1162" t="s">
        <v>90</v>
      </c>
      <c r="S16" s="1189">
        <f>1-S15</f>
        <v>0.4</v>
      </c>
      <c r="T16" s="1190">
        <f>1-T15</f>
        <v>0.4</v>
      </c>
      <c r="U16" s="796"/>
      <c r="V16" s="791"/>
      <c r="W16" s="791"/>
      <c r="X16" s="791"/>
      <c r="Y16" s="791"/>
      <c r="Z16" s="791"/>
      <c r="AA16" s="791"/>
      <c r="AB16" s="791"/>
    </row>
    <row r="17" spans="1:35" s="697" customFormat="1" ht="15" customHeight="1">
      <c r="A17" s="688"/>
      <c r="B17" s="1157" t="s">
        <v>1000</v>
      </c>
      <c r="C17" s="1155"/>
      <c r="D17" s="1183" t="str">
        <f>メイン!C25</f>
        <v>○○</v>
      </c>
      <c r="E17" s="1188" t="s">
        <v>1001</v>
      </c>
      <c r="F17" s="810"/>
      <c r="G17" s="1156"/>
      <c r="H17" s="1157" t="s">
        <v>1000</v>
      </c>
      <c r="I17" s="1161"/>
      <c r="J17" s="1184" t="str">
        <f>メイン!H25</f>
        <v>○○</v>
      </c>
      <c r="K17" s="1188" t="s">
        <v>1001</v>
      </c>
      <c r="L17" s="1157" t="s">
        <v>1035</v>
      </c>
      <c r="M17" s="1191"/>
      <c r="N17" s="1178" t="str">
        <f>IF(メイン!H35=0,"",メイン!H35)</f>
        <v>○○○</v>
      </c>
      <c r="O17" s="1192"/>
      <c r="P17" s="688"/>
      <c r="Q17" s="688"/>
      <c r="R17" s="791"/>
      <c r="S17" s="791"/>
      <c r="T17" s="791"/>
      <c r="U17" s="791"/>
      <c r="V17" s="791"/>
      <c r="W17" s="791"/>
      <c r="X17" s="791"/>
      <c r="Y17" s="791"/>
      <c r="Z17" s="791"/>
      <c r="AA17" s="791"/>
      <c r="AB17" s="791"/>
    </row>
    <row r="18" spans="1:35" s="697" customFormat="1" ht="15" customHeight="1">
      <c r="A18" s="688"/>
      <c r="B18" s="1193"/>
      <c r="C18" s="1161"/>
      <c r="D18" s="1194"/>
      <c r="E18" s="1194"/>
      <c r="F18" s="1194"/>
      <c r="G18" s="1195"/>
      <c r="H18" s="1193"/>
      <c r="I18" s="1161"/>
      <c r="J18" s="1194"/>
      <c r="K18" s="1195"/>
      <c r="L18" s="1196" t="s">
        <v>1036</v>
      </c>
      <c r="M18" s="1191"/>
      <c r="N18" s="1178" t="str">
        <f>IF(メイン!H36=0,"",メイン!H36)</f>
        <v>○○○</v>
      </c>
      <c r="O18" s="1192"/>
      <c r="P18" s="688"/>
      <c r="Q18" s="688"/>
      <c r="R18" s="809"/>
      <c r="S18" s="810"/>
      <c r="T18" s="791"/>
      <c r="U18" s="791"/>
      <c r="V18" s="810"/>
      <c r="W18" s="811"/>
      <c r="X18" s="791"/>
      <c r="Y18" s="791"/>
      <c r="Z18" s="791"/>
      <c r="AA18" s="791"/>
      <c r="AB18" s="791"/>
    </row>
    <row r="19" spans="1:35" s="697" customFormat="1" ht="15" customHeight="1" thickBot="1">
      <c r="A19" s="688"/>
      <c r="B19" s="1196"/>
      <c r="C19" s="1165"/>
      <c r="D19" s="1194"/>
      <c r="E19" s="1194"/>
      <c r="F19" s="1194"/>
      <c r="G19" s="1195"/>
      <c r="H19" s="1196"/>
      <c r="I19" s="1161"/>
      <c r="J19" s="1194"/>
      <c r="K19" s="1195"/>
      <c r="L19" s="1196" t="s">
        <v>1012</v>
      </c>
      <c r="M19" s="1191"/>
      <c r="N19" s="2802" t="str">
        <f>メイン!H37</f>
        <v>2014年9月1日～2014年12月10日</v>
      </c>
      <c r="O19" s="2803"/>
      <c r="P19" s="688"/>
      <c r="Q19" s="688"/>
      <c r="R19" s="809"/>
      <c r="S19" s="810"/>
      <c r="T19" s="791"/>
      <c r="U19" s="791"/>
      <c r="V19" s="810"/>
      <c r="W19" s="811"/>
      <c r="X19" s="791"/>
      <c r="Y19" s="791"/>
      <c r="Z19" s="791"/>
      <c r="AA19" s="791"/>
      <c r="AB19" s="791"/>
    </row>
    <row r="20" spans="1:35" s="697" customFormat="1" ht="18" hidden="1" customHeight="1" thickBot="1">
      <c r="A20" s="688"/>
      <c r="B20" s="1197"/>
      <c r="C20" s="1198"/>
      <c r="D20" s="1199"/>
      <c r="E20" s="1199"/>
      <c r="F20" s="1199"/>
      <c r="G20" s="1200"/>
      <c r="H20" s="1197"/>
      <c r="I20" s="1201"/>
      <c r="J20" s="1199"/>
      <c r="K20" s="1200"/>
      <c r="L20" s="1197"/>
      <c r="M20" s="1202"/>
      <c r="N20" s="1203"/>
      <c r="O20" s="1204"/>
      <c r="P20" s="688"/>
      <c r="Q20" s="688"/>
      <c r="R20" s="809"/>
      <c r="S20" s="810"/>
      <c r="T20" s="791"/>
      <c r="U20" s="791"/>
      <c r="V20" s="810"/>
      <c r="W20" s="811"/>
      <c r="X20" s="791"/>
      <c r="Y20" s="791"/>
      <c r="Z20" s="791"/>
      <c r="AA20" s="791"/>
      <c r="AB20" s="791"/>
    </row>
    <row r="21" spans="1:35" s="697" customFormat="1" ht="6.75" customHeight="1" thickBot="1">
      <c r="A21" s="688"/>
      <c r="B21" s="819"/>
      <c r="C21" s="820"/>
      <c r="D21" s="819"/>
      <c r="E21" s="821"/>
      <c r="F21" s="821"/>
      <c r="G21" s="821"/>
      <c r="H21" s="821"/>
      <c r="I21" s="822"/>
      <c r="J21" s="823"/>
      <c r="K21" s="824"/>
      <c r="L21" s="821"/>
      <c r="M21" s="821"/>
      <c r="N21" s="821"/>
      <c r="O21" s="821"/>
      <c r="P21" s="688"/>
      <c r="Q21" s="688"/>
      <c r="R21" s="809"/>
      <c r="S21" s="1205" t="s">
        <v>970</v>
      </c>
      <c r="T21" s="1206"/>
      <c r="U21" s="1207"/>
      <c r="W21" s="1205" t="s">
        <v>971</v>
      </c>
      <c r="X21" s="1208"/>
      <c r="Y21" s="1209"/>
      <c r="AA21" s="731" t="s">
        <v>1043</v>
      </c>
      <c r="AB21" s="731"/>
      <c r="AC21" s="791"/>
      <c r="AD21" s="731" t="s">
        <v>1044</v>
      </c>
      <c r="AE21" s="731"/>
      <c r="AF21" s="791"/>
      <c r="AG21" s="791"/>
      <c r="AH21" s="791"/>
      <c r="AI21" s="791"/>
    </row>
    <row r="22" spans="1:35" s="697" customFormat="1" ht="19.5" thickBot="1">
      <c r="A22" s="688"/>
      <c r="B22" s="825" t="s">
        <v>1037</v>
      </c>
      <c r="C22" s="826"/>
      <c r="D22" s="827"/>
      <c r="E22" s="828"/>
      <c r="F22" s="828"/>
      <c r="G22" s="828"/>
      <c r="H22" s="716" t="s">
        <v>339</v>
      </c>
      <c r="I22" s="830"/>
      <c r="J22" s="831"/>
      <c r="K22" s="831"/>
      <c r="L22" s="829" t="s">
        <v>340</v>
      </c>
      <c r="M22" s="830"/>
      <c r="N22" s="831"/>
      <c r="O22" s="832"/>
      <c r="P22" s="688"/>
      <c r="Q22" s="688"/>
      <c r="R22" s="1162" t="s">
        <v>1038</v>
      </c>
      <c r="S22" s="1210" t="s">
        <v>1039</v>
      </c>
      <c r="T22" s="731" t="s">
        <v>1040</v>
      </c>
      <c r="U22" s="1211" t="s">
        <v>1041</v>
      </c>
      <c r="W22" s="1210" t="s">
        <v>1039</v>
      </c>
      <c r="X22" s="731" t="s">
        <v>1040</v>
      </c>
      <c r="Y22" s="1211" t="s">
        <v>1041</v>
      </c>
      <c r="AA22" s="746">
        <v>50</v>
      </c>
      <c r="AB22" s="746">
        <v>50</v>
      </c>
      <c r="AC22" s="791"/>
      <c r="AD22" s="746">
        <v>0</v>
      </c>
      <c r="AE22" s="746">
        <v>100</v>
      </c>
    </row>
    <row r="23" spans="1:35" s="697" customFormat="1" ht="11.25" customHeight="1">
      <c r="A23" s="688"/>
      <c r="B23" s="743"/>
      <c r="H23" s="833"/>
      <c r="I23" s="834"/>
      <c r="J23" s="834"/>
      <c r="K23" s="834"/>
      <c r="L23" s="835"/>
      <c r="M23" s="836"/>
      <c r="O23" s="837"/>
      <c r="R23" s="1162" t="s">
        <v>1042</v>
      </c>
      <c r="S23" s="1212"/>
      <c r="T23" s="838">
        <f>S11</f>
        <v>47.249999999999993</v>
      </c>
      <c r="U23" s="1213">
        <v>0</v>
      </c>
      <c r="W23" s="1212"/>
      <c r="X23" s="838">
        <f>T11</f>
        <v>42.250000000000007</v>
      </c>
      <c r="Y23" s="1213">
        <v>0</v>
      </c>
      <c r="AA23" s="746">
        <v>0</v>
      </c>
      <c r="AB23" s="746">
        <v>100</v>
      </c>
      <c r="AC23" s="791"/>
      <c r="AD23" s="746">
        <v>50</v>
      </c>
      <c r="AE23" s="746">
        <v>50</v>
      </c>
    </row>
    <row r="24" spans="1:35" s="697" customFormat="1" ht="22.5" customHeight="1">
      <c r="A24" s="688"/>
      <c r="B24" s="743"/>
      <c r="D24" s="1214">
        <f>S13</f>
        <v>1</v>
      </c>
      <c r="H24" s="839"/>
      <c r="I24" s="834"/>
      <c r="J24" s="834"/>
      <c r="K24" s="834"/>
      <c r="L24" s="835"/>
      <c r="M24" s="836"/>
      <c r="N24" s="840"/>
      <c r="O24" s="841"/>
      <c r="R24" s="1162" t="s">
        <v>1045</v>
      </c>
      <c r="S24" s="1212"/>
      <c r="T24" s="838">
        <f>S10</f>
        <v>50.421875000000007</v>
      </c>
      <c r="U24" s="1213">
        <v>0</v>
      </c>
      <c r="W24" s="1212"/>
      <c r="X24" s="838">
        <f>T10</f>
        <v>50.000000000000014</v>
      </c>
      <c r="Y24" s="1213">
        <v>0</v>
      </c>
      <c r="AC24" s="791"/>
    </row>
    <row r="25" spans="1:35" s="697" customFormat="1" ht="17.25" customHeight="1">
      <c r="A25" s="688"/>
      <c r="B25" s="743"/>
      <c r="D25" s="1215">
        <f>T13</f>
        <v>1.1000000000000001</v>
      </c>
      <c r="H25" s="839"/>
      <c r="I25" s="834"/>
      <c r="J25" s="834"/>
      <c r="K25" s="834"/>
      <c r="L25" s="835"/>
      <c r="N25" s="840"/>
      <c r="O25" s="841"/>
      <c r="R25" s="1216">
        <v>0</v>
      </c>
      <c r="S25" s="1217">
        <f>T23</f>
        <v>47.249999999999993</v>
      </c>
      <c r="T25" s="842">
        <f>T23</f>
        <v>47.249999999999993</v>
      </c>
      <c r="U25" s="1218">
        <v>0.1</v>
      </c>
      <c r="V25" s="1219">
        <v>0</v>
      </c>
      <c r="W25" s="1217">
        <f>X23</f>
        <v>42.250000000000007</v>
      </c>
      <c r="X25" s="842">
        <f>X23</f>
        <v>42.250000000000007</v>
      </c>
      <c r="Y25" s="1218">
        <v>0.1</v>
      </c>
      <c r="AC25" s="791"/>
    </row>
    <row r="26" spans="1:35" s="697" customFormat="1" ht="17.25" customHeight="1" thickBot="1">
      <c r="A26" s="688"/>
      <c r="B26" s="843"/>
      <c r="C26" s="844"/>
      <c r="D26" s="844"/>
      <c r="E26" s="844"/>
      <c r="F26" s="844"/>
      <c r="G26" s="845"/>
      <c r="H26" s="846"/>
      <c r="I26" s="834"/>
      <c r="J26" s="728"/>
      <c r="K26" s="834"/>
      <c r="L26" s="835"/>
      <c r="M26" s="836"/>
      <c r="N26" s="840"/>
      <c r="O26" s="841"/>
      <c r="R26" s="1216">
        <v>0</v>
      </c>
      <c r="S26" s="1220">
        <v>0</v>
      </c>
      <c r="T26" s="1221">
        <f>T24</f>
        <v>50.421875000000007</v>
      </c>
      <c r="U26" s="1222">
        <f>T24</f>
        <v>50.421875000000007</v>
      </c>
      <c r="V26" s="1219">
        <v>0</v>
      </c>
      <c r="W26" s="1220">
        <v>0</v>
      </c>
      <c r="X26" s="1221">
        <f>X24</f>
        <v>50.000000000000014</v>
      </c>
      <c r="Y26" s="1222">
        <f>X24</f>
        <v>50.000000000000014</v>
      </c>
      <c r="AC26" s="791"/>
      <c r="AF26" s="791"/>
      <c r="AG26" s="791"/>
      <c r="AH26" s="791"/>
      <c r="AI26" s="791"/>
    </row>
    <row r="27" spans="1:35" s="697" customFormat="1" ht="15.75" customHeight="1">
      <c r="A27" s="688"/>
      <c r="B27" s="743"/>
      <c r="H27" s="2103" t="str">
        <f>V36</f>
        <v>標準計算</v>
      </c>
      <c r="I27" s="1816"/>
      <c r="J27" s="1816"/>
      <c r="K27" s="1816"/>
      <c r="L27" s="835"/>
      <c r="N27" s="840"/>
      <c r="O27" s="841"/>
      <c r="T27"/>
      <c r="V27" s="791"/>
      <c r="W27" s="791"/>
      <c r="X27"/>
      <c r="Y27" s="791"/>
      <c r="Z27" s="791"/>
      <c r="AA27" s="791"/>
      <c r="AB27" s="791"/>
    </row>
    <row r="28" spans="1:35" s="697" customFormat="1" ht="15.75" customHeight="1">
      <c r="A28" s="688"/>
      <c r="B28" s="743"/>
      <c r="H28" s="2107"/>
      <c r="I28" s="848"/>
      <c r="J28" s="849"/>
      <c r="K28" s="1817"/>
      <c r="L28" s="835"/>
      <c r="N28" s="840"/>
      <c r="O28" s="841"/>
      <c r="R28" s="851" t="s">
        <v>1046</v>
      </c>
      <c r="S28" s="731" t="s">
        <v>1047</v>
      </c>
      <c r="T28" s="852">
        <v>0</v>
      </c>
      <c r="U28" s="852">
        <f>100/6</f>
        <v>16.666666666666668</v>
      </c>
      <c r="V28" s="853">
        <f>U28*2</f>
        <v>33.333333333333336</v>
      </c>
      <c r="W28" s="852">
        <f>U28*3</f>
        <v>50</v>
      </c>
      <c r="X28" s="852">
        <f>U28*4</f>
        <v>66.666666666666671</v>
      </c>
      <c r="Y28" s="852">
        <f>U28*5</f>
        <v>83.333333333333343</v>
      </c>
      <c r="Z28" s="852">
        <v>100</v>
      </c>
      <c r="AA28" s="791"/>
      <c r="AB28" s="791"/>
    </row>
    <row r="29" spans="1:35" s="697" customFormat="1" ht="15.75" customHeight="1">
      <c r="A29" s="688"/>
      <c r="B29" s="743"/>
      <c r="H29" s="2107"/>
      <c r="I29" s="848"/>
      <c r="J29" s="849"/>
      <c r="K29" s="850"/>
      <c r="L29" s="835"/>
      <c r="N29" s="840"/>
      <c r="O29" s="841"/>
      <c r="R29" s="851"/>
      <c r="S29" s="731" t="s">
        <v>1048</v>
      </c>
      <c r="T29" s="852">
        <v>100</v>
      </c>
      <c r="U29" s="852">
        <v>100</v>
      </c>
      <c r="V29" s="852">
        <v>100</v>
      </c>
      <c r="W29" s="852">
        <v>100</v>
      </c>
      <c r="X29" s="852">
        <v>100</v>
      </c>
      <c r="Y29" s="852">
        <v>100</v>
      </c>
      <c r="Z29" s="852">
        <v>100</v>
      </c>
      <c r="AA29" s="791"/>
      <c r="AB29" s="791"/>
    </row>
    <row r="30" spans="1:35" s="697" customFormat="1" ht="15.75" customHeight="1">
      <c r="A30" s="688"/>
      <c r="B30" s="743"/>
      <c r="H30" s="2107"/>
      <c r="I30" s="848"/>
      <c r="J30" s="849"/>
      <c r="K30" s="1814"/>
      <c r="L30" s="854"/>
      <c r="M30" s="855"/>
      <c r="N30" s="856"/>
      <c r="O30" s="857"/>
      <c r="R30" s="851">
        <v>3</v>
      </c>
      <c r="S30" s="731" t="s">
        <v>1049</v>
      </c>
      <c r="T30" s="852">
        <v>50</v>
      </c>
      <c r="U30" s="852">
        <f t="shared" ref="U30:V33" si="0">U$28*$R30</f>
        <v>50</v>
      </c>
      <c r="V30" s="852">
        <f t="shared" si="0"/>
        <v>100</v>
      </c>
      <c r="W30" s="852">
        <v>100</v>
      </c>
      <c r="X30" s="852">
        <v>100</v>
      </c>
      <c r="Y30" s="852">
        <v>100</v>
      </c>
      <c r="Z30" s="852">
        <v>100</v>
      </c>
      <c r="AA30" s="791"/>
      <c r="AB30" s="791"/>
    </row>
    <row r="31" spans="1:35" s="697" customFormat="1" ht="15.75" customHeight="1">
      <c r="A31" s="688"/>
      <c r="B31" s="743"/>
      <c r="H31" s="2107"/>
      <c r="I31" s="848"/>
      <c r="J31" s="849"/>
      <c r="K31" s="1814"/>
      <c r="L31" s="847"/>
      <c r="M31" s="848"/>
      <c r="N31" s="849"/>
      <c r="O31" s="1815"/>
      <c r="R31" s="851">
        <v>1.5</v>
      </c>
      <c r="S31" s="731" t="s">
        <v>1050</v>
      </c>
      <c r="T31" s="852">
        <v>0</v>
      </c>
      <c r="U31" s="852">
        <f t="shared" si="0"/>
        <v>25</v>
      </c>
      <c r="V31" s="852">
        <f t="shared" si="0"/>
        <v>50</v>
      </c>
      <c r="W31" s="852">
        <f t="shared" ref="W31:X33" si="1">W$28*$R31</f>
        <v>75</v>
      </c>
      <c r="X31" s="852">
        <f t="shared" si="1"/>
        <v>100</v>
      </c>
      <c r="Y31" s="852">
        <v>100</v>
      </c>
      <c r="Z31" s="852">
        <v>100</v>
      </c>
      <c r="AA31" s="791"/>
      <c r="AB31" s="791"/>
    </row>
    <row r="32" spans="1:35" s="697" customFormat="1" ht="15.75" customHeight="1">
      <c r="A32" s="688"/>
      <c r="B32" s="743"/>
      <c r="H32" s="2107"/>
      <c r="I32" s="848"/>
      <c r="J32" s="849"/>
      <c r="K32" s="850"/>
      <c r="L32" s="835"/>
      <c r="N32" s="840"/>
      <c r="O32" s="841"/>
      <c r="R32" s="851">
        <v>1</v>
      </c>
      <c r="S32" s="731" t="s">
        <v>1052</v>
      </c>
      <c r="T32" s="852">
        <v>0</v>
      </c>
      <c r="U32" s="852">
        <f t="shared" si="0"/>
        <v>16.666666666666668</v>
      </c>
      <c r="V32" s="852">
        <f t="shared" si="0"/>
        <v>33.333333333333336</v>
      </c>
      <c r="W32" s="852">
        <f t="shared" si="1"/>
        <v>50</v>
      </c>
      <c r="X32" s="852">
        <f t="shared" si="1"/>
        <v>66.666666666666671</v>
      </c>
      <c r="Y32" s="852">
        <f>Y$28*$R32</f>
        <v>83.333333333333343</v>
      </c>
      <c r="Z32" s="852">
        <f>Z$28*$R32</f>
        <v>100</v>
      </c>
      <c r="AA32" s="791"/>
      <c r="AB32" s="791"/>
    </row>
    <row r="33" spans="1:44" s="697" customFormat="1" ht="15.75" customHeight="1">
      <c r="A33" s="688"/>
      <c r="B33" s="743"/>
      <c r="H33" s="2107"/>
      <c r="I33" s="848"/>
      <c r="J33" s="849"/>
      <c r="K33" s="850"/>
      <c r="L33" s="835"/>
      <c r="N33" s="840"/>
      <c r="O33" s="841"/>
      <c r="R33" s="851">
        <v>0.5</v>
      </c>
      <c r="S33" s="731" t="s">
        <v>91</v>
      </c>
      <c r="T33" s="852">
        <v>0</v>
      </c>
      <c r="U33" s="852">
        <f t="shared" si="0"/>
        <v>8.3333333333333339</v>
      </c>
      <c r="V33" s="852">
        <f t="shared" si="0"/>
        <v>16.666666666666668</v>
      </c>
      <c r="W33" s="852">
        <f t="shared" si="1"/>
        <v>25</v>
      </c>
      <c r="X33" s="852">
        <f t="shared" si="1"/>
        <v>33.333333333333336</v>
      </c>
      <c r="Y33" s="852">
        <f>Y$28*$R33</f>
        <v>41.666666666666671</v>
      </c>
      <c r="Z33" s="852">
        <f>Z$28*$R33</f>
        <v>50</v>
      </c>
      <c r="AA33" s="791"/>
      <c r="AB33" s="791"/>
    </row>
    <row r="34" spans="1:44" s="697" customFormat="1" ht="15.75" customHeight="1" thickBot="1">
      <c r="A34" s="688"/>
      <c r="B34" s="743"/>
      <c r="H34" s="846"/>
      <c r="I34" s="834"/>
      <c r="J34" s="834"/>
      <c r="K34" s="834"/>
      <c r="L34" s="835"/>
      <c r="M34" s="836"/>
      <c r="N34" s="840"/>
      <c r="O34" s="841"/>
      <c r="AA34" s="791"/>
      <c r="AB34" s="791"/>
    </row>
    <row r="35" spans="1:44" s="697" customFormat="1" ht="15.75" customHeight="1">
      <c r="A35" s="807"/>
      <c r="B35" s="743"/>
      <c r="H35" s="846"/>
      <c r="I35" s="834"/>
      <c r="J35" s="834"/>
      <c r="K35" s="834"/>
      <c r="L35" s="2772"/>
      <c r="M35" s="2773"/>
      <c r="N35" s="2773"/>
      <c r="O35" s="2774"/>
      <c r="S35" s="1832" t="s">
        <v>877</v>
      </c>
      <c r="T35" s="1832" t="s">
        <v>878</v>
      </c>
      <c r="AA35" s="791"/>
      <c r="AB35" s="791"/>
    </row>
    <row r="36" spans="1:44" s="697" customFormat="1" ht="15.75" customHeight="1">
      <c r="A36" s="807"/>
      <c r="B36" s="743"/>
      <c r="H36" s="2784" t="str">
        <f>IF(V36=X36,Y36,Y37)</f>
        <v>このグラフは、LR3中の「地球温暖化への配慮」の内容を、一般的な建物（参照値）と比べたライフサイクルCO2 排出量の目安で示したものです</v>
      </c>
      <c r="I36" s="2785"/>
      <c r="J36" s="2785"/>
      <c r="K36" s="2786"/>
      <c r="L36" s="2772"/>
      <c r="M36" s="2773"/>
      <c r="N36" s="2773"/>
      <c r="O36" s="2774"/>
      <c r="R36" s="1174" t="s">
        <v>879</v>
      </c>
      <c r="S36" s="1833">
        <f>IF(S38&lt;=0.3,1,IF(S38&lt;=0.6,0.8,IF(S38&lt;=0.8,0.6,IF(S38&lt;=1,0.4,0.2))))</f>
        <v>0.4</v>
      </c>
      <c r="T36" s="1833">
        <f>IF(T38&lt;=0.3,1,IF(T38&lt;=0.6,0.8,IF(T38&lt;=0.8,0.6,IF(T38&lt;=1,0.4,0.2))))</f>
        <v>0.4</v>
      </c>
      <c r="U36" s="863"/>
      <c r="V36" s="863" t="str">
        <f>メイン!C43</f>
        <v>標準計算</v>
      </c>
      <c r="W36" s="1835" t="s">
        <v>596</v>
      </c>
      <c r="X36" s="863" t="s">
        <v>529</v>
      </c>
      <c r="Y36" s="863" t="s">
        <v>1057</v>
      </c>
      <c r="AA36" s="791"/>
      <c r="AB36" s="791"/>
    </row>
    <row r="37" spans="1:44" s="697" customFormat="1" ht="15.75" customHeight="1" thickBot="1">
      <c r="A37" s="807"/>
      <c r="B37" s="743"/>
      <c r="C37" s="864"/>
      <c r="H37" s="2784"/>
      <c r="I37" s="2785"/>
      <c r="J37" s="2785"/>
      <c r="K37" s="2786"/>
      <c r="L37" s="2772"/>
      <c r="M37" s="2773"/>
      <c r="N37" s="2773"/>
      <c r="O37" s="2774"/>
      <c r="R37" s="1174" t="s">
        <v>880</v>
      </c>
      <c r="S37" s="1834">
        <f>1-S36</f>
        <v>0.6</v>
      </c>
      <c r="T37" s="1834">
        <f>1-T36</f>
        <v>0.6</v>
      </c>
      <c r="U37" s="863"/>
      <c r="V37" s="863" t="s">
        <v>1060</v>
      </c>
      <c r="W37" s="807" t="str">
        <f>IF(V36=X37,W36,"")</f>
        <v/>
      </c>
      <c r="X37" s="863" t="s">
        <v>531</v>
      </c>
      <c r="Y37" s="863" t="s">
        <v>1059</v>
      </c>
      <c r="AA37" s="791"/>
      <c r="AB37" s="791"/>
    </row>
    <row r="38" spans="1:44" s="697" customFormat="1" ht="15.75" customHeight="1" thickBot="1">
      <c r="A38" s="807"/>
      <c r="B38" s="812"/>
      <c r="C38" s="814"/>
      <c r="E38" s="1223" t="str">
        <f>TEXT(ROUNDDOWN(T13,1),"0.0")&amp;"－"&amp;TEXT(ROUNDDOWN(S13,1),"0.0")&amp;"＝"</f>
        <v>1.1－1.0＝</v>
      </c>
      <c r="F38" s="1224">
        <f>T13-S13</f>
        <v>0.10000000000000009</v>
      </c>
      <c r="G38" s="1095"/>
      <c r="H38" s="2787"/>
      <c r="I38" s="2788"/>
      <c r="J38" s="2788"/>
      <c r="K38" s="2789"/>
      <c r="L38" s="2775"/>
      <c r="M38" s="2776"/>
      <c r="N38" s="2776"/>
      <c r="O38" s="2777"/>
      <c r="R38" s="791"/>
      <c r="S38" s="807">
        <f>'結果(改修前)'!T35</f>
        <v>0.90489220275528981</v>
      </c>
      <c r="T38" s="807">
        <f>'結果(改修後)'!T35</f>
        <v>0.90346293993893334</v>
      </c>
      <c r="U38" s="863"/>
      <c r="AA38" s="791"/>
      <c r="AB38" s="791"/>
      <c r="AQ38" s="791"/>
      <c r="AR38" s="791"/>
    </row>
    <row r="39" spans="1:44" s="697" customFormat="1" ht="18" customHeight="1" thickBot="1">
      <c r="A39" s="688"/>
      <c r="B39" s="865" t="s">
        <v>1061</v>
      </c>
      <c r="C39" s="866"/>
      <c r="D39" s="867"/>
      <c r="E39" s="866"/>
      <c r="F39" s="866"/>
      <c r="G39" s="866"/>
      <c r="H39" s="868"/>
      <c r="I39" s="869"/>
      <c r="J39" s="866"/>
      <c r="K39" s="866"/>
      <c r="L39" s="866"/>
      <c r="M39" s="870"/>
      <c r="N39" s="870"/>
      <c r="O39" s="871"/>
      <c r="P39" s="688"/>
      <c r="Q39" s="688"/>
      <c r="AA39" s="791"/>
      <c r="AB39" s="791"/>
      <c r="AQ39" s="791"/>
      <c r="AR39" s="791"/>
    </row>
    <row r="40" spans="1:44" s="697" customFormat="1" ht="19.5" thickBot="1">
      <c r="A40" s="688"/>
      <c r="B40" s="872" t="s">
        <v>1062</v>
      </c>
      <c r="C40" s="873"/>
      <c r="D40" s="873"/>
      <c r="E40" s="874"/>
      <c r="F40" s="873"/>
      <c r="G40" s="873"/>
      <c r="H40" s="873"/>
      <c r="I40" s="873"/>
      <c r="J40" s="873"/>
      <c r="K40" s="875"/>
      <c r="L40" s="876"/>
      <c r="M40" s="877" t="s">
        <v>56</v>
      </c>
      <c r="N40" s="1225" t="str">
        <f>TEXT(ROUNDDOWN(S8,1),"0.0")&amp;"→"&amp;TEXT(ROUNDDOWN(T8,1),"0.0")</f>
        <v>3.0→3.0</v>
      </c>
      <c r="O40" s="1226"/>
      <c r="P40" s="688"/>
      <c r="Q40" s="688"/>
      <c r="R40" s="858" t="s">
        <v>1053</v>
      </c>
      <c r="S40" s="1824" t="s">
        <v>873</v>
      </c>
      <c r="T40" s="1824" t="s">
        <v>874</v>
      </c>
      <c r="U40" s="1824" t="s">
        <v>875</v>
      </c>
      <c r="V40" s="1825" t="s">
        <v>876</v>
      </c>
      <c r="AA40" s="791"/>
      <c r="AB40" s="791"/>
    </row>
    <row r="41" spans="1:44" s="697" customFormat="1" ht="15">
      <c r="A41" s="688"/>
      <c r="B41" s="743"/>
      <c r="C41" s="880" t="str">
        <f>スコア表示!B9&amp;" "&amp;スコア表示!D9</f>
        <v>Q1 室内環境</v>
      </c>
      <c r="D41" s="881"/>
      <c r="E41" s="881"/>
      <c r="F41" s="881"/>
      <c r="G41" s="881"/>
      <c r="H41" s="881" t="str">
        <f>"     "&amp;スコア表示!B61&amp;" "&amp;スコア表示!D61</f>
        <v xml:space="preserve">     Q2 サービス性能</v>
      </c>
      <c r="I41" s="881"/>
      <c r="J41" s="807"/>
      <c r="K41" s="807"/>
      <c r="L41" s="882" t="str">
        <f>スコア表示!B109&amp;" "&amp;スコア表示!D109</f>
        <v>Q3 室外環境（敷地内）</v>
      </c>
      <c r="M41" s="882"/>
      <c r="N41" s="807"/>
      <c r="O41" s="883"/>
      <c r="P41" s="688"/>
      <c r="Q41" s="863"/>
      <c r="R41" s="730" t="s">
        <v>444</v>
      </c>
      <c r="S41" s="1836">
        <f>'結果(改修前)'!V41</f>
        <v>135.70970836065572</v>
      </c>
      <c r="T41" s="1826"/>
      <c r="U41" s="1827">
        <v>1</v>
      </c>
      <c r="V41" s="1828">
        <f>IF(COUNTIF(S41:T41,W42)&gt;0,W42,SUM(S41:T41))</f>
        <v>135.70970836065572</v>
      </c>
      <c r="W41" s="697" t="e">
        <f>#REF!</f>
        <v>#REF!</v>
      </c>
      <c r="AA41" s="791"/>
      <c r="AB41" s="791"/>
    </row>
    <row r="42" spans="1:44" s="697" customFormat="1" ht="15" customHeight="1" thickBot="1">
      <c r="A42" s="688"/>
      <c r="B42" s="743"/>
      <c r="C42" s="884"/>
      <c r="D42" s="885"/>
      <c r="E42" s="886"/>
      <c r="G42" s="881" t="str">
        <f>TEXT(ROUNDDOWN(S48,1),"0.0")&amp;"→"&amp;TEXT(ROUNDDOWN(U48,1),"0.0")</f>
        <v>3.0→3.0</v>
      </c>
      <c r="I42" s="886"/>
      <c r="K42" s="881" t="str">
        <f>TEXT(ROUNDDOWN(X48,1),"0.0")&amp;"→"&amp;TEXT(ROUNDDOWN(Z48,1),"0.0")</f>
        <v>3.0→3.0</v>
      </c>
      <c r="M42" s="887"/>
      <c r="N42" s="886"/>
      <c r="O42" s="888" t="str">
        <f>TEXT(ROUNDDOWN(AC48,1),"0.0")&amp;"→"&amp;TEXT(ROUNDDOWN(AE48,1),"0.0")</f>
        <v>3.0→3.0</v>
      </c>
      <c r="P42" s="688"/>
      <c r="Q42" s="1820"/>
      <c r="R42" s="730" t="s">
        <v>459</v>
      </c>
      <c r="S42" s="1837">
        <f>'結果(改修後)'!V41</f>
        <v>125.75910891278687</v>
      </c>
      <c r="T42" s="1829"/>
      <c r="U42" s="1830">
        <f>IF(OR($V$41=W42,V42=W42),W42,V42/$V$41)</f>
        <v>0.92667732052430174</v>
      </c>
      <c r="V42" s="1831">
        <f>IF(COUNTIF(S42:T42,W42)&gt;0,W42,SUM(S42:T42))</f>
        <v>125.75910891278687</v>
      </c>
      <c r="W42" s="697" t="s">
        <v>1058</v>
      </c>
      <c r="AA42" s="791"/>
      <c r="AB42" s="791"/>
    </row>
    <row r="43" spans="1:44" s="697" customFormat="1" ht="15" customHeight="1">
      <c r="A43" s="688"/>
      <c r="B43" s="743"/>
      <c r="G43" s="707"/>
      <c r="H43" s="707"/>
      <c r="I43" s="708"/>
      <c r="J43" s="708"/>
      <c r="K43" s="707"/>
      <c r="L43" s="807"/>
      <c r="M43" s="807"/>
      <c r="N43" s="807"/>
      <c r="O43" s="883"/>
      <c r="P43" s="688"/>
      <c r="Q43" s="688"/>
      <c r="R43" s="730" t="s">
        <v>457</v>
      </c>
      <c r="S43" s="1826"/>
      <c r="T43" s="1826">
        <f>'結果(改修前)'!W42</f>
        <v>135.70970836065572</v>
      </c>
      <c r="U43" s="1827">
        <v>1</v>
      </c>
      <c r="V43" s="1828">
        <f>IF(COUNTIF(S43:T43,W43)&gt;0,W43,SUM(S43:T43))</f>
        <v>135.70970836065572</v>
      </c>
      <c r="W43" s="697" t="s">
        <v>982</v>
      </c>
    </row>
    <row r="44" spans="1:44" s="697" customFormat="1" ht="15" customHeight="1" thickBot="1">
      <c r="A44" s="688"/>
      <c r="B44" s="743"/>
      <c r="G44" s="707"/>
      <c r="H44" s="707"/>
      <c r="I44" s="708"/>
      <c r="J44" s="708"/>
      <c r="K44" s="707"/>
      <c r="L44" s="807"/>
      <c r="M44" s="807"/>
      <c r="N44" s="807"/>
      <c r="O44" s="883"/>
      <c r="P44" s="688"/>
      <c r="Q44" s="688"/>
      <c r="R44" s="730" t="s">
        <v>458</v>
      </c>
      <c r="S44" s="1829"/>
      <c r="T44" s="1829">
        <f>'結果(改修後)'!$W$42</f>
        <v>125.75910891278687</v>
      </c>
      <c r="U44" s="1830">
        <f>IF(OR($V$43=W44,V44=W44),W44,V44/$V$43)</f>
        <v>0.92667732052430174</v>
      </c>
      <c r="V44" s="1831">
        <f>IF(COUNTIF(S44:T44,W44)&gt;0,W44,SUM(S44:T44))</f>
        <v>125.75910891278687</v>
      </c>
      <c r="W44" s="697" t="s">
        <v>982</v>
      </c>
      <c r="Y44" s="863"/>
    </row>
    <row r="45" spans="1:44" s="697" customFormat="1" ht="15" customHeight="1" thickBot="1">
      <c r="A45" s="688"/>
      <c r="B45" s="743"/>
      <c r="G45" s="707"/>
      <c r="H45" s="707"/>
      <c r="I45" s="708"/>
      <c r="J45" s="708"/>
      <c r="K45" s="707"/>
      <c r="L45" s="807"/>
      <c r="M45" s="807"/>
      <c r="N45" s="807"/>
      <c r="O45" s="883"/>
      <c r="P45" s="688"/>
      <c r="Q45" s="688"/>
      <c r="AA45" s="791"/>
      <c r="AB45" s="791"/>
    </row>
    <row r="46" spans="1:44" s="697" customFormat="1" ht="15" customHeight="1">
      <c r="A46" s="688"/>
      <c r="B46" s="743"/>
      <c r="G46" s="707"/>
      <c r="H46" s="707"/>
      <c r="I46" s="708"/>
      <c r="J46" s="708"/>
      <c r="K46" s="707"/>
      <c r="L46" s="807"/>
      <c r="M46" s="807"/>
      <c r="N46" s="807"/>
      <c r="O46" s="883"/>
      <c r="P46" s="688"/>
      <c r="Q46" s="688"/>
      <c r="S46" s="1227" t="s">
        <v>92</v>
      </c>
      <c r="T46" s="1228"/>
      <c r="U46" s="1227" t="s">
        <v>93</v>
      </c>
      <c r="V46" s="1228"/>
      <c r="X46" s="1227" t="s">
        <v>92</v>
      </c>
      <c r="Y46" s="1228"/>
      <c r="Z46" s="1227" t="s">
        <v>93</v>
      </c>
      <c r="AA46" s="1228"/>
      <c r="AB46" s="791"/>
      <c r="AC46" s="1227" t="s">
        <v>92</v>
      </c>
      <c r="AD46" s="1228"/>
      <c r="AE46" s="1227" t="s">
        <v>93</v>
      </c>
      <c r="AF46" s="1228"/>
    </row>
    <row r="47" spans="1:44" s="697" customFormat="1" ht="15" customHeight="1">
      <c r="A47" s="688"/>
      <c r="B47" s="743"/>
      <c r="G47" s="707"/>
      <c r="H47" s="707"/>
      <c r="I47" s="708"/>
      <c r="J47" s="708"/>
      <c r="K47" s="707"/>
      <c r="L47" s="807"/>
      <c r="M47" s="807"/>
      <c r="N47" s="807"/>
      <c r="O47" s="883"/>
      <c r="P47" s="688"/>
      <c r="Q47" s="688"/>
      <c r="R47" s="1162"/>
      <c r="S47" s="1229" t="s">
        <v>94</v>
      </c>
      <c r="T47" s="1230" t="s">
        <v>95</v>
      </c>
      <c r="U47" s="1229" t="s">
        <v>94</v>
      </c>
      <c r="V47" s="1230" t="s">
        <v>95</v>
      </c>
      <c r="W47" s="1231"/>
      <c r="X47" s="1163" t="s">
        <v>94</v>
      </c>
      <c r="Y47" s="1173" t="s">
        <v>95</v>
      </c>
      <c r="Z47" s="1163" t="s">
        <v>94</v>
      </c>
      <c r="AA47" s="1173" t="s">
        <v>95</v>
      </c>
      <c r="AB47" s="1231"/>
      <c r="AC47" s="1163" t="s">
        <v>94</v>
      </c>
      <c r="AD47" s="1173" t="s">
        <v>95</v>
      </c>
      <c r="AE47" s="1163" t="s">
        <v>94</v>
      </c>
      <c r="AF47" s="1173" t="s">
        <v>95</v>
      </c>
    </row>
    <row r="48" spans="1:44" s="697" customFormat="1" ht="15" customHeight="1">
      <c r="A48" s="688"/>
      <c r="B48" s="743"/>
      <c r="G48" s="893"/>
      <c r="H48" s="893"/>
      <c r="I48" s="708"/>
      <c r="J48" s="708"/>
      <c r="K48" s="707"/>
      <c r="L48" s="807"/>
      <c r="M48" s="807"/>
      <c r="N48" s="807"/>
      <c r="O48" s="883"/>
      <c r="P48" s="688"/>
      <c r="Q48" s="688"/>
      <c r="R48" s="1232" t="s">
        <v>1063</v>
      </c>
      <c r="S48" s="1233">
        <f>スコア表示!T9</f>
        <v>3</v>
      </c>
      <c r="T48" s="1234">
        <f>スコア表示!AN9</f>
        <v>3</v>
      </c>
      <c r="U48" s="1233">
        <f>スコア表示!U9</f>
        <v>3</v>
      </c>
      <c r="V48" s="1234">
        <f>スコア表示!AO9</f>
        <v>3.0000000000000004</v>
      </c>
      <c r="W48" s="1235" t="s">
        <v>96</v>
      </c>
      <c r="X48" s="1233">
        <f>スコア表示!T61</f>
        <v>3</v>
      </c>
      <c r="Y48" s="1234">
        <f>スコア表示!AN61</f>
        <v>3.0562499999999999</v>
      </c>
      <c r="Z48" s="1233">
        <f>スコア表示!U61</f>
        <v>3</v>
      </c>
      <c r="AA48" s="1234">
        <f>スコア表示!AO61</f>
        <v>3.0000000000000009</v>
      </c>
      <c r="AB48" s="1236" t="s">
        <v>1065</v>
      </c>
      <c r="AC48" s="1233">
        <f>スコア表示!T109</f>
        <v>3</v>
      </c>
      <c r="AD48" s="1234">
        <f>スコア表示!AN109</f>
        <v>3</v>
      </c>
      <c r="AE48" s="1233">
        <f>スコア表示!U109</f>
        <v>3</v>
      </c>
      <c r="AF48" s="1234">
        <f>スコア表示!AO109</f>
        <v>2.9999999999999996</v>
      </c>
    </row>
    <row r="49" spans="1:32" s="697" customFormat="1" ht="15" customHeight="1">
      <c r="A49" s="807"/>
      <c r="B49" s="743"/>
      <c r="G49" s="893"/>
      <c r="H49" s="893"/>
      <c r="I49" s="708"/>
      <c r="J49" s="708"/>
      <c r="K49" s="707"/>
      <c r="L49" s="807"/>
      <c r="M49" s="807"/>
      <c r="N49" s="807"/>
      <c r="O49" s="883"/>
      <c r="P49" s="807"/>
      <c r="Q49" s="688"/>
      <c r="S49" s="743"/>
      <c r="T49" s="744"/>
      <c r="U49" s="743"/>
      <c r="V49" s="744"/>
      <c r="X49" s="743"/>
      <c r="Y49" s="744"/>
      <c r="Z49" s="743"/>
      <c r="AA49" s="744"/>
      <c r="AC49" s="743"/>
      <c r="AD49" s="744"/>
      <c r="AE49" s="743"/>
      <c r="AF49" s="744"/>
    </row>
    <row r="50" spans="1:32" s="697" customFormat="1" ht="15" customHeight="1">
      <c r="A50" s="807"/>
      <c r="B50" s="743"/>
      <c r="G50" s="894"/>
      <c r="H50" s="895"/>
      <c r="I50" s="896"/>
      <c r="J50" s="896"/>
      <c r="K50" s="897"/>
      <c r="L50" s="898"/>
      <c r="M50" s="898"/>
      <c r="N50" s="898"/>
      <c r="O50" s="899"/>
      <c r="P50" s="807"/>
      <c r="Q50" s="688"/>
      <c r="R50" s="1162"/>
      <c r="S50" s="1163" t="s">
        <v>94</v>
      </c>
      <c r="T50" s="1173" t="s">
        <v>97</v>
      </c>
      <c r="U50" s="1163" t="s">
        <v>94</v>
      </c>
      <c r="V50" s="1173" t="s">
        <v>97</v>
      </c>
      <c r="W50" s="1231"/>
      <c r="X50" s="1163" t="s">
        <v>94</v>
      </c>
      <c r="Y50" s="1173" t="s">
        <v>97</v>
      </c>
      <c r="Z50" s="1163" t="s">
        <v>94</v>
      </c>
      <c r="AA50" s="1173" t="s">
        <v>97</v>
      </c>
      <c r="AB50" s="1231"/>
      <c r="AC50" s="1163" t="s">
        <v>94</v>
      </c>
      <c r="AD50" s="1173" t="s">
        <v>97</v>
      </c>
      <c r="AE50" s="1163" t="s">
        <v>94</v>
      </c>
      <c r="AF50" s="1173" t="s">
        <v>97</v>
      </c>
    </row>
    <row r="51" spans="1:32" s="697" customFormat="1" ht="18" customHeight="1">
      <c r="A51" s="900"/>
      <c r="B51" s="901" t="s">
        <v>1194</v>
      </c>
      <c r="C51" s="902"/>
      <c r="D51" s="903"/>
      <c r="E51" s="902"/>
      <c r="F51" s="902"/>
      <c r="G51" s="902"/>
      <c r="H51" s="873"/>
      <c r="I51" s="873"/>
      <c r="J51" s="873"/>
      <c r="K51" s="875"/>
      <c r="L51" s="876"/>
      <c r="M51" s="877" t="s">
        <v>1195</v>
      </c>
      <c r="N51" s="1225" t="str">
        <f>TEXT(ROUNDDOWN(S9,1),"0.0")&amp;"→"&amp;TEXT(ROUNDDOWN(T9,1),"0.0")</f>
        <v>3.1→3.3</v>
      </c>
      <c r="O51" s="1226"/>
      <c r="P51" s="688"/>
      <c r="Q51" s="688"/>
      <c r="R51" s="1237" t="s">
        <v>1066</v>
      </c>
      <c r="S51" s="1233">
        <f>スコア表示!T10</f>
        <v>3</v>
      </c>
      <c r="T51" s="1238" t="str">
        <f>IF(S51=0,"N.A.","")</f>
        <v/>
      </c>
      <c r="U51" s="1233">
        <f>スコア表示!U10</f>
        <v>3</v>
      </c>
      <c r="V51" s="1238" t="str">
        <f>IF(U51=0,"N.A.","")</f>
        <v/>
      </c>
      <c r="W51" s="1235" t="s">
        <v>1067</v>
      </c>
      <c r="X51" s="1233">
        <f>スコア表示!T62</f>
        <v>3</v>
      </c>
      <c r="Y51" s="1238" t="str">
        <f>IF(X51=0,"N.A.","")</f>
        <v/>
      </c>
      <c r="Z51" s="1233">
        <f>スコア表示!U62</f>
        <v>3</v>
      </c>
      <c r="AA51" s="1238" t="str">
        <f>IF(Z51=0,"N.A.","")</f>
        <v/>
      </c>
      <c r="AB51" s="1239" t="s">
        <v>1068</v>
      </c>
      <c r="AC51" s="1233">
        <f>スコア表示!T110</f>
        <v>3</v>
      </c>
      <c r="AD51" s="1238" t="str">
        <f>IF(AC51=0,"N.A.","")</f>
        <v/>
      </c>
      <c r="AE51" s="1233">
        <f>スコア表示!U110</f>
        <v>3</v>
      </c>
      <c r="AF51" s="1238" t="str">
        <f>IF(AE51=0,"N.A.","")</f>
        <v/>
      </c>
    </row>
    <row r="52" spans="1:32" s="697" customFormat="1" ht="15">
      <c r="A52" s="688"/>
      <c r="B52" s="905"/>
      <c r="C52" s="882" t="str">
        <f>スコア表示!B117&amp;" "&amp;スコア表示!D117</f>
        <v>LR1 エネルギー</v>
      </c>
      <c r="D52" s="882"/>
      <c r="E52" s="906"/>
      <c r="F52" s="882"/>
      <c r="G52" s="882"/>
      <c r="H52" s="882" t="str">
        <f>"     "&amp;スコア表示!B140&amp;" "&amp;スコア表示!D140</f>
        <v xml:space="preserve">     LR2 資源・マテリアル</v>
      </c>
      <c r="I52" s="882"/>
      <c r="J52" s="882"/>
      <c r="K52" s="882"/>
      <c r="L52" s="880" t="str">
        <f>スコア表示!B159&amp;" "&amp;スコア表示!D159</f>
        <v>LR3 敷地外環境</v>
      </c>
      <c r="M52" s="882"/>
      <c r="N52" s="882"/>
      <c r="O52" s="907"/>
      <c r="P52" s="688"/>
      <c r="Q52" s="688"/>
      <c r="R52" s="1237" t="s">
        <v>1069</v>
      </c>
      <c r="S52" s="1233">
        <f>スコア表示!T20</f>
        <v>3</v>
      </c>
      <c r="T52" s="1238" t="str">
        <f>IF(S52=0,"N.A.","")</f>
        <v/>
      </c>
      <c r="U52" s="1233">
        <f>スコア表示!U20</f>
        <v>3</v>
      </c>
      <c r="V52" s="1238" t="str">
        <f>IF(U52=0,"N.A.","")</f>
        <v/>
      </c>
      <c r="W52" s="1235" t="s">
        <v>1188</v>
      </c>
      <c r="X52" s="1233">
        <f>スコア表示!T75</f>
        <v>3.1</v>
      </c>
      <c r="Y52" s="1238" t="str">
        <f>IF(X52=0,"N.A.","")</f>
        <v/>
      </c>
      <c r="Z52" s="1233">
        <f>スコア表示!U75</f>
        <v>3</v>
      </c>
      <c r="AA52" s="1238" t="str">
        <f>IF(Z52=0,"N.A.","")</f>
        <v/>
      </c>
      <c r="AB52" s="1239" t="s">
        <v>98</v>
      </c>
      <c r="AC52" s="1233">
        <f>スコア表示!T111</f>
        <v>3</v>
      </c>
      <c r="AD52" s="1238" t="str">
        <f>IF(AC52=0,"N.A.","")</f>
        <v/>
      </c>
      <c r="AE52" s="1233">
        <f>スコア表示!U111</f>
        <v>3</v>
      </c>
      <c r="AF52" s="1238" t="str">
        <f>IF(AE52=0,"N.A.","")</f>
        <v/>
      </c>
    </row>
    <row r="53" spans="1:32" s="697" customFormat="1" ht="15">
      <c r="A53" s="807"/>
      <c r="B53" s="727"/>
      <c r="C53" s="884"/>
      <c r="D53" s="885"/>
      <c r="E53" s="886"/>
      <c r="G53" s="881" t="str">
        <f>TEXT(ROUNDDOWN(S59,1),"0.0")&amp;"→"&amp;TEXT(ROUNDDOWN(U59,1),"0.0")</f>
        <v>3.2→3.7</v>
      </c>
      <c r="I53" s="886"/>
      <c r="K53" s="881" t="str">
        <f>TEXT(ROUNDDOWN(X59,1),"0.0")&amp;"→"&amp;TEXT(ROUNDDOWN(Z59,1),"0.0")</f>
        <v>3.0→3.0</v>
      </c>
      <c r="L53" s="886"/>
      <c r="N53" s="908"/>
      <c r="O53" s="888" t="str">
        <f>TEXT(ROUNDDOWN(AC59,1),"0.0")&amp;"→"&amp;TEXT(ROUNDDOWN(AE59,1),"0.0")</f>
        <v>3.1→3.1</v>
      </c>
      <c r="P53" s="807"/>
      <c r="Q53" s="688"/>
      <c r="R53" s="1237" t="s">
        <v>1190</v>
      </c>
      <c r="S53" s="1233">
        <f>スコア表示!T34</f>
        <v>3</v>
      </c>
      <c r="T53" s="1238" t="str">
        <f>IF(S53=0,"N.A.","")</f>
        <v/>
      </c>
      <c r="U53" s="1233">
        <f>スコア表示!U34</f>
        <v>3</v>
      </c>
      <c r="V53" s="1238" t="str">
        <f>IF(U53=0,"N.A.","")</f>
        <v/>
      </c>
      <c r="W53" s="1235" t="s">
        <v>1191</v>
      </c>
      <c r="X53" s="1233">
        <f>スコア表示!T97</f>
        <v>3</v>
      </c>
      <c r="Y53" s="1238" t="str">
        <f>IF(X53=0,"N.A.","")</f>
        <v/>
      </c>
      <c r="Z53" s="1233">
        <f>スコア表示!U97</f>
        <v>3</v>
      </c>
      <c r="AA53" s="1238" t="str">
        <f>IF(Z53=0,"N.A.","")</f>
        <v/>
      </c>
      <c r="AB53" s="1239" t="s">
        <v>1192</v>
      </c>
      <c r="AC53" s="1233">
        <f>スコア表示!T112</f>
        <v>3</v>
      </c>
      <c r="AD53" s="1238" t="str">
        <f>IF(AC53=0,"N.A.","")</f>
        <v/>
      </c>
      <c r="AE53" s="1233">
        <f>スコア表示!U112</f>
        <v>3</v>
      </c>
      <c r="AF53" s="1238" t="str">
        <f>IF(AE53=0,"N.A.","")</f>
        <v/>
      </c>
    </row>
    <row r="54" spans="1:32" s="697" customFormat="1" ht="14.25">
      <c r="A54" s="807"/>
      <c r="B54" s="727"/>
      <c r="C54" s="909"/>
      <c r="D54" s="909"/>
      <c r="E54" s="910"/>
      <c r="F54" s="894"/>
      <c r="G54" s="894"/>
      <c r="H54" s="894"/>
      <c r="I54" s="708"/>
      <c r="J54" s="708"/>
      <c r="K54" s="707"/>
      <c r="L54" s="707"/>
      <c r="M54" s="728"/>
      <c r="N54" s="728"/>
      <c r="O54" s="729"/>
      <c r="P54" s="807"/>
      <c r="Q54" s="688"/>
      <c r="R54" s="1237" t="s">
        <v>1193</v>
      </c>
      <c r="S54" s="1233">
        <f>スコア表示!T47</f>
        <v>3</v>
      </c>
      <c r="T54" s="1238" t="str">
        <f>IF(S54=0,"N.A.","")</f>
        <v/>
      </c>
      <c r="U54" s="1233">
        <f>スコア表示!U47</f>
        <v>3</v>
      </c>
      <c r="V54" s="1238" t="str">
        <f>IF(U54=0,"N.A.","")</f>
        <v/>
      </c>
      <c r="W54" s="791"/>
      <c r="X54" s="1240"/>
      <c r="Y54" s="1241"/>
      <c r="Z54" s="1240"/>
      <c r="AA54" s="1241"/>
      <c r="AB54" s="791"/>
      <c r="AC54" s="1240"/>
      <c r="AD54" s="1241"/>
      <c r="AE54" s="1240"/>
      <c r="AF54" s="1241"/>
    </row>
    <row r="55" spans="1:32" s="697" customFormat="1" ht="15.75" customHeight="1">
      <c r="A55" s="688"/>
      <c r="B55" s="727"/>
      <c r="C55" s="728"/>
      <c r="D55" s="912"/>
      <c r="E55" s="706"/>
      <c r="F55" s="707"/>
      <c r="G55" s="707"/>
      <c r="H55" s="707"/>
      <c r="I55" s="913"/>
      <c r="J55" s="708"/>
      <c r="K55" s="707"/>
      <c r="L55" s="707"/>
      <c r="M55" s="728"/>
      <c r="N55" s="728"/>
      <c r="O55" s="729"/>
      <c r="P55" s="688"/>
      <c r="Q55" s="688"/>
      <c r="R55" s="791"/>
      <c r="S55" s="1240"/>
      <c r="T55" s="1242"/>
      <c r="U55" s="1240"/>
      <c r="V55" s="1242"/>
      <c r="W55" s="791"/>
      <c r="X55" s="1240"/>
      <c r="Y55" s="1241"/>
      <c r="Z55" s="1240"/>
      <c r="AA55" s="1241"/>
      <c r="AB55" s="791"/>
      <c r="AC55" s="1240"/>
      <c r="AD55" s="1241"/>
      <c r="AE55" s="1240"/>
      <c r="AF55" s="1241"/>
    </row>
    <row r="56" spans="1:32" s="697" customFormat="1" ht="15.75" customHeight="1">
      <c r="A56" s="688"/>
      <c r="B56" s="727"/>
      <c r="C56" s="704"/>
      <c r="D56" s="705"/>
      <c r="E56" s="706"/>
      <c r="F56" s="707"/>
      <c r="G56" s="707"/>
      <c r="H56" s="707"/>
      <c r="I56" s="913"/>
      <c r="J56" s="708"/>
      <c r="K56" s="707"/>
      <c r="L56" s="707"/>
      <c r="M56" s="728"/>
      <c r="N56" s="728"/>
      <c r="O56" s="729"/>
      <c r="P56" s="688"/>
      <c r="Q56" s="688"/>
      <c r="R56" s="791"/>
      <c r="S56" s="1240"/>
      <c r="T56" s="1241"/>
      <c r="U56" s="1240"/>
      <c r="V56" s="1241"/>
      <c r="W56" s="791"/>
      <c r="X56" s="1240"/>
      <c r="Y56" s="1241"/>
      <c r="Z56" s="1240"/>
      <c r="AA56" s="1241"/>
      <c r="AB56" s="791"/>
      <c r="AC56" s="1240"/>
      <c r="AD56" s="1241"/>
      <c r="AE56" s="1240"/>
      <c r="AF56" s="1241"/>
    </row>
    <row r="57" spans="1:32" s="697" customFormat="1" ht="15.75" customHeight="1">
      <c r="A57" s="688"/>
      <c r="B57" s="915"/>
      <c r="C57" s="704"/>
      <c r="D57" s="705"/>
      <c r="E57" s="706"/>
      <c r="F57" s="707"/>
      <c r="G57" s="707"/>
      <c r="H57" s="707"/>
      <c r="I57" s="913"/>
      <c r="J57" s="708"/>
      <c r="K57" s="707"/>
      <c r="L57" s="707"/>
      <c r="M57" s="728"/>
      <c r="N57" s="728"/>
      <c r="O57" s="729"/>
      <c r="P57" s="688"/>
      <c r="Q57" s="688"/>
      <c r="S57" s="743"/>
      <c r="T57" s="744"/>
      <c r="U57" s="743"/>
      <c r="V57" s="744"/>
      <c r="X57" s="743"/>
      <c r="Y57" s="744"/>
      <c r="Z57" s="743"/>
      <c r="AA57" s="744"/>
      <c r="AC57" s="743"/>
      <c r="AD57" s="744"/>
      <c r="AE57" s="743"/>
      <c r="AF57" s="744"/>
    </row>
    <row r="58" spans="1:32" s="697" customFormat="1" ht="15.75" customHeight="1">
      <c r="A58" s="688"/>
      <c r="B58" s="915"/>
      <c r="C58" s="704"/>
      <c r="D58" s="705"/>
      <c r="E58" s="706"/>
      <c r="F58" s="707"/>
      <c r="G58" s="707"/>
      <c r="H58" s="707"/>
      <c r="I58" s="913"/>
      <c r="J58" s="708"/>
      <c r="K58" s="707"/>
      <c r="L58" s="707"/>
      <c r="M58" s="728"/>
      <c r="N58" s="728"/>
      <c r="O58" s="729"/>
      <c r="P58" s="688"/>
      <c r="Q58" s="688"/>
      <c r="R58" s="1162"/>
      <c r="S58" s="1163" t="s">
        <v>94</v>
      </c>
      <c r="T58" s="1173" t="s">
        <v>95</v>
      </c>
      <c r="U58" s="1163" t="s">
        <v>94</v>
      </c>
      <c r="V58" s="1173" t="s">
        <v>95</v>
      </c>
      <c r="W58" s="1231"/>
      <c r="X58" s="1163" t="s">
        <v>94</v>
      </c>
      <c r="Y58" s="1173" t="s">
        <v>95</v>
      </c>
      <c r="Z58" s="1163" t="s">
        <v>94</v>
      </c>
      <c r="AA58" s="1173" t="s">
        <v>95</v>
      </c>
      <c r="AB58" s="1231"/>
      <c r="AC58" s="1163" t="s">
        <v>94</v>
      </c>
      <c r="AD58" s="1173" t="s">
        <v>95</v>
      </c>
      <c r="AE58" s="1163" t="s">
        <v>94</v>
      </c>
      <c r="AF58" s="1173" t="s">
        <v>95</v>
      </c>
    </row>
    <row r="59" spans="1:32" s="697" customFormat="1" ht="15.75" customHeight="1">
      <c r="A59" s="688"/>
      <c r="B59" s="915"/>
      <c r="C59" s="704"/>
      <c r="D59" s="705"/>
      <c r="E59" s="706"/>
      <c r="F59" s="707"/>
      <c r="G59" s="707"/>
      <c r="H59" s="707"/>
      <c r="I59" s="913"/>
      <c r="J59" s="708"/>
      <c r="K59" s="707"/>
      <c r="L59" s="707"/>
      <c r="M59" s="728"/>
      <c r="N59" s="728"/>
      <c r="O59" s="729"/>
      <c r="P59" s="688"/>
      <c r="Q59" s="688"/>
      <c r="R59" s="1243" t="s">
        <v>99</v>
      </c>
      <c r="S59" s="1233">
        <f>スコア表示!T117</f>
        <v>3.2</v>
      </c>
      <c r="T59" s="1234">
        <f>スコア表示!AN117</f>
        <v>3.2</v>
      </c>
      <c r="U59" s="1233">
        <f>スコア表示!U117</f>
        <v>3.7</v>
      </c>
      <c r="V59" s="1234">
        <f>スコア表示!AO117</f>
        <v>3.6999999999999997</v>
      </c>
      <c r="W59" s="1235" t="s">
        <v>1199</v>
      </c>
      <c r="X59" s="1233">
        <f>スコア表示!T140</f>
        <v>3</v>
      </c>
      <c r="Y59" s="1234">
        <f>スコア表示!AN140</f>
        <v>3.0000000000000004</v>
      </c>
      <c r="Z59" s="1233">
        <f>スコア表示!U140</f>
        <v>3</v>
      </c>
      <c r="AA59" s="1234">
        <f>スコア表示!AO140</f>
        <v>3.0000000000000004</v>
      </c>
      <c r="AB59" s="1235" t="s">
        <v>1200</v>
      </c>
      <c r="AC59" s="1233">
        <f>スコア表示!T159</f>
        <v>3.1</v>
      </c>
      <c r="AD59" s="1234">
        <f>スコア表示!AN159</f>
        <v>3.0999999999999996</v>
      </c>
      <c r="AE59" s="1233">
        <f>スコア表示!U159</f>
        <v>3.1</v>
      </c>
      <c r="AF59" s="1234">
        <f>スコア表示!AO159</f>
        <v>3.1</v>
      </c>
    </row>
    <row r="60" spans="1:32" s="697" customFormat="1" ht="15.75" customHeight="1">
      <c r="A60" s="688"/>
      <c r="B60" s="915"/>
      <c r="C60" s="704"/>
      <c r="D60" s="705"/>
      <c r="E60" s="706"/>
      <c r="F60" s="707"/>
      <c r="G60" s="707"/>
      <c r="H60" s="707"/>
      <c r="I60" s="913"/>
      <c r="J60" s="708"/>
      <c r="K60" s="707"/>
      <c r="L60" s="707"/>
      <c r="M60" s="728"/>
      <c r="N60" s="728"/>
      <c r="O60" s="729"/>
      <c r="P60" s="688"/>
      <c r="Q60" s="688"/>
      <c r="S60" s="743"/>
      <c r="T60" s="744"/>
      <c r="U60" s="743"/>
      <c r="V60" s="744"/>
      <c r="X60" s="743"/>
      <c r="Y60" s="744"/>
      <c r="Z60" s="743"/>
      <c r="AA60" s="744"/>
      <c r="AC60" s="1244"/>
      <c r="AD60" s="744"/>
      <c r="AE60" s="1244"/>
      <c r="AF60" s="744"/>
    </row>
    <row r="61" spans="1:32" s="697" customFormat="1" ht="15.75" customHeight="1" thickBot="1">
      <c r="A61" s="688"/>
      <c r="B61" s="919"/>
      <c r="C61" s="920"/>
      <c r="D61" s="921"/>
      <c r="E61" s="920"/>
      <c r="F61" s="922"/>
      <c r="G61" s="922"/>
      <c r="H61" s="922"/>
      <c r="I61" s="923"/>
      <c r="J61" s="815"/>
      <c r="K61" s="815"/>
      <c r="L61" s="815"/>
      <c r="M61" s="924"/>
      <c r="N61" s="924"/>
      <c r="O61" s="925"/>
      <c r="P61" s="688"/>
      <c r="Q61" s="688"/>
      <c r="R61" s="1162"/>
      <c r="S61" s="1163" t="s">
        <v>94</v>
      </c>
      <c r="T61" s="1173" t="s">
        <v>97</v>
      </c>
      <c r="U61" s="1163" t="s">
        <v>94</v>
      </c>
      <c r="V61" s="1173" t="s">
        <v>97</v>
      </c>
      <c r="W61" s="1231"/>
      <c r="X61" s="1163" t="s">
        <v>94</v>
      </c>
      <c r="Y61" s="1173" t="s">
        <v>97</v>
      </c>
      <c r="Z61" s="1163" t="s">
        <v>94</v>
      </c>
      <c r="AA61" s="1173" t="s">
        <v>97</v>
      </c>
      <c r="AB61" s="1231"/>
      <c r="AC61" s="1163" t="s">
        <v>94</v>
      </c>
      <c r="AD61" s="1173" t="s">
        <v>97</v>
      </c>
      <c r="AE61" s="1163" t="s">
        <v>94</v>
      </c>
      <c r="AF61" s="1173" t="s">
        <v>97</v>
      </c>
    </row>
    <row r="62" spans="1:32" s="697" customFormat="1" ht="6" customHeight="1" thickBot="1">
      <c r="A62" s="688"/>
      <c r="B62" s="927"/>
      <c r="C62" s="913"/>
      <c r="D62" s="928"/>
      <c r="E62" s="706"/>
      <c r="F62" s="707"/>
      <c r="G62" s="707"/>
      <c r="H62" s="707"/>
      <c r="I62" s="708"/>
      <c r="J62" s="708"/>
      <c r="K62" s="707"/>
      <c r="L62" s="707"/>
      <c r="M62" s="728"/>
      <c r="N62" s="728"/>
      <c r="O62" s="728"/>
      <c r="P62" s="688"/>
      <c r="Q62" s="807"/>
      <c r="R62" s="1243" t="s">
        <v>1203</v>
      </c>
      <c r="S62" s="1233">
        <f>スコア表示!T118</f>
        <v>4</v>
      </c>
      <c r="T62" s="1238" t="str">
        <f>IF(S62=0,"N.A.","")</f>
        <v/>
      </c>
      <c r="U62" s="1233">
        <f>スコア表示!U118</f>
        <v>4</v>
      </c>
      <c r="V62" s="1238" t="str">
        <f>IF(U62=0,"N.A.","")</f>
        <v/>
      </c>
      <c r="W62" s="1245" t="s">
        <v>1204</v>
      </c>
      <c r="X62" s="1233">
        <f>スコア表示!T141</f>
        <v>3</v>
      </c>
      <c r="Y62" s="1238" t="str">
        <f>IF(X62=0,"N.A.","")</f>
        <v/>
      </c>
      <c r="Z62" s="1233">
        <f>スコア表示!U141</f>
        <v>3</v>
      </c>
      <c r="AA62" s="1238" t="str">
        <f>IF(Z62=0,"N.A.","")</f>
        <v/>
      </c>
      <c r="AB62" s="1235" t="s">
        <v>1205</v>
      </c>
      <c r="AC62" s="1233">
        <f>スコア表示!T160</f>
        <v>3.3</v>
      </c>
      <c r="AD62" s="1238" t="str">
        <f>IF(AC62=0,"N.A.","")</f>
        <v/>
      </c>
      <c r="AE62" s="1233">
        <f>スコア表示!U160</f>
        <v>3.3</v>
      </c>
      <c r="AF62" s="1238" t="str">
        <f>IF(AE62=0,"N.A.","")</f>
        <v/>
      </c>
    </row>
    <row r="63" spans="1:32" s="697" customFormat="1" ht="15.75">
      <c r="A63" s="688"/>
      <c r="B63" s="825" t="s">
        <v>6</v>
      </c>
      <c r="C63" s="929"/>
      <c r="D63" s="930"/>
      <c r="E63" s="929"/>
      <c r="F63" s="929"/>
      <c r="G63" s="929"/>
      <c r="H63" s="931"/>
      <c r="I63" s="932"/>
      <c r="J63" s="929"/>
      <c r="K63" s="929"/>
      <c r="L63" s="929"/>
      <c r="M63" s="933"/>
      <c r="N63" s="933"/>
      <c r="O63" s="934"/>
      <c r="P63" s="688"/>
      <c r="Q63" s="807"/>
      <c r="R63" s="1243" t="s">
        <v>1206</v>
      </c>
      <c r="S63" s="1233">
        <f>スコア表示!T119</f>
        <v>3</v>
      </c>
      <c r="T63" s="1238" t="str">
        <f>IF(S63=0,"N.A.","")</f>
        <v/>
      </c>
      <c r="U63" s="1233">
        <f>スコア表示!U119</f>
        <v>3</v>
      </c>
      <c r="V63" s="1238" t="str">
        <f>IF(U63=0,"N.A.","")</f>
        <v/>
      </c>
      <c r="W63" s="1245" t="s">
        <v>0</v>
      </c>
      <c r="X63" s="1233">
        <f>スコア表示!T146</f>
        <v>3</v>
      </c>
      <c r="Y63" s="1238" t="str">
        <f>IF(X63=0,"N.A.","")</f>
        <v/>
      </c>
      <c r="Z63" s="1233">
        <f>スコア表示!U146</f>
        <v>3</v>
      </c>
      <c r="AA63" s="1238" t="str">
        <f>IF(Z63=0,"N.A.","")</f>
        <v/>
      </c>
      <c r="AB63" s="1235" t="s">
        <v>1</v>
      </c>
      <c r="AC63" s="1233">
        <f>スコア表示!T161</f>
        <v>3</v>
      </c>
      <c r="AD63" s="1238" t="str">
        <f>IF(AC63=0,"N.A.","")</f>
        <v/>
      </c>
      <c r="AE63" s="1233">
        <f>スコア表示!U161</f>
        <v>3</v>
      </c>
      <c r="AF63" s="1238" t="str">
        <f>IF(AE63=0,"N.A.","")</f>
        <v/>
      </c>
    </row>
    <row r="64" spans="1:32" s="697" customFormat="1" ht="15" thickBot="1">
      <c r="A64" s="688"/>
      <c r="B64" s="935" t="s">
        <v>7</v>
      </c>
      <c r="C64" s="936"/>
      <c r="D64" s="937"/>
      <c r="E64" s="936"/>
      <c r="F64" s="936"/>
      <c r="G64" s="936"/>
      <c r="H64" s="936"/>
      <c r="I64" s="936"/>
      <c r="J64" s="936"/>
      <c r="K64" s="938"/>
      <c r="L64" s="939" t="s">
        <v>8</v>
      </c>
      <c r="M64" s="940"/>
      <c r="N64" s="940"/>
      <c r="O64" s="941"/>
      <c r="P64" s="688"/>
      <c r="Q64" s="807"/>
      <c r="R64" s="1243" t="s">
        <v>2</v>
      </c>
      <c r="S64" s="1233">
        <f>スコア表示!T124</f>
        <v>3</v>
      </c>
      <c r="T64" s="1238" t="str">
        <f>IF(S64=0,"N.A.","")</f>
        <v/>
      </c>
      <c r="U64" s="1233">
        <f>スコア表示!U124</f>
        <v>4</v>
      </c>
      <c r="V64" s="1238" t="str">
        <f>IF(U64=0,"N.A.","")</f>
        <v/>
      </c>
      <c r="W64" s="1246" t="s">
        <v>3</v>
      </c>
      <c r="X64" s="1247">
        <f>スコア表示!T153</f>
        <v>3</v>
      </c>
      <c r="Y64" s="1248" t="str">
        <f>IF(X64=0,"N.A.","")</f>
        <v/>
      </c>
      <c r="Z64" s="1247">
        <f>スコア表示!U153</f>
        <v>3</v>
      </c>
      <c r="AA64" s="1248" t="str">
        <f>IF(Z64=0,"N.A.","")</f>
        <v/>
      </c>
      <c r="AB64" s="1235" t="s">
        <v>4</v>
      </c>
      <c r="AC64" s="1249">
        <f>スコア表示!T169</f>
        <v>3</v>
      </c>
      <c r="AD64" s="1248" t="str">
        <f>IF(AC64=0,"N.A.","")</f>
        <v/>
      </c>
      <c r="AE64" s="1249">
        <f>スコア表示!U169</f>
        <v>3</v>
      </c>
      <c r="AF64" s="1248" t="str">
        <f>IF(AE64=0,"N.A.","")</f>
        <v/>
      </c>
    </row>
    <row r="65" spans="1:42" s="697" customFormat="1" ht="52.5" customHeight="1" thickBot="1">
      <c r="A65" s="688"/>
      <c r="B65" s="2812" t="str">
        <f>IF(配慮!C7=0,"",配慮!C7)</f>
        <v>注）　改修における総合的なコンセプトを簡潔に記載してください。
　（省エネ改修、室内環境改善、外装の更新、高耐久化、情報化対応、コンバージョンなど）</v>
      </c>
      <c r="C65" s="2813"/>
      <c r="D65" s="2813"/>
      <c r="E65" s="2813"/>
      <c r="F65" s="2813"/>
      <c r="G65" s="2813"/>
      <c r="H65" s="2813"/>
      <c r="I65" s="2813"/>
      <c r="J65" s="2813"/>
      <c r="K65" s="2814"/>
      <c r="L65" s="2804" t="str">
        <f>配慮!C14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M65" s="2805"/>
      <c r="N65" s="2805"/>
      <c r="O65" s="2806"/>
      <c r="P65" s="688"/>
      <c r="Q65" s="807"/>
      <c r="R65" s="1243" t="s">
        <v>5</v>
      </c>
      <c r="S65" s="1249">
        <f>スコア表示!T133</f>
        <v>3</v>
      </c>
      <c r="T65" s="1248" t="str">
        <f>IF(S65=0,"N.A.","")</f>
        <v/>
      </c>
      <c r="U65" s="1249">
        <f>スコア表示!U133</f>
        <v>3</v>
      </c>
      <c r="V65" s="1248" t="str">
        <f>IF(U65=0,"N.A.","")</f>
        <v/>
      </c>
      <c r="W65" s="791"/>
      <c r="X65" s="918"/>
      <c r="Y65" s="918"/>
      <c r="Z65" s="918"/>
      <c r="AA65" s="918"/>
      <c r="AB65" s="918"/>
    </row>
    <row r="66" spans="1:42" s="697" customFormat="1" ht="15">
      <c r="A66" s="688"/>
      <c r="B66" s="942" t="str">
        <f>配慮!B8</f>
        <v>Q1 
室内環境</v>
      </c>
      <c r="C66" s="940"/>
      <c r="D66" s="940"/>
      <c r="E66" s="940"/>
      <c r="F66" s="940"/>
      <c r="G66" s="943"/>
      <c r="H66" s="944" t="str">
        <f>配慮!B9</f>
        <v>Q2 
サービス性能</v>
      </c>
      <c r="I66" s="945"/>
      <c r="J66" s="945"/>
      <c r="K66" s="946"/>
      <c r="L66" s="947" t="str">
        <f>配慮!B10</f>
        <v>Q3 
室外環境（敷地内）</v>
      </c>
      <c r="M66" s="948"/>
      <c r="N66" s="949"/>
      <c r="O66" s="950"/>
      <c r="P66" s="688"/>
      <c r="Q66" s="807"/>
      <c r="R66" s="791"/>
      <c r="S66" s="791"/>
      <c r="T66" s="791"/>
      <c r="U66" s="791"/>
      <c r="V66" s="918"/>
    </row>
    <row r="67" spans="1:42" s="697" customFormat="1" ht="50.25" customHeight="1">
      <c r="A67" s="688"/>
      <c r="B67" s="2810" t="str">
        <f>IF(配慮!C8=0,"",配慮!C8)</f>
        <v>注）　改修における「Q1　室内環境」に対する配慮事項を簡潔に記載してください。</v>
      </c>
      <c r="C67" s="2805"/>
      <c r="D67" s="2805"/>
      <c r="E67" s="2805"/>
      <c r="F67" s="2805"/>
      <c r="G67" s="2811"/>
      <c r="H67" s="2807" t="str">
        <f>IF(配慮!C9=0,"",配慮!C9)</f>
        <v>注）　改修における「Q2　サービス性能」に対する配慮事項を簡潔に記載してください。</v>
      </c>
      <c r="I67" s="2805"/>
      <c r="J67" s="2805"/>
      <c r="K67" s="2811"/>
      <c r="L67" s="2807" t="str">
        <f>IF(配慮!C10=0,"",配慮!C10)</f>
        <v>注）　改修における「Q3　室外環境（敷地内）」に対する配慮事項を簡潔に記載してください。</v>
      </c>
      <c r="M67" s="2805"/>
      <c r="N67" s="2805"/>
      <c r="O67" s="2806"/>
      <c r="P67" s="688"/>
      <c r="Q67" s="807"/>
      <c r="R67" s="926"/>
      <c r="S67" s="791"/>
      <c r="T67" s="791"/>
      <c r="U67" s="791"/>
      <c r="V67" s="918"/>
      <c r="W67" s="918"/>
      <c r="X67" s="918"/>
      <c r="Y67" s="918"/>
      <c r="Z67" s="918"/>
      <c r="AA67" s="791"/>
      <c r="AB67" s="791"/>
    </row>
    <row r="68" spans="1:42" s="697" customFormat="1" ht="15">
      <c r="A68" s="688"/>
      <c r="B68" s="951" t="str">
        <f>配慮!B11</f>
        <v>LR1 
エネルギー</v>
      </c>
      <c r="C68" s="952"/>
      <c r="D68" s="937"/>
      <c r="E68" s="937"/>
      <c r="F68" s="937"/>
      <c r="G68" s="953"/>
      <c r="H68" s="954" t="str">
        <f>配慮!B12</f>
        <v>LR2 
資源・マテリアル</v>
      </c>
      <c r="I68" s="940"/>
      <c r="J68" s="940"/>
      <c r="K68" s="943"/>
      <c r="L68" s="955" t="str">
        <f>配慮!B13</f>
        <v>LR3 
敷地外環境</v>
      </c>
      <c r="M68" s="952"/>
      <c r="N68" s="937"/>
      <c r="O68" s="956"/>
      <c r="P68" s="688"/>
      <c r="Q68" s="807"/>
      <c r="R68" s="791"/>
      <c r="S68" s="791"/>
      <c r="T68" s="791"/>
      <c r="U68" s="791"/>
      <c r="V68" s="918"/>
      <c r="W68" s="918"/>
      <c r="X68" s="918"/>
      <c r="Y68" s="918"/>
      <c r="Z68" s="918"/>
      <c r="AA68" s="791"/>
      <c r="AB68" s="791"/>
    </row>
    <row r="69" spans="1:42" s="697" customFormat="1" ht="61.5" customHeight="1" thickBot="1">
      <c r="A69" s="688"/>
      <c r="B69" s="2815" t="str">
        <f>IF(配慮!C11=0,"",配慮!C11)</f>
        <v>注）　改修における「LR1　エネルギー」に対する配慮事項を簡潔に記載してください。</v>
      </c>
      <c r="C69" s="2794"/>
      <c r="D69" s="2794"/>
      <c r="E69" s="2794"/>
      <c r="F69" s="2794"/>
      <c r="G69" s="2816"/>
      <c r="H69" s="2793" t="str">
        <f>IF(配慮!C12=0,"",配慮!C12)</f>
        <v>注）　改修における「LR2　資源・マテリアル」に対する配慮事項を簡潔に記載してください。</v>
      </c>
      <c r="I69" s="2794"/>
      <c r="J69" s="2794"/>
      <c r="K69" s="2816"/>
      <c r="L69" s="2793" t="str">
        <f>IF(配慮!C13=0,"",配慮!C13)</f>
        <v>注）　改修における「LR3　敷地外環境」に対する配慮事項を簡潔に記載してください。</v>
      </c>
      <c r="M69" s="2794"/>
      <c r="N69" s="2794"/>
      <c r="O69" s="2795"/>
      <c r="P69" s="688"/>
      <c r="Q69" s="807"/>
      <c r="R69" s="791"/>
      <c r="S69" s="791"/>
      <c r="T69" s="791"/>
      <c r="U69" s="791"/>
      <c r="V69" s="791"/>
      <c r="W69" s="791"/>
      <c r="X69" s="791"/>
      <c r="Y69" s="791"/>
      <c r="Z69" s="791"/>
      <c r="AA69" s="791"/>
      <c r="AB69" s="791"/>
    </row>
    <row r="70" spans="1:42" s="697" customFormat="1" ht="7.5" customHeight="1" thickBot="1">
      <c r="A70" s="688"/>
      <c r="B70" s="688"/>
      <c r="C70" s="688"/>
      <c r="D70" s="688"/>
      <c r="E70" s="688"/>
      <c r="F70" s="688"/>
      <c r="G70" s="688"/>
      <c r="H70" s="688"/>
      <c r="I70" s="688"/>
      <c r="J70" s="688"/>
      <c r="K70" s="688"/>
      <c r="L70" s="688"/>
      <c r="M70" s="688"/>
      <c r="N70" s="688"/>
      <c r="O70" s="688"/>
      <c r="P70" s="688"/>
      <c r="Q70" s="688"/>
      <c r="R70" s="791"/>
      <c r="S70" s="791"/>
      <c r="T70" s="791"/>
      <c r="U70" s="791"/>
      <c r="V70" s="791"/>
      <c r="W70" s="791"/>
      <c r="X70" s="791"/>
      <c r="Y70" s="791"/>
      <c r="Z70" s="791"/>
      <c r="AA70" s="791"/>
      <c r="AB70" s="791"/>
    </row>
    <row r="71" spans="1:42" ht="17.25" customHeight="1">
      <c r="B71" s="825" t="s">
        <v>100</v>
      </c>
      <c r="C71" s="929"/>
      <c r="D71" s="930"/>
      <c r="E71" s="929"/>
      <c r="F71" s="929"/>
      <c r="G71" s="929"/>
      <c r="H71" s="929"/>
      <c r="I71" s="932"/>
      <c r="J71" s="929"/>
      <c r="K71" s="929"/>
      <c r="L71" s="929"/>
      <c r="M71" s="929"/>
      <c r="N71" s="929"/>
      <c r="O71" s="1250"/>
      <c r="P71" s="1037"/>
      <c r="R71" s="791"/>
      <c r="S71" s="791"/>
      <c r="T71" s="791"/>
      <c r="U71" s="791"/>
      <c r="V71" s="791"/>
      <c r="W71" s="791"/>
      <c r="X71" s="791"/>
      <c r="Y71" s="791"/>
      <c r="Z71" s="791"/>
      <c r="AA71" s="791"/>
      <c r="AB71" s="791"/>
      <c r="AC71" s="697"/>
      <c r="AD71" s="697"/>
      <c r="AE71" s="697"/>
      <c r="AF71" s="697"/>
      <c r="AG71" s="697"/>
      <c r="AH71" s="697"/>
      <c r="AI71" s="697"/>
      <c r="AJ71" s="697"/>
      <c r="AK71" s="697"/>
      <c r="AL71" s="697"/>
      <c r="AM71" s="697"/>
      <c r="AN71" s="697"/>
      <c r="AO71" s="697"/>
      <c r="AP71" s="697"/>
    </row>
    <row r="72" spans="1:42" ht="15" customHeight="1">
      <c r="B72" s="1254"/>
      <c r="C72" s="1255"/>
      <c r="D72" s="1255"/>
      <c r="E72" s="1255"/>
      <c r="F72" s="1255"/>
      <c r="G72" s="1255"/>
      <c r="H72" s="1255"/>
      <c r="I72" s="1255"/>
      <c r="J72" s="1255"/>
      <c r="K72" s="1255"/>
      <c r="L72" s="1255"/>
      <c r="M72" s="1255"/>
      <c r="N72" s="1255"/>
      <c r="O72" s="1256"/>
      <c r="P72" s="1037"/>
      <c r="R72" s="791"/>
      <c r="S72" s="791"/>
      <c r="T72" s="791"/>
      <c r="U72" s="791"/>
      <c r="V72" s="791"/>
      <c r="W72" s="791"/>
      <c r="X72" s="791"/>
      <c r="Y72" s="791"/>
      <c r="Z72" s="791"/>
      <c r="AA72" s="791"/>
      <c r="AB72" s="791"/>
      <c r="AC72" s="697"/>
      <c r="AD72" s="697"/>
      <c r="AE72" s="697"/>
      <c r="AF72" s="697"/>
      <c r="AG72" s="697"/>
      <c r="AH72" s="697"/>
      <c r="AI72" s="697"/>
      <c r="AJ72" s="697"/>
      <c r="AK72" s="697"/>
      <c r="AL72" s="697"/>
      <c r="AM72" s="697"/>
      <c r="AN72" s="697"/>
      <c r="AO72" s="697"/>
      <c r="AP72" s="697"/>
    </row>
    <row r="73" spans="1:42" ht="15" customHeight="1">
      <c r="B73" s="1257"/>
      <c r="E73" s="706"/>
      <c r="F73" s="707"/>
      <c r="G73" s="707"/>
      <c r="H73" s="2821" t="s">
        <v>451</v>
      </c>
      <c r="I73" s="2822"/>
      <c r="J73" s="2823" t="s">
        <v>452</v>
      </c>
      <c r="K73" s="1258" t="s">
        <v>453</v>
      </c>
      <c r="L73" s="1259"/>
      <c r="M73" s="1260"/>
      <c r="N73" s="897"/>
      <c r="O73" s="1261"/>
      <c r="P73" s="1037"/>
      <c r="R73" s="791"/>
      <c r="S73" s="791"/>
      <c r="T73" s="791"/>
      <c r="U73" s="791"/>
      <c r="V73" s="791"/>
      <c r="W73" s="791"/>
      <c r="X73" s="791"/>
      <c r="Y73" s="791"/>
      <c r="Z73" s="791"/>
      <c r="AA73" s="791"/>
      <c r="AB73" s="791"/>
      <c r="AC73" s="697"/>
      <c r="AD73" s="697"/>
      <c r="AE73" s="697"/>
      <c r="AF73" s="697"/>
      <c r="AG73" s="697"/>
    </row>
    <row r="74" spans="1:42" ht="15" customHeight="1">
      <c r="B74" s="1257"/>
      <c r="E74" s="706"/>
      <c r="F74" s="707"/>
      <c r="G74" s="707"/>
      <c r="H74" s="2822"/>
      <c r="I74" s="2822"/>
      <c r="J74" s="2824"/>
      <c r="K74" s="1265" t="s">
        <v>102</v>
      </c>
      <c r="L74" s="1266"/>
      <c r="M74" s="1267"/>
      <c r="N74" s="707"/>
      <c r="O74" s="1261"/>
      <c r="P74" s="1037"/>
      <c r="R74" s="791"/>
      <c r="S74" s="791"/>
      <c r="T74" s="791"/>
      <c r="U74" s="791"/>
      <c r="V74" s="791"/>
      <c r="W74" s="791"/>
      <c r="X74" s="791"/>
      <c r="Y74" s="791"/>
      <c r="Z74" s="791"/>
      <c r="AA74" s="791"/>
      <c r="AB74" s="791"/>
      <c r="AC74" s="697"/>
      <c r="AD74" s="697"/>
      <c r="AE74" s="697"/>
      <c r="AF74" s="697"/>
      <c r="AG74" s="697"/>
    </row>
    <row r="75" spans="1:42" ht="15" customHeight="1">
      <c r="B75" s="1257"/>
      <c r="E75" s="706"/>
      <c r="F75" s="707"/>
      <c r="G75" s="707"/>
      <c r="H75" s="1268"/>
      <c r="I75" s="1269"/>
      <c r="J75" s="2823" t="s">
        <v>103</v>
      </c>
      <c r="K75" s="1270" t="s">
        <v>104</v>
      </c>
      <c r="L75" s="1271"/>
      <c r="M75" s="1269"/>
      <c r="N75" s="1269"/>
      <c r="O75" s="1261"/>
      <c r="P75" s="1037"/>
      <c r="R75" s="791"/>
      <c r="S75" s="791"/>
      <c r="T75" s="791"/>
      <c r="U75" s="791"/>
      <c r="V75" s="791"/>
      <c r="W75" s="791"/>
      <c r="X75" s="791"/>
      <c r="Y75" s="791"/>
      <c r="Z75" s="791"/>
      <c r="AA75" s="791"/>
      <c r="AB75" s="791"/>
      <c r="AC75" s="697"/>
      <c r="AD75" s="697"/>
      <c r="AE75" s="697"/>
      <c r="AF75" s="697"/>
      <c r="AG75" s="697"/>
    </row>
    <row r="76" spans="1:42" ht="15" customHeight="1" thickBot="1">
      <c r="B76" s="1257"/>
      <c r="E76" s="706"/>
      <c r="F76" s="707"/>
      <c r="G76" s="707"/>
      <c r="H76" s="1268"/>
      <c r="I76" s="1275"/>
      <c r="J76" s="2824"/>
      <c r="K76" s="1276" t="s">
        <v>105</v>
      </c>
      <c r="L76" s="1277"/>
      <c r="M76" s="1277"/>
      <c r="N76" s="1277"/>
      <c r="O76" s="1261"/>
      <c r="P76" s="1037"/>
      <c r="R76" s="791"/>
      <c r="S76" s="791"/>
      <c r="T76" s="791"/>
      <c r="U76" s="791"/>
      <c r="V76" s="791"/>
      <c r="W76" s="791"/>
      <c r="X76" s="791"/>
      <c r="Y76" s="791"/>
      <c r="Z76" s="791"/>
      <c r="AA76" s="791"/>
      <c r="AB76" s="791"/>
      <c r="AC76" s="697"/>
      <c r="AD76" s="697"/>
      <c r="AE76" s="697"/>
      <c r="AF76" s="697"/>
      <c r="AG76" s="697"/>
    </row>
    <row r="77" spans="1:42" ht="15" customHeight="1">
      <c r="B77" s="1257"/>
      <c r="E77" s="706"/>
      <c r="F77" s="707"/>
      <c r="G77" s="707"/>
      <c r="H77" s="1275"/>
      <c r="I77" s="1275"/>
      <c r="J77" s="1279"/>
      <c r="K77" s="1280"/>
      <c r="L77" s="1277"/>
      <c r="M77" s="1269"/>
      <c r="N77" s="728"/>
      <c r="O77" s="1261"/>
      <c r="P77" s="1037"/>
      <c r="R77" s="809"/>
      <c r="S77" s="1251" t="s">
        <v>469</v>
      </c>
      <c r="T77" s="1206"/>
      <c r="U77" s="1252"/>
      <c r="W77" s="1253" t="s">
        <v>470</v>
      </c>
      <c r="X77" s="1208"/>
      <c r="Y77" s="1252"/>
    </row>
    <row r="78" spans="1:42" ht="15" customHeight="1">
      <c r="B78" s="1257"/>
      <c r="E78" s="706"/>
      <c r="F78" s="707"/>
      <c r="G78" s="707"/>
      <c r="H78" s="2829" t="s">
        <v>106</v>
      </c>
      <c r="I78" s="2829"/>
      <c r="J78" s="1281" t="s">
        <v>103</v>
      </c>
      <c r="K78" s="1282"/>
      <c r="L78" s="1283"/>
      <c r="M78" s="1284">
        <f>M80-M83</f>
        <v>0.42735042735042716</v>
      </c>
      <c r="N78" s="728"/>
      <c r="O78" s="1261"/>
      <c r="P78" s="1037"/>
      <c r="R78" s="1162" t="s">
        <v>101</v>
      </c>
      <c r="S78" s="1210" t="s">
        <v>1039</v>
      </c>
      <c r="T78" s="731" t="s">
        <v>1040</v>
      </c>
      <c r="U78" s="1211" t="s">
        <v>1041</v>
      </c>
      <c r="W78" s="1210" t="s">
        <v>1039</v>
      </c>
      <c r="X78" s="731" t="s">
        <v>1040</v>
      </c>
      <c r="Y78" s="1211" t="s">
        <v>1041</v>
      </c>
    </row>
    <row r="79" spans="1:42" ht="15" customHeight="1">
      <c r="B79" s="1257"/>
      <c r="E79" s="706"/>
      <c r="F79" s="707"/>
      <c r="G79" s="707"/>
      <c r="H79" s="708"/>
      <c r="I79" s="724"/>
      <c r="J79" s="894"/>
      <c r="K79" s="1269"/>
      <c r="L79" s="1285"/>
      <c r="M79" s="1277"/>
      <c r="N79" s="1277"/>
      <c r="O79" s="1261"/>
      <c r="P79" s="1037"/>
      <c r="R79" s="1162" t="s">
        <v>1042</v>
      </c>
      <c r="S79" s="1262"/>
      <c r="T79" s="1263">
        <f>K84</f>
        <v>44.999999999999993</v>
      </c>
      <c r="U79" s="1264">
        <v>0</v>
      </c>
      <c r="W79" s="1262"/>
      <c r="X79" s="838">
        <f>K81</f>
        <v>32.500000000000007</v>
      </c>
      <c r="Y79" s="1264">
        <v>0</v>
      </c>
    </row>
    <row r="80" spans="1:42" ht="15" customHeight="1">
      <c r="B80" s="1257"/>
      <c r="E80" s="706"/>
      <c r="F80" s="707"/>
      <c r="G80" s="707"/>
      <c r="H80" s="2825" t="s">
        <v>1109</v>
      </c>
      <c r="I80" s="2826"/>
      <c r="J80" s="2823" t="s">
        <v>108</v>
      </c>
      <c r="K80" s="1286">
        <f>25*(V48-1)</f>
        <v>50.000000000000014</v>
      </c>
      <c r="L80" s="2823" t="s">
        <v>108</v>
      </c>
      <c r="M80" s="2817">
        <f>K80/K81</f>
        <v>1.5384615384615385</v>
      </c>
      <c r="N80" s="728"/>
      <c r="O80" s="1261"/>
      <c r="P80" s="1037"/>
      <c r="R80" s="1162" t="s">
        <v>1045</v>
      </c>
      <c r="S80" s="1262"/>
      <c r="T80" s="1263">
        <f>K83</f>
        <v>50</v>
      </c>
      <c r="U80" s="1264">
        <v>0</v>
      </c>
      <c r="W80" s="1262"/>
      <c r="X80" s="838">
        <f>K80</f>
        <v>50.000000000000014</v>
      </c>
      <c r="Y80" s="1264">
        <v>0</v>
      </c>
    </row>
    <row r="81" spans="2:25" ht="15" customHeight="1">
      <c r="B81" s="1257"/>
      <c r="E81" s="706"/>
      <c r="F81" s="707"/>
      <c r="G81" s="707"/>
      <c r="H81" s="2826"/>
      <c r="I81" s="2826"/>
      <c r="J81" s="2824"/>
      <c r="K81" s="1287">
        <f>25*(5-V59)</f>
        <v>32.500000000000007</v>
      </c>
      <c r="L81" s="2824"/>
      <c r="M81" s="2818"/>
      <c r="N81" s="728"/>
      <c r="O81" s="1261"/>
      <c r="P81" s="1037"/>
      <c r="R81" s="1216">
        <v>0</v>
      </c>
      <c r="S81" s="1272">
        <f>T79</f>
        <v>44.999999999999993</v>
      </c>
      <c r="T81" s="1273">
        <f>T79</f>
        <v>44.999999999999993</v>
      </c>
      <c r="U81" s="1211">
        <v>0.1</v>
      </c>
      <c r="V81" s="1274">
        <v>0</v>
      </c>
      <c r="W81" s="1217">
        <f>X79</f>
        <v>32.500000000000007</v>
      </c>
      <c r="X81" s="1273">
        <f>X79</f>
        <v>32.500000000000007</v>
      </c>
      <c r="Y81" s="1211">
        <v>0.1</v>
      </c>
    </row>
    <row r="82" spans="2:25" ht="15" customHeight="1" thickBot="1">
      <c r="B82" s="1257"/>
      <c r="E82" s="706"/>
      <c r="F82" s="707"/>
      <c r="G82" s="707"/>
      <c r="H82" s="1288"/>
      <c r="I82" s="1289"/>
      <c r="J82" s="1290"/>
      <c r="K82" s="1291"/>
      <c r="L82" s="1290"/>
      <c r="M82" s="1292" t="s">
        <v>454</v>
      </c>
      <c r="N82" s="728"/>
      <c r="O82" s="1261"/>
      <c r="P82" s="1037"/>
      <c r="R82" s="1216">
        <v>0</v>
      </c>
      <c r="S82" s="1278">
        <v>0</v>
      </c>
      <c r="T82" s="1221">
        <f>T80</f>
        <v>50</v>
      </c>
      <c r="U82" s="1222">
        <f>T80</f>
        <v>50</v>
      </c>
      <c r="V82" s="1274">
        <v>0</v>
      </c>
      <c r="W82" s="1278">
        <v>0</v>
      </c>
      <c r="X82" s="1221">
        <f>X80</f>
        <v>50.000000000000014</v>
      </c>
      <c r="Y82" s="1222">
        <f>X80</f>
        <v>50.000000000000014</v>
      </c>
    </row>
    <row r="83" spans="2:25" ht="15" customHeight="1">
      <c r="B83" s="1257"/>
      <c r="E83" s="706"/>
      <c r="F83" s="707"/>
      <c r="G83" s="707"/>
      <c r="H83" s="2825" t="s">
        <v>107</v>
      </c>
      <c r="I83" s="2826"/>
      <c r="J83" s="2823" t="s">
        <v>108</v>
      </c>
      <c r="K83" s="1286">
        <f>25*(T48-1)</f>
        <v>50</v>
      </c>
      <c r="L83" s="2823" t="s">
        <v>108</v>
      </c>
      <c r="M83" s="2819">
        <f>K83/K84</f>
        <v>1.1111111111111114</v>
      </c>
      <c r="N83" s="728"/>
      <c r="O83" s="1261"/>
      <c r="P83" s="1037"/>
    </row>
    <row r="84" spans="2:25" ht="15" customHeight="1" thickBot="1">
      <c r="B84" s="1293"/>
      <c r="C84" s="1294"/>
      <c r="D84" s="1295"/>
      <c r="E84" s="1296"/>
      <c r="F84" s="922"/>
      <c r="G84" s="922"/>
      <c r="H84" s="2828"/>
      <c r="I84" s="2828"/>
      <c r="J84" s="2827"/>
      <c r="K84" s="1297">
        <f>25*(5-T59)</f>
        <v>44.999999999999993</v>
      </c>
      <c r="L84" s="2827"/>
      <c r="M84" s="2820"/>
      <c r="N84" s="924"/>
      <c r="O84" s="1298"/>
      <c r="P84" s="1037"/>
    </row>
    <row r="85" spans="2:25" ht="8.25" customHeight="1"/>
    <row r="86" spans="2:25" ht="15" customHeight="1"/>
    <row r="87" spans="2:25" ht="15" customHeight="1"/>
    <row r="88" spans="2:25" ht="19.5" customHeight="1"/>
    <row r="89" spans="2:25" ht="15.75" customHeight="1"/>
    <row r="90" spans="2:25" ht="15" hidden="1" customHeight="1"/>
    <row r="91" spans="2:25" ht="15" hidden="1" customHeight="1"/>
    <row r="92" spans="2:25" ht="15" hidden="1" customHeight="1"/>
    <row r="93" spans="2:25" ht="15" hidden="1" customHeight="1"/>
    <row r="94" spans="2:25" ht="15" hidden="1" customHeight="1"/>
    <row r="96" spans="2:25" ht="0" hidden="1" customHeight="1"/>
    <row r="97" ht="0" hidden="1" customHeight="1"/>
  </sheetData>
  <sheetProtection password="8D30" sheet="1" objects="1" scenarios="1"/>
  <mergeCells count="27">
    <mergeCell ref="M80:M81"/>
    <mergeCell ref="M83:M84"/>
    <mergeCell ref="H73:I74"/>
    <mergeCell ref="J73:J74"/>
    <mergeCell ref="J75:J76"/>
    <mergeCell ref="H80:I81"/>
    <mergeCell ref="J80:J81"/>
    <mergeCell ref="L80:L81"/>
    <mergeCell ref="L83:L84"/>
    <mergeCell ref="H83:I84"/>
    <mergeCell ref="J83:J84"/>
    <mergeCell ref="H78:I78"/>
    <mergeCell ref="D11:E11"/>
    <mergeCell ref="B67:G67"/>
    <mergeCell ref="H67:K67"/>
    <mergeCell ref="B65:K65"/>
    <mergeCell ref="B69:G69"/>
    <mergeCell ref="H69:K69"/>
    <mergeCell ref="Q2:Q5"/>
    <mergeCell ref="L69:O69"/>
    <mergeCell ref="L35:O38"/>
    <mergeCell ref="H36:K38"/>
    <mergeCell ref="N9:O10"/>
    <mergeCell ref="N12:O13"/>
    <mergeCell ref="N19:O19"/>
    <mergeCell ref="L65:O65"/>
    <mergeCell ref="L67:O67"/>
  </mergeCells>
  <phoneticPr fontId="20"/>
  <conditionalFormatting sqref="H27:K35">
    <cfRule type="expression" dxfId="23" priority="1" stopIfTrue="1">
      <formula>$V$36=$X$37</formula>
    </cfRule>
  </conditionalFormatting>
  <hyperlinks>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6" orientation="portrait" verticalDpi="4294967293" r:id="rId1"/>
  <headerFooter alignWithMargins="0">
    <oddHeader>&amp;L&amp;F&amp;R&amp;A</oddHeader>
    <oddFooter>&amp;C&amp;P/&amp;N</oddFooter>
  </headerFooter>
  <rowBreaks count="2" manualBreakCount="2">
    <brk id="70" max="16383" man="1"/>
    <brk id="89" max="16383" man="1"/>
  </rowBreaks>
  <colBreaks count="1" manualBreakCount="1">
    <brk id="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H22"/>
  <sheetViews>
    <sheetView workbookViewId="0">
      <selection activeCell="F11" sqref="F11"/>
    </sheetView>
  </sheetViews>
  <sheetFormatPr defaultRowHeight="13.5"/>
  <cols>
    <col min="1" max="1" width="0.875" customWidth="1"/>
    <col min="2" max="7" width="12.625" customWidth="1"/>
    <col min="8" max="8" width="14.625" customWidth="1"/>
    <col min="9" max="9" width="0.875" customWidth="1"/>
    <col min="257" max="257" width="0.875" customWidth="1"/>
    <col min="258" max="263" width="12.625" customWidth="1"/>
    <col min="264" max="264" width="14.625" customWidth="1"/>
    <col min="265" max="265" width="0.875" customWidth="1"/>
    <col min="513" max="513" width="0.875" customWidth="1"/>
    <col min="514" max="519" width="12.625" customWidth="1"/>
    <col min="520" max="520" width="14.625" customWidth="1"/>
    <col min="521" max="521" width="0.875" customWidth="1"/>
    <col min="769" max="769" width="0.875" customWidth="1"/>
    <col min="770" max="775" width="12.625" customWidth="1"/>
    <col min="776" max="776" width="14.625" customWidth="1"/>
    <col min="777" max="777" width="0.875" customWidth="1"/>
    <col min="1025" max="1025" width="0.875" customWidth="1"/>
    <col min="1026" max="1031" width="12.625" customWidth="1"/>
    <col min="1032" max="1032" width="14.625" customWidth="1"/>
    <col min="1033" max="1033" width="0.875" customWidth="1"/>
    <col min="1281" max="1281" width="0.875" customWidth="1"/>
    <col min="1282" max="1287" width="12.625" customWidth="1"/>
    <col min="1288" max="1288" width="14.625" customWidth="1"/>
    <col min="1289" max="1289" width="0.875" customWidth="1"/>
    <col min="1537" max="1537" width="0.875" customWidth="1"/>
    <col min="1538" max="1543" width="12.625" customWidth="1"/>
    <col min="1544" max="1544" width="14.625" customWidth="1"/>
    <col min="1545" max="1545" width="0.875" customWidth="1"/>
    <col min="1793" max="1793" width="0.875" customWidth="1"/>
    <col min="1794" max="1799" width="12.625" customWidth="1"/>
    <col min="1800" max="1800" width="14.625" customWidth="1"/>
    <col min="1801" max="1801" width="0.875" customWidth="1"/>
    <col min="2049" max="2049" width="0.875" customWidth="1"/>
    <col min="2050" max="2055" width="12.625" customWidth="1"/>
    <col min="2056" max="2056" width="14.625" customWidth="1"/>
    <col min="2057" max="2057" width="0.875" customWidth="1"/>
    <col min="2305" max="2305" width="0.875" customWidth="1"/>
    <col min="2306" max="2311" width="12.625" customWidth="1"/>
    <col min="2312" max="2312" width="14.625" customWidth="1"/>
    <col min="2313" max="2313" width="0.875" customWidth="1"/>
    <col min="2561" max="2561" width="0.875" customWidth="1"/>
    <col min="2562" max="2567" width="12.625" customWidth="1"/>
    <col min="2568" max="2568" width="14.625" customWidth="1"/>
    <col min="2569" max="2569" width="0.875" customWidth="1"/>
    <col min="2817" max="2817" width="0.875" customWidth="1"/>
    <col min="2818" max="2823" width="12.625" customWidth="1"/>
    <col min="2824" max="2824" width="14.625" customWidth="1"/>
    <col min="2825" max="2825" width="0.875" customWidth="1"/>
    <col min="3073" max="3073" width="0.875" customWidth="1"/>
    <col min="3074" max="3079" width="12.625" customWidth="1"/>
    <col min="3080" max="3080" width="14.625" customWidth="1"/>
    <col min="3081" max="3081" width="0.875" customWidth="1"/>
    <col min="3329" max="3329" width="0.875" customWidth="1"/>
    <col min="3330" max="3335" width="12.625" customWidth="1"/>
    <col min="3336" max="3336" width="14.625" customWidth="1"/>
    <col min="3337" max="3337" width="0.875" customWidth="1"/>
    <col min="3585" max="3585" width="0.875" customWidth="1"/>
    <col min="3586" max="3591" width="12.625" customWidth="1"/>
    <col min="3592" max="3592" width="14.625" customWidth="1"/>
    <col min="3593" max="3593" width="0.875" customWidth="1"/>
    <col min="3841" max="3841" width="0.875" customWidth="1"/>
    <col min="3842" max="3847" width="12.625" customWidth="1"/>
    <col min="3848" max="3848" width="14.625" customWidth="1"/>
    <col min="3849" max="3849" width="0.875" customWidth="1"/>
    <col min="4097" max="4097" width="0.875" customWidth="1"/>
    <col min="4098" max="4103" width="12.625" customWidth="1"/>
    <col min="4104" max="4104" width="14.625" customWidth="1"/>
    <col min="4105" max="4105" width="0.875" customWidth="1"/>
    <col min="4353" max="4353" width="0.875" customWidth="1"/>
    <col min="4354" max="4359" width="12.625" customWidth="1"/>
    <col min="4360" max="4360" width="14.625" customWidth="1"/>
    <col min="4361" max="4361" width="0.875" customWidth="1"/>
    <col min="4609" max="4609" width="0.875" customWidth="1"/>
    <col min="4610" max="4615" width="12.625" customWidth="1"/>
    <col min="4616" max="4616" width="14.625" customWidth="1"/>
    <col min="4617" max="4617" width="0.875" customWidth="1"/>
    <col min="4865" max="4865" width="0.875" customWidth="1"/>
    <col min="4866" max="4871" width="12.625" customWidth="1"/>
    <col min="4872" max="4872" width="14.625" customWidth="1"/>
    <col min="4873" max="4873" width="0.875" customWidth="1"/>
    <col min="5121" max="5121" width="0.875" customWidth="1"/>
    <col min="5122" max="5127" width="12.625" customWidth="1"/>
    <col min="5128" max="5128" width="14.625" customWidth="1"/>
    <col min="5129" max="5129" width="0.875" customWidth="1"/>
    <col min="5377" max="5377" width="0.875" customWidth="1"/>
    <col min="5378" max="5383" width="12.625" customWidth="1"/>
    <col min="5384" max="5384" width="14.625" customWidth="1"/>
    <col min="5385" max="5385" width="0.875" customWidth="1"/>
    <col min="5633" max="5633" width="0.875" customWidth="1"/>
    <col min="5634" max="5639" width="12.625" customWidth="1"/>
    <col min="5640" max="5640" width="14.625" customWidth="1"/>
    <col min="5641" max="5641" width="0.875" customWidth="1"/>
    <col min="5889" max="5889" width="0.875" customWidth="1"/>
    <col min="5890" max="5895" width="12.625" customWidth="1"/>
    <col min="5896" max="5896" width="14.625" customWidth="1"/>
    <col min="5897" max="5897" width="0.875" customWidth="1"/>
    <col min="6145" max="6145" width="0.875" customWidth="1"/>
    <col min="6146" max="6151" width="12.625" customWidth="1"/>
    <col min="6152" max="6152" width="14.625" customWidth="1"/>
    <col min="6153" max="6153" width="0.875" customWidth="1"/>
    <col min="6401" max="6401" width="0.875" customWidth="1"/>
    <col min="6402" max="6407" width="12.625" customWidth="1"/>
    <col min="6408" max="6408" width="14.625" customWidth="1"/>
    <col min="6409" max="6409" width="0.875" customWidth="1"/>
    <col min="6657" max="6657" width="0.875" customWidth="1"/>
    <col min="6658" max="6663" width="12.625" customWidth="1"/>
    <col min="6664" max="6664" width="14.625" customWidth="1"/>
    <col min="6665" max="6665" width="0.875" customWidth="1"/>
    <col min="6913" max="6913" width="0.875" customWidth="1"/>
    <col min="6914" max="6919" width="12.625" customWidth="1"/>
    <col min="6920" max="6920" width="14.625" customWidth="1"/>
    <col min="6921" max="6921" width="0.875" customWidth="1"/>
    <col min="7169" max="7169" width="0.875" customWidth="1"/>
    <col min="7170" max="7175" width="12.625" customWidth="1"/>
    <col min="7176" max="7176" width="14.625" customWidth="1"/>
    <col min="7177" max="7177" width="0.875" customWidth="1"/>
    <col min="7425" max="7425" width="0.875" customWidth="1"/>
    <col min="7426" max="7431" width="12.625" customWidth="1"/>
    <col min="7432" max="7432" width="14.625" customWidth="1"/>
    <col min="7433" max="7433" width="0.875" customWidth="1"/>
    <col min="7681" max="7681" width="0.875" customWidth="1"/>
    <col min="7682" max="7687" width="12.625" customWidth="1"/>
    <col min="7688" max="7688" width="14.625" customWidth="1"/>
    <col min="7689" max="7689" width="0.875" customWidth="1"/>
    <col min="7937" max="7937" width="0.875" customWidth="1"/>
    <col min="7938" max="7943" width="12.625" customWidth="1"/>
    <col min="7944" max="7944" width="14.625" customWidth="1"/>
    <col min="7945" max="7945" width="0.875" customWidth="1"/>
    <col min="8193" max="8193" width="0.875" customWidth="1"/>
    <col min="8194" max="8199" width="12.625" customWidth="1"/>
    <col min="8200" max="8200" width="14.625" customWidth="1"/>
    <col min="8201" max="8201" width="0.875" customWidth="1"/>
    <col min="8449" max="8449" width="0.875" customWidth="1"/>
    <col min="8450" max="8455" width="12.625" customWidth="1"/>
    <col min="8456" max="8456" width="14.625" customWidth="1"/>
    <col min="8457" max="8457" width="0.875" customWidth="1"/>
    <col min="8705" max="8705" width="0.875" customWidth="1"/>
    <col min="8706" max="8711" width="12.625" customWidth="1"/>
    <col min="8712" max="8712" width="14.625" customWidth="1"/>
    <col min="8713" max="8713" width="0.875" customWidth="1"/>
    <col min="8961" max="8961" width="0.875" customWidth="1"/>
    <col min="8962" max="8967" width="12.625" customWidth="1"/>
    <col min="8968" max="8968" width="14.625" customWidth="1"/>
    <col min="8969" max="8969" width="0.875" customWidth="1"/>
    <col min="9217" max="9217" width="0.875" customWidth="1"/>
    <col min="9218" max="9223" width="12.625" customWidth="1"/>
    <col min="9224" max="9224" width="14.625" customWidth="1"/>
    <col min="9225" max="9225" width="0.875" customWidth="1"/>
    <col min="9473" max="9473" width="0.875" customWidth="1"/>
    <col min="9474" max="9479" width="12.625" customWidth="1"/>
    <col min="9480" max="9480" width="14.625" customWidth="1"/>
    <col min="9481" max="9481" width="0.875" customWidth="1"/>
    <col min="9729" max="9729" width="0.875" customWidth="1"/>
    <col min="9730" max="9735" width="12.625" customWidth="1"/>
    <col min="9736" max="9736" width="14.625" customWidth="1"/>
    <col min="9737" max="9737" width="0.875" customWidth="1"/>
    <col min="9985" max="9985" width="0.875" customWidth="1"/>
    <col min="9986" max="9991" width="12.625" customWidth="1"/>
    <col min="9992" max="9992" width="14.625" customWidth="1"/>
    <col min="9993" max="9993" width="0.875" customWidth="1"/>
    <col min="10241" max="10241" width="0.875" customWidth="1"/>
    <col min="10242" max="10247" width="12.625" customWidth="1"/>
    <col min="10248" max="10248" width="14.625" customWidth="1"/>
    <col min="10249" max="10249" width="0.875" customWidth="1"/>
    <col min="10497" max="10497" width="0.875" customWidth="1"/>
    <col min="10498" max="10503" width="12.625" customWidth="1"/>
    <col min="10504" max="10504" width="14.625" customWidth="1"/>
    <col min="10505" max="10505" width="0.875" customWidth="1"/>
    <col min="10753" max="10753" width="0.875" customWidth="1"/>
    <col min="10754" max="10759" width="12.625" customWidth="1"/>
    <col min="10760" max="10760" width="14.625" customWidth="1"/>
    <col min="10761" max="10761" width="0.875" customWidth="1"/>
    <col min="11009" max="11009" width="0.875" customWidth="1"/>
    <col min="11010" max="11015" width="12.625" customWidth="1"/>
    <col min="11016" max="11016" width="14.625" customWidth="1"/>
    <col min="11017" max="11017" width="0.875" customWidth="1"/>
    <col min="11265" max="11265" width="0.875" customWidth="1"/>
    <col min="11266" max="11271" width="12.625" customWidth="1"/>
    <col min="11272" max="11272" width="14.625" customWidth="1"/>
    <col min="11273" max="11273" width="0.875" customWidth="1"/>
    <col min="11521" max="11521" width="0.875" customWidth="1"/>
    <col min="11522" max="11527" width="12.625" customWidth="1"/>
    <col min="11528" max="11528" width="14.625" customWidth="1"/>
    <col min="11529" max="11529" width="0.875" customWidth="1"/>
    <col min="11777" max="11777" width="0.875" customWidth="1"/>
    <col min="11778" max="11783" width="12.625" customWidth="1"/>
    <col min="11784" max="11784" width="14.625" customWidth="1"/>
    <col min="11785" max="11785" width="0.875" customWidth="1"/>
    <col min="12033" max="12033" width="0.875" customWidth="1"/>
    <col min="12034" max="12039" width="12.625" customWidth="1"/>
    <col min="12040" max="12040" width="14.625" customWidth="1"/>
    <col min="12041" max="12041" width="0.875" customWidth="1"/>
    <col min="12289" max="12289" width="0.875" customWidth="1"/>
    <col min="12290" max="12295" width="12.625" customWidth="1"/>
    <col min="12296" max="12296" width="14.625" customWidth="1"/>
    <col min="12297" max="12297" width="0.875" customWidth="1"/>
    <col min="12545" max="12545" width="0.875" customWidth="1"/>
    <col min="12546" max="12551" width="12.625" customWidth="1"/>
    <col min="12552" max="12552" width="14.625" customWidth="1"/>
    <col min="12553" max="12553" width="0.875" customWidth="1"/>
    <col min="12801" max="12801" width="0.875" customWidth="1"/>
    <col min="12802" max="12807" width="12.625" customWidth="1"/>
    <col min="12808" max="12808" width="14.625" customWidth="1"/>
    <col min="12809" max="12809" width="0.875" customWidth="1"/>
    <col min="13057" max="13057" width="0.875" customWidth="1"/>
    <col min="13058" max="13063" width="12.625" customWidth="1"/>
    <col min="13064" max="13064" width="14.625" customWidth="1"/>
    <col min="13065" max="13065" width="0.875" customWidth="1"/>
    <col min="13313" max="13313" width="0.875" customWidth="1"/>
    <col min="13314" max="13319" width="12.625" customWidth="1"/>
    <col min="13320" max="13320" width="14.625" customWidth="1"/>
    <col min="13321" max="13321" width="0.875" customWidth="1"/>
    <col min="13569" max="13569" width="0.875" customWidth="1"/>
    <col min="13570" max="13575" width="12.625" customWidth="1"/>
    <col min="13576" max="13576" width="14.625" customWidth="1"/>
    <col min="13577" max="13577" width="0.875" customWidth="1"/>
    <col min="13825" max="13825" width="0.875" customWidth="1"/>
    <col min="13826" max="13831" width="12.625" customWidth="1"/>
    <col min="13832" max="13832" width="14.625" customWidth="1"/>
    <col min="13833" max="13833" width="0.875" customWidth="1"/>
    <col min="14081" max="14081" width="0.875" customWidth="1"/>
    <col min="14082" max="14087" width="12.625" customWidth="1"/>
    <col min="14088" max="14088" width="14.625" customWidth="1"/>
    <col min="14089" max="14089" width="0.875" customWidth="1"/>
    <col min="14337" max="14337" width="0.875" customWidth="1"/>
    <col min="14338" max="14343" width="12.625" customWidth="1"/>
    <col min="14344" max="14344" width="14.625" customWidth="1"/>
    <col min="14345" max="14345" width="0.875" customWidth="1"/>
    <col min="14593" max="14593" width="0.875" customWidth="1"/>
    <col min="14594" max="14599" width="12.625" customWidth="1"/>
    <col min="14600" max="14600" width="14.625" customWidth="1"/>
    <col min="14601" max="14601" width="0.875" customWidth="1"/>
    <col min="14849" max="14849" width="0.875" customWidth="1"/>
    <col min="14850" max="14855" width="12.625" customWidth="1"/>
    <col min="14856" max="14856" width="14.625" customWidth="1"/>
    <col min="14857" max="14857" width="0.875" customWidth="1"/>
    <col min="15105" max="15105" width="0.875" customWidth="1"/>
    <col min="15106" max="15111" width="12.625" customWidth="1"/>
    <col min="15112" max="15112" width="14.625" customWidth="1"/>
    <col min="15113" max="15113" width="0.875" customWidth="1"/>
    <col min="15361" max="15361" width="0.875" customWidth="1"/>
    <col min="15362" max="15367" width="12.625" customWidth="1"/>
    <col min="15368" max="15368" width="14.625" customWidth="1"/>
    <col min="15369" max="15369" width="0.875" customWidth="1"/>
    <col min="15617" max="15617" width="0.875" customWidth="1"/>
    <col min="15618" max="15623" width="12.625" customWidth="1"/>
    <col min="15624" max="15624" width="14.625" customWidth="1"/>
    <col min="15625" max="15625" width="0.875" customWidth="1"/>
    <col min="15873" max="15873" width="0.875" customWidth="1"/>
    <col min="15874" max="15879" width="12.625" customWidth="1"/>
    <col min="15880" max="15880" width="14.625" customWidth="1"/>
    <col min="15881" max="15881" width="0.875" customWidth="1"/>
    <col min="16129" max="16129" width="0.875" customWidth="1"/>
    <col min="16130" max="16135" width="12.625" customWidth="1"/>
    <col min="16136" max="16136" width="14.625" customWidth="1"/>
    <col min="16137" max="16137" width="0.875" customWidth="1"/>
  </cols>
  <sheetData>
    <row r="1" spans="1:8" ht="6" customHeight="1"/>
    <row r="2" spans="1:8" ht="18.75" customHeight="1">
      <c r="G2" s="2832" t="s">
        <v>1864</v>
      </c>
      <c r="H2" s="2832"/>
    </row>
    <row r="3" spans="1:8" ht="18.75" customHeight="1">
      <c r="G3" s="2832"/>
      <c r="H3" s="2832"/>
    </row>
    <row r="4" spans="1:8" ht="18.75" customHeight="1">
      <c r="G4" s="2832"/>
      <c r="H4" s="2832"/>
    </row>
    <row r="5" spans="1:8" ht="6" customHeight="1" thickBot="1"/>
    <row r="6" spans="1:8" ht="18" customHeight="1">
      <c r="A6" s="688"/>
      <c r="B6" s="825" t="s">
        <v>1865</v>
      </c>
      <c r="C6" s="929"/>
      <c r="D6" s="930"/>
      <c r="E6" s="929"/>
      <c r="F6" s="929"/>
      <c r="G6" s="929"/>
      <c r="H6" s="1250"/>
    </row>
    <row r="7" spans="1:8" ht="18" customHeight="1">
      <c r="A7" s="688"/>
      <c r="B7" s="935" t="str">
        <f>配慮!B7</f>
        <v>総合</v>
      </c>
      <c r="C7" s="936"/>
      <c r="D7" s="936"/>
      <c r="E7" s="936"/>
      <c r="F7" s="936"/>
      <c r="G7" s="936"/>
      <c r="H7" s="2526"/>
    </row>
    <row r="8" spans="1:8" ht="72" customHeight="1">
      <c r="A8" s="688"/>
      <c r="B8" s="2812" t="str">
        <f>IF(配慮!C7=0,"",配慮!C7)</f>
        <v>注）　改修における総合的なコンセプトを簡潔に記載してください。
　（省エネ改修、室内環境改善、外装の更新、高耐久化、情報化対応、コンバージョンなど）</v>
      </c>
      <c r="C8" s="2813"/>
      <c r="D8" s="2813"/>
      <c r="E8" s="2813"/>
      <c r="F8" s="2813"/>
      <c r="G8" s="2813"/>
      <c r="H8" s="2830"/>
    </row>
    <row r="9" spans="1:8" ht="18" customHeight="1">
      <c r="A9" s="688"/>
      <c r="B9" s="935" t="str">
        <f>配慮!B8</f>
        <v>Q1 
室内環境</v>
      </c>
      <c r="C9" s="936"/>
      <c r="D9" s="936"/>
      <c r="E9" s="936"/>
      <c r="F9" s="936"/>
      <c r="G9" s="936"/>
      <c r="H9" s="2526"/>
    </row>
    <row r="10" spans="1:8" ht="72" customHeight="1">
      <c r="A10" s="688"/>
      <c r="B10" s="2812" t="str">
        <f>IF(配慮!C8=0,"",配慮!C8)</f>
        <v>注）　改修における「Q1　室内環境」に対する配慮事項を簡潔に記載してください。</v>
      </c>
      <c r="C10" s="2813"/>
      <c r="D10" s="2813"/>
      <c r="E10" s="2813"/>
      <c r="F10" s="2813"/>
      <c r="G10" s="2813"/>
      <c r="H10" s="2830"/>
    </row>
    <row r="11" spans="1:8" ht="18" customHeight="1">
      <c r="A11" s="688"/>
      <c r="B11" s="935" t="str">
        <f>配慮!B9</f>
        <v>Q2 
サービス性能</v>
      </c>
      <c r="C11" s="936"/>
      <c r="D11" s="936"/>
      <c r="E11" s="936"/>
      <c r="F11" s="936"/>
      <c r="G11" s="936"/>
      <c r="H11" s="2526"/>
    </row>
    <row r="12" spans="1:8" ht="72" customHeight="1">
      <c r="A12" s="688"/>
      <c r="B12" s="2812" t="str">
        <f>IF(配慮!C9=0,"",配慮!C9)</f>
        <v>注）　改修における「Q2　サービス性能」に対する配慮事項を簡潔に記載してください。</v>
      </c>
      <c r="C12" s="2813"/>
      <c r="D12" s="2813"/>
      <c r="E12" s="2813"/>
      <c r="F12" s="2813"/>
      <c r="G12" s="2813"/>
      <c r="H12" s="2830"/>
    </row>
    <row r="13" spans="1:8" ht="18" customHeight="1">
      <c r="A13" s="688"/>
      <c r="B13" s="935" t="str">
        <f>配慮!B10</f>
        <v>Q3 
室外環境（敷地内）</v>
      </c>
      <c r="C13" s="936"/>
      <c r="D13" s="936"/>
      <c r="E13" s="936"/>
      <c r="F13" s="936"/>
      <c r="G13" s="936"/>
      <c r="H13" s="2526"/>
    </row>
    <row r="14" spans="1:8" ht="72" customHeight="1">
      <c r="A14" s="688"/>
      <c r="B14" s="2812" t="str">
        <f>IF(配慮!C10=0,"",配慮!C10)</f>
        <v>注）　改修における「Q3　室外環境（敷地内）」に対する配慮事項を簡潔に記載してください。</v>
      </c>
      <c r="C14" s="2813"/>
      <c r="D14" s="2813"/>
      <c r="E14" s="2813"/>
      <c r="F14" s="2813"/>
      <c r="G14" s="2813"/>
      <c r="H14" s="2830"/>
    </row>
    <row r="15" spans="1:8" ht="18" customHeight="1">
      <c r="A15" s="688"/>
      <c r="B15" s="935" t="str">
        <f>配慮!B11</f>
        <v>LR1 
エネルギー</v>
      </c>
      <c r="C15" s="936"/>
      <c r="D15" s="936"/>
      <c r="E15" s="936"/>
      <c r="F15" s="936"/>
      <c r="G15" s="936"/>
      <c r="H15" s="2526"/>
    </row>
    <row r="16" spans="1:8" ht="72" customHeight="1">
      <c r="A16" s="688"/>
      <c r="B16" s="2812" t="str">
        <f>IF(配慮!C11=0,"",配慮!C11)</f>
        <v>注）　改修における「LR1　エネルギー」に対する配慮事項を簡潔に記載してください。</v>
      </c>
      <c r="C16" s="2813"/>
      <c r="D16" s="2813"/>
      <c r="E16" s="2813"/>
      <c r="F16" s="2813"/>
      <c r="G16" s="2813"/>
      <c r="H16" s="2830"/>
    </row>
    <row r="17" spans="1:8" ht="18" customHeight="1">
      <c r="A17" s="688"/>
      <c r="B17" s="935" t="str">
        <f>配慮!B12</f>
        <v>LR2 
資源・マテリアル</v>
      </c>
      <c r="C17" s="936"/>
      <c r="D17" s="936"/>
      <c r="E17" s="936"/>
      <c r="F17" s="936"/>
      <c r="G17" s="936"/>
      <c r="H17" s="2526"/>
    </row>
    <row r="18" spans="1:8" ht="72" customHeight="1">
      <c r="B18" s="2812" t="str">
        <f>IF(配慮!C12=0,"",配慮!C12)</f>
        <v>注）　改修における「LR2　資源・マテリアル」に対する配慮事項を簡潔に記載してください。</v>
      </c>
      <c r="C18" s="2813"/>
      <c r="D18" s="2813"/>
      <c r="E18" s="2813"/>
      <c r="F18" s="2813"/>
      <c r="G18" s="2813"/>
      <c r="H18" s="2830"/>
    </row>
    <row r="19" spans="1:8" ht="18" customHeight="1">
      <c r="B19" s="935" t="str">
        <f>配慮!B13</f>
        <v>LR3 
敷地外環境</v>
      </c>
      <c r="C19" s="936"/>
      <c r="D19" s="936"/>
      <c r="E19" s="936"/>
      <c r="F19" s="936"/>
      <c r="G19" s="936"/>
      <c r="H19" s="2526"/>
    </row>
    <row r="20" spans="1:8" ht="72" customHeight="1">
      <c r="B20" s="2812" t="str">
        <f>IF(配慮!C13=0,"",配慮!C13)</f>
        <v>注）　改修における「LR3　敷地外環境」に対する配慮事項を簡潔に記載してください。</v>
      </c>
      <c r="C20" s="2813"/>
      <c r="D20" s="2813"/>
      <c r="E20" s="2813"/>
      <c r="F20" s="2813"/>
      <c r="G20" s="2813"/>
      <c r="H20" s="2830"/>
    </row>
    <row r="21" spans="1:8" ht="18" customHeight="1">
      <c r="B21" s="935" t="str">
        <f>配慮!B14</f>
        <v>その他</v>
      </c>
      <c r="C21" s="936"/>
      <c r="D21" s="936"/>
      <c r="E21" s="936"/>
      <c r="F21" s="936"/>
      <c r="G21" s="936"/>
      <c r="H21" s="2526"/>
    </row>
    <row r="22" spans="1:8" ht="72" customHeight="1" thickBot="1">
      <c r="B22" s="2831" t="str">
        <f>IF(配慮!C14=0,"",配慮!C14)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C22" s="2782"/>
      <c r="D22" s="2782"/>
      <c r="E22" s="2782"/>
      <c r="F22" s="2782"/>
      <c r="G22" s="2782"/>
      <c r="H22" s="2783"/>
    </row>
  </sheetData>
  <sheetProtection password="8D30" sheet="1" objects="1" scenarios="1"/>
  <mergeCells count="9">
    <mergeCell ref="B18:H18"/>
    <mergeCell ref="B20:H20"/>
    <mergeCell ref="B22:H22"/>
    <mergeCell ref="G2:H4"/>
    <mergeCell ref="B8:H8"/>
    <mergeCell ref="B10:H10"/>
    <mergeCell ref="B12:H12"/>
    <mergeCell ref="B14:H14"/>
    <mergeCell ref="B16:H16"/>
  </mergeCells>
  <phoneticPr fontId="20"/>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&amp;L&amp;8&amp;F&amp;R&amp;8&amp;A</oddHeader>
    <oddFooter>&amp;C&amp;8Page : &amp;P/&amp;N&amp;R&amp;8Sheet : 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FF00"/>
  </sheetPr>
  <dimension ref="A1:AO183"/>
  <sheetViews>
    <sheetView showGridLines="0" zoomScaleNormal="100" workbookViewId="0">
      <selection activeCell="O10" sqref="O10"/>
    </sheetView>
  </sheetViews>
  <sheetFormatPr defaultColWidth="0" defaultRowHeight="12" customHeight="1" zeroHeight="1"/>
  <cols>
    <col min="1" max="1" width="1.25" style="204" customWidth="1"/>
    <col min="2" max="2" width="3" style="204" customWidth="1"/>
    <col min="3" max="3" width="5.125" style="205" customWidth="1"/>
    <col min="4" max="4" width="4.625" style="206" customWidth="1"/>
    <col min="5" max="5" width="9.125" style="204" customWidth="1"/>
    <col min="6" max="6" width="17.375" style="204" customWidth="1"/>
    <col min="7" max="7" width="1.125" style="6" hidden="1" customWidth="1"/>
    <col min="8" max="11" width="9.625" style="508" customWidth="1"/>
    <col min="12" max="19" width="7.125" style="508" customWidth="1"/>
    <col min="20" max="21" width="7.125" style="207" customWidth="1"/>
    <col min="22" max="22" width="1" style="208" customWidth="1"/>
    <col min="23" max="24" width="0" style="208" hidden="1" customWidth="1"/>
    <col min="25" max="26" width="0" style="204" hidden="1" customWidth="1"/>
    <col min="27" max="29" width="0" style="509" hidden="1" customWidth="1"/>
    <col min="30" max="32" width="0" style="541" hidden="1" customWidth="1"/>
    <col min="33" max="33" width="0" style="211" hidden="1" customWidth="1"/>
    <col min="34" max="36" width="0" style="541" hidden="1" customWidth="1"/>
    <col min="37" max="37" width="0" style="211" hidden="1" customWidth="1"/>
    <col min="38" max="41" width="0" style="6" hidden="1" customWidth="1"/>
    <col min="42" max="16384" width="9.125" style="6" hidden="1"/>
  </cols>
  <sheetData>
    <row r="1" spans="2:41" ht="6" customHeight="1" thickBot="1">
      <c r="H1" s="207"/>
      <c r="I1" s="207"/>
      <c r="J1" s="207"/>
      <c r="K1" s="207"/>
      <c r="L1" s="207"/>
      <c r="M1" s="207"/>
      <c r="N1" s="207"/>
      <c r="O1" s="207"/>
      <c r="P1" s="207"/>
      <c r="Q1" s="207"/>
      <c r="S1" s="207"/>
      <c r="W1" s="209"/>
      <c r="X1" s="209"/>
      <c r="Y1" s="209"/>
      <c r="Z1" s="209"/>
      <c r="AA1" s="209"/>
      <c r="AB1" s="6"/>
      <c r="AC1" s="6"/>
      <c r="AD1" s="6"/>
      <c r="AE1" s="6"/>
      <c r="AF1" s="6"/>
      <c r="AG1" s="6"/>
      <c r="AH1" s="6"/>
      <c r="AI1" s="6"/>
      <c r="AJ1" s="6"/>
      <c r="AK1" s="6"/>
    </row>
    <row r="2" spans="2:41" ht="17.25">
      <c r="B2" s="522" t="str">
        <f>メイン!C6</f>
        <v>CASBEE-建築(改修)2014年版</v>
      </c>
      <c r="C2" s="523"/>
      <c r="D2" s="524"/>
      <c r="E2" s="525"/>
      <c r="F2" s="526"/>
      <c r="G2" s="526"/>
      <c r="H2" s="207"/>
      <c r="I2" s="207"/>
      <c r="J2" s="207"/>
      <c r="K2" s="207"/>
      <c r="M2" s="527"/>
      <c r="O2" s="207"/>
      <c r="P2" s="527" t="s">
        <v>466</v>
      </c>
      <c r="S2" s="528" t="str">
        <f>メイン!C6</f>
        <v>CASBEE-建築(改修)2014年版</v>
      </c>
      <c r="T2" s="529"/>
      <c r="V2" s="530"/>
      <c r="W2" s="217"/>
      <c r="X2" s="217"/>
      <c r="Y2" s="217"/>
      <c r="Z2" s="217"/>
      <c r="AA2" s="531"/>
      <c r="AB2" s="6"/>
      <c r="AC2" s="6"/>
      <c r="AD2" s="6"/>
      <c r="AE2" s="6"/>
      <c r="AF2" s="6"/>
      <c r="AG2" s="6"/>
      <c r="AH2" s="6"/>
      <c r="AI2" s="6"/>
      <c r="AJ2" s="6"/>
      <c r="AK2" s="6"/>
    </row>
    <row r="3" spans="2:41" ht="14.25" thickBot="1">
      <c r="B3" s="2881" t="str">
        <f>メイン!H11</f>
        <v>新ビル</v>
      </c>
      <c r="C3" s="2882"/>
      <c r="D3" s="2882"/>
      <c r="E3" s="2882"/>
      <c r="F3" s="2883"/>
      <c r="G3" s="532"/>
      <c r="H3" s="207"/>
      <c r="I3" s="207"/>
      <c r="J3" s="207"/>
      <c r="K3" s="207"/>
      <c r="M3" s="527"/>
      <c r="O3" s="207"/>
      <c r="P3" s="529" t="s">
        <v>961</v>
      </c>
      <c r="S3" s="533" t="str">
        <f>メイン!C5</f>
        <v>CASBEE-BD_RN_2014(v.2.0)</v>
      </c>
      <c r="T3" s="534"/>
      <c r="V3" s="534"/>
      <c r="W3" s="535"/>
      <c r="X3" s="535"/>
      <c r="Y3" s="535"/>
      <c r="Z3" s="535"/>
      <c r="AA3" s="536"/>
      <c r="AB3" s="6"/>
      <c r="AC3" s="6"/>
      <c r="AD3" s="6"/>
      <c r="AE3" s="6"/>
      <c r="AF3" s="6"/>
      <c r="AG3" s="6"/>
      <c r="AH3" s="6"/>
      <c r="AI3" s="6"/>
      <c r="AJ3" s="6"/>
      <c r="AK3" s="6"/>
    </row>
    <row r="4" spans="2:41" ht="14.25" thickBot="1">
      <c r="B4" s="224"/>
      <c r="C4" s="225"/>
      <c r="D4" s="226"/>
      <c r="H4" s="204"/>
      <c r="I4" s="204"/>
      <c r="J4" s="204"/>
      <c r="K4" s="204"/>
      <c r="L4" s="204"/>
      <c r="M4" s="204"/>
      <c r="N4" s="204"/>
      <c r="O4" s="204"/>
      <c r="P4" s="204"/>
      <c r="Q4" s="204"/>
      <c r="R4" s="204"/>
      <c r="S4" s="227"/>
      <c r="T4" s="227"/>
      <c r="U4" s="227"/>
      <c r="V4" s="204"/>
      <c r="W4" s="209"/>
      <c r="X4" s="209"/>
      <c r="Y4" s="209"/>
      <c r="Z4" s="209"/>
      <c r="AA4" s="209"/>
      <c r="AB4" s="6"/>
      <c r="AC4" s="6"/>
      <c r="AD4" s="6"/>
      <c r="AE4" s="6"/>
      <c r="AF4" s="6"/>
      <c r="AG4" s="6"/>
      <c r="AH4" s="6"/>
      <c r="AI4" s="6"/>
      <c r="AJ4" s="6"/>
      <c r="AK4" s="6"/>
    </row>
    <row r="5" spans="2:41" ht="15" thickBot="1">
      <c r="B5" s="228" t="s">
        <v>962</v>
      </c>
      <c r="C5" s="229"/>
      <c r="D5" s="230"/>
      <c r="E5" s="537"/>
      <c r="F5" s="537"/>
      <c r="G5" s="538"/>
      <c r="H5" s="539" t="str">
        <f>IF(メイン!H38=0,"",メイン!H38)</f>
        <v/>
      </c>
      <c r="I5" s="232"/>
      <c r="J5" s="232"/>
      <c r="K5" s="232"/>
      <c r="L5" s="540"/>
      <c r="M5" s="540"/>
      <c r="N5" s="540"/>
      <c r="O5" s="540"/>
      <c r="P5" s="540"/>
      <c r="Q5" s="540"/>
      <c r="R5" s="540"/>
      <c r="S5" s="540"/>
      <c r="T5" s="2868"/>
      <c r="U5" s="2869"/>
      <c r="AE5" s="6"/>
      <c r="AF5" s="542" t="s">
        <v>963</v>
      </c>
      <c r="AG5" s="541"/>
      <c r="AJ5" s="543" t="s">
        <v>964</v>
      </c>
      <c r="AK5" s="6"/>
    </row>
    <row r="6" spans="2:41" ht="14.25" thickBot="1">
      <c r="B6" s="241"/>
      <c r="C6" s="242"/>
      <c r="D6" s="243"/>
      <c r="E6" s="244"/>
      <c r="F6" s="244"/>
      <c r="G6" s="544"/>
      <c r="H6" s="545"/>
      <c r="I6" s="546"/>
      <c r="J6" s="546"/>
      <c r="K6" s="546"/>
      <c r="L6" s="547" t="s">
        <v>606</v>
      </c>
      <c r="M6" s="547"/>
      <c r="N6" s="248"/>
      <c r="O6" s="548"/>
      <c r="P6" s="547" t="s">
        <v>607</v>
      </c>
      <c r="Q6" s="547"/>
      <c r="R6" s="248"/>
      <c r="S6" s="549"/>
      <c r="T6" s="2870" t="s">
        <v>965</v>
      </c>
      <c r="U6" s="2871"/>
      <c r="W6" s="509" t="s">
        <v>966</v>
      </c>
      <c r="AA6" s="509" t="s">
        <v>966</v>
      </c>
      <c r="AE6" s="6"/>
      <c r="AF6" s="550" t="s">
        <v>967</v>
      </c>
      <c r="AG6" s="551"/>
      <c r="AH6" s="253">
        <f>重み_前!D7</f>
        <v>1</v>
      </c>
      <c r="AI6" s="253">
        <f>重み_後!D7</f>
        <v>1</v>
      </c>
      <c r="AJ6" s="550" t="s">
        <v>967</v>
      </c>
      <c r="AK6" s="551"/>
      <c r="AL6" s="253">
        <f>重み_前!E7</f>
        <v>0</v>
      </c>
      <c r="AM6" s="253">
        <f>重み_後!E7</f>
        <v>0</v>
      </c>
    </row>
    <row r="7" spans="2:41" ht="27.75" customHeight="1">
      <c r="B7" s="255" t="s">
        <v>968</v>
      </c>
      <c r="C7" s="256"/>
      <c r="D7" s="257"/>
      <c r="E7" s="258" t="s">
        <v>615</v>
      </c>
      <c r="F7" s="552"/>
      <c r="G7" s="553"/>
      <c r="H7" s="554" t="s">
        <v>432</v>
      </c>
      <c r="I7" s="555"/>
      <c r="J7" s="555"/>
      <c r="K7" s="555"/>
      <c r="L7" s="556" t="s">
        <v>469</v>
      </c>
      <c r="M7" s="557" t="s">
        <v>470</v>
      </c>
      <c r="N7" s="558" t="s">
        <v>969</v>
      </c>
      <c r="O7" s="559"/>
      <c r="P7" s="556" t="s">
        <v>469</v>
      </c>
      <c r="Q7" s="557" t="s">
        <v>470</v>
      </c>
      <c r="R7" s="558" t="s">
        <v>969</v>
      </c>
      <c r="S7" s="560"/>
      <c r="T7" s="561" t="s">
        <v>469</v>
      </c>
      <c r="U7" s="561" t="s">
        <v>470</v>
      </c>
      <c r="W7" s="550" t="s">
        <v>970</v>
      </c>
      <c r="X7" s="550" t="s">
        <v>971</v>
      </c>
      <c r="Y7" s="269" t="s">
        <v>972</v>
      </c>
      <c r="Z7" s="269" t="s">
        <v>973</v>
      </c>
      <c r="AA7" s="550" t="s">
        <v>970</v>
      </c>
      <c r="AB7" s="550" t="s">
        <v>971</v>
      </c>
      <c r="AC7" s="269" t="s">
        <v>972</v>
      </c>
      <c r="AD7" s="269" t="s">
        <v>973</v>
      </c>
      <c r="AE7" s="6"/>
      <c r="AF7" s="6"/>
      <c r="AG7" s="6"/>
      <c r="AH7" s="6"/>
      <c r="AI7" s="6"/>
      <c r="AJ7" s="6"/>
      <c r="AK7" s="6"/>
    </row>
    <row r="8" spans="2:41" ht="16.5" thickBot="1">
      <c r="B8" s="270" t="s">
        <v>974</v>
      </c>
      <c r="C8" s="271"/>
      <c r="D8" s="272"/>
      <c r="E8" s="273"/>
      <c r="F8" s="273"/>
      <c r="G8" s="562"/>
      <c r="H8" s="274"/>
      <c r="I8" s="275"/>
      <c r="J8" s="275"/>
      <c r="K8" s="275"/>
      <c r="L8" s="563"/>
      <c r="M8" s="564"/>
      <c r="N8" s="565"/>
      <c r="O8" s="566"/>
      <c r="P8" s="280"/>
      <c r="Q8" s="564"/>
      <c r="R8" s="567"/>
      <c r="S8" s="568"/>
      <c r="T8" s="569">
        <f t="shared" ref="T8:U10" si="0">ROUNDDOWN(AN8,1)</f>
        <v>3</v>
      </c>
      <c r="U8" s="569">
        <f t="shared" si="0"/>
        <v>3</v>
      </c>
      <c r="W8" s="570"/>
      <c r="X8" s="570"/>
      <c r="Y8" s="253">
        <f>スコア入力!AA8</f>
        <v>0</v>
      </c>
      <c r="Z8" s="253">
        <f>スコア入力!AB8</f>
        <v>0</v>
      </c>
      <c r="AA8" s="570"/>
      <c r="AB8" s="570"/>
      <c r="AC8" s="253">
        <f>スコア入力!AH8</f>
        <v>0</v>
      </c>
      <c r="AD8" s="253">
        <f>スコア入力!AI8</f>
        <v>0</v>
      </c>
      <c r="AE8" s="6"/>
      <c r="AF8" s="6"/>
      <c r="AG8" s="6"/>
      <c r="AH8" s="6"/>
      <c r="AI8" s="6"/>
      <c r="AJ8" s="6"/>
      <c r="AK8" s="6"/>
      <c r="AN8" s="569">
        <f>AH9*AN9+AH61*AN61+AH109*AN109</f>
        <v>3.0168750000000002</v>
      </c>
      <c r="AO8" s="569">
        <f>AI9*AO9+AI61*AO61+AI109*AO109</f>
        <v>3.0000000000000004</v>
      </c>
    </row>
    <row r="9" spans="2:41" ht="15.75" thickBot="1">
      <c r="B9" s="283" t="s">
        <v>975</v>
      </c>
      <c r="C9" s="284"/>
      <c r="D9" s="284" t="s">
        <v>976</v>
      </c>
      <c r="E9" s="284"/>
      <c r="F9" s="571"/>
      <c r="G9" s="572"/>
      <c r="H9" s="285"/>
      <c r="I9" s="286"/>
      <c r="J9" s="286"/>
      <c r="K9" s="286"/>
      <c r="L9" s="438"/>
      <c r="M9" s="436"/>
      <c r="N9" s="573">
        <f>スコア入力!AC9</f>
        <v>0.4</v>
      </c>
      <c r="O9" s="573">
        <f>スコア入力!AE9</f>
        <v>0.39999999999999997</v>
      </c>
      <c r="P9" s="291"/>
      <c r="Q9" s="574"/>
      <c r="R9" s="573"/>
      <c r="S9" s="573"/>
      <c r="T9" s="575">
        <f t="shared" si="0"/>
        <v>3</v>
      </c>
      <c r="U9" s="575">
        <f t="shared" si="0"/>
        <v>3</v>
      </c>
      <c r="W9" s="576">
        <f t="shared" ref="W9:W40" si="1">AF9</f>
        <v>3</v>
      </c>
      <c r="X9" s="576">
        <f t="shared" ref="X9:X40" si="2">AG9</f>
        <v>3.0000000000000004</v>
      </c>
      <c r="Y9" s="253">
        <f>スコア入力!AA9</f>
        <v>0.4</v>
      </c>
      <c r="Z9" s="253">
        <f>スコア入力!AB9</f>
        <v>0.39999999999999997</v>
      </c>
      <c r="AA9" s="576">
        <f t="shared" ref="AA9:AA40" si="3">AJ9</f>
        <v>3</v>
      </c>
      <c r="AB9" s="576">
        <f t="shared" ref="AB9:AB40" si="4">AK9</f>
        <v>3.0000000000000004</v>
      </c>
      <c r="AC9" s="253">
        <f>スコア入力!AH9</f>
        <v>0</v>
      </c>
      <c r="AD9" s="253">
        <f>スコア入力!AI9</f>
        <v>0</v>
      </c>
      <c r="AE9" s="6"/>
      <c r="AF9" s="577">
        <f>AN9</f>
        <v>3</v>
      </c>
      <c r="AG9" s="577">
        <f>AO9</f>
        <v>3.0000000000000004</v>
      </c>
      <c r="AH9" s="573">
        <f>スコア入力!AC9</f>
        <v>0.4</v>
      </c>
      <c r="AI9" s="573">
        <f>スコア入力!AE9</f>
        <v>0.39999999999999997</v>
      </c>
      <c r="AJ9" s="577">
        <f>AN9</f>
        <v>3</v>
      </c>
      <c r="AK9" s="577">
        <f>AO9</f>
        <v>3.0000000000000004</v>
      </c>
      <c r="AL9" s="573">
        <f>スコア入力!AJ9</f>
        <v>0</v>
      </c>
      <c r="AM9" s="573">
        <f>スコア入力!AL9</f>
        <v>0</v>
      </c>
      <c r="AN9" s="575">
        <f>AN10*AH10+AN20*AH20+AN34*AH34+AN47*AH47</f>
        <v>3</v>
      </c>
      <c r="AO9" s="575">
        <f>AO10*AI10+AO20*AI20+AO34*AI34+AO47*AI47</f>
        <v>3.0000000000000004</v>
      </c>
    </row>
    <row r="10" spans="2:41" ht="14.25" thickBot="1">
      <c r="B10" s="293">
        <v>1</v>
      </c>
      <c r="C10" s="294" t="s">
        <v>630</v>
      </c>
      <c r="D10" s="295"/>
      <c r="E10" s="578"/>
      <c r="F10" s="579"/>
      <c r="G10" s="579"/>
      <c r="H10" s="2833"/>
      <c r="I10" s="2834"/>
      <c r="J10" s="2834"/>
      <c r="K10" s="2835"/>
      <c r="L10" s="2429">
        <f t="shared" ref="L10:L39" si="5">IF(Y10=0,0,ROUNDDOWN(AF10,1))</f>
        <v>3</v>
      </c>
      <c r="M10" s="2429">
        <f t="shared" ref="M10:M39" si="6">IF(Z10=0,0,ROUNDDOWN(AG10,1))</f>
        <v>3</v>
      </c>
      <c r="N10" s="580">
        <f>スコア入力!AC10</f>
        <v>0.15</v>
      </c>
      <c r="O10" s="580">
        <f>スコア入力!AE10</f>
        <v>0.15240030480060959</v>
      </c>
      <c r="P10" s="577">
        <f t="shared" ref="P10:P39" si="7">IF(AC10=0,0,ROUNDDOWN(AJ10,1))</f>
        <v>0</v>
      </c>
      <c r="Q10" s="577">
        <f t="shared" ref="Q10:Q39" si="8">IF(AD10=0,0,ROUNDDOWN(AK10,1))</f>
        <v>0</v>
      </c>
      <c r="R10" s="580"/>
      <c r="S10" s="580"/>
      <c r="T10" s="581">
        <f t="shared" si="0"/>
        <v>3</v>
      </c>
      <c r="U10" s="581">
        <f t="shared" si="0"/>
        <v>3</v>
      </c>
      <c r="W10" s="576">
        <f t="shared" si="1"/>
        <v>3.0000000000000004</v>
      </c>
      <c r="X10" s="576">
        <f t="shared" si="2"/>
        <v>3.0000000000000004</v>
      </c>
      <c r="Y10" s="253">
        <f>スコア入力!AA10</f>
        <v>0.15</v>
      </c>
      <c r="Z10" s="253">
        <f>スコア入力!AB10</f>
        <v>0.15240030480060959</v>
      </c>
      <c r="AA10" s="576">
        <f t="shared" si="3"/>
        <v>0</v>
      </c>
      <c r="AB10" s="576">
        <f t="shared" si="4"/>
        <v>0</v>
      </c>
      <c r="AC10" s="253">
        <f>スコア入力!AH10</f>
        <v>1</v>
      </c>
      <c r="AD10" s="253">
        <f>スコア入力!AI10</f>
        <v>0</v>
      </c>
      <c r="AE10" s="6"/>
      <c r="AF10" s="577">
        <f>AF11*AH11+AF14*AH14+AF19*AH19</f>
        <v>3.0000000000000004</v>
      </c>
      <c r="AG10" s="577">
        <f>AG11*AI11+AG14*AI14+AG19*AI19</f>
        <v>3.0000000000000004</v>
      </c>
      <c r="AH10" s="580">
        <f>スコア入力!AC10</f>
        <v>0.15</v>
      </c>
      <c r="AI10" s="580">
        <f>スコア入力!AE10</f>
        <v>0.15240030480060959</v>
      </c>
      <c r="AJ10" s="577">
        <f>AJ11*AL11+AJ14*AL14+AJ19*AL19</f>
        <v>0</v>
      </c>
      <c r="AK10" s="577">
        <f>AK11*AM11+AK14*AM14+AK19*AM19</f>
        <v>0</v>
      </c>
      <c r="AL10" s="580">
        <f>スコア入力!AJ10</f>
        <v>0</v>
      </c>
      <c r="AM10" s="580">
        <f>スコア入力!AL10</f>
        <v>0</v>
      </c>
      <c r="AN10" s="581">
        <f>IF(AJ10=0,AF10,IF(AF10=0,AJ10,AF10*AH$6+AJ10*AL$6))</f>
        <v>3.0000000000000004</v>
      </c>
      <c r="AO10" s="581">
        <f>IF(AK10=0,AG10,IF(AG10=0,AK10,AG10*AI$6+AK10*AM$6))</f>
        <v>3.0000000000000004</v>
      </c>
    </row>
    <row r="11" spans="2:41" ht="14.25" thickBot="1">
      <c r="B11" s="305"/>
      <c r="C11" s="306">
        <v>1.1000000000000001</v>
      </c>
      <c r="D11" s="307" t="s">
        <v>633</v>
      </c>
      <c r="E11" s="334"/>
      <c r="F11" s="334"/>
      <c r="G11" s="334"/>
      <c r="H11" s="2836"/>
      <c r="I11" s="2837"/>
      <c r="J11" s="2837"/>
      <c r="K11" s="2838"/>
      <c r="L11" s="2430">
        <f t="shared" si="5"/>
        <v>3</v>
      </c>
      <c r="M11" s="2431">
        <f>IF(Z11=0,0,ROUNDDOWN(AG11,1))</f>
        <v>3</v>
      </c>
      <c r="N11" s="2428">
        <f>スコア入力!AC11</f>
        <v>0.4</v>
      </c>
      <c r="O11" s="583">
        <f>スコア入力!AE11</f>
        <v>0.4</v>
      </c>
      <c r="P11" s="2430">
        <f t="shared" si="7"/>
        <v>0</v>
      </c>
      <c r="Q11" s="2431">
        <f t="shared" si="8"/>
        <v>0</v>
      </c>
      <c r="R11" s="583">
        <f>スコア入力!AJ11</f>
        <v>0</v>
      </c>
      <c r="S11" s="583">
        <f>スコア入力!AL11</f>
        <v>0</v>
      </c>
      <c r="T11" s="584"/>
      <c r="U11" s="584"/>
      <c r="W11" s="570">
        <f>AF11</f>
        <v>3</v>
      </c>
      <c r="X11" s="570">
        <f t="shared" si="2"/>
        <v>3</v>
      </c>
      <c r="Y11" s="253">
        <f>スコア入力!AA11</f>
        <v>0.4</v>
      </c>
      <c r="Z11" s="253">
        <f>スコア入力!AB11</f>
        <v>0.4</v>
      </c>
      <c r="AA11" s="570">
        <f t="shared" si="3"/>
        <v>3</v>
      </c>
      <c r="AB11" s="570">
        <f t="shared" si="4"/>
        <v>0</v>
      </c>
      <c r="AC11" s="253">
        <f>スコア入力!AH11</f>
        <v>0</v>
      </c>
      <c r="AD11" s="253">
        <f>スコア入力!AI11</f>
        <v>0</v>
      </c>
      <c r="AE11" s="6"/>
      <c r="AF11" s="587">
        <f>スコア入力!N11</f>
        <v>3</v>
      </c>
      <c r="AG11" s="587">
        <f>スコア入力!P11</f>
        <v>3</v>
      </c>
      <c r="AH11" s="586">
        <f>スコア入力!AC11</f>
        <v>0.4</v>
      </c>
      <c r="AI11" s="586">
        <f>スコア入力!AE11</f>
        <v>0.4</v>
      </c>
      <c r="AJ11" s="587">
        <f>スコア入力!U11</f>
        <v>3</v>
      </c>
      <c r="AK11" s="587">
        <f>スコア入力!W11</f>
        <v>0</v>
      </c>
      <c r="AL11" s="586">
        <f>スコア入力!AJ11</f>
        <v>0</v>
      </c>
      <c r="AM11" s="586">
        <f>スコア入力!AL11</f>
        <v>0</v>
      </c>
      <c r="AN11" s="581"/>
      <c r="AO11" s="581"/>
    </row>
    <row r="12" spans="2:41" ht="13.5" hidden="1">
      <c r="B12" s="305"/>
      <c r="C12" s="313"/>
      <c r="D12" s="2109">
        <v>1</v>
      </c>
      <c r="E12" s="2403" t="s">
        <v>843</v>
      </c>
      <c r="F12" s="308"/>
      <c r="G12" s="308"/>
      <c r="H12" s="2836"/>
      <c r="I12" s="2837"/>
      <c r="J12" s="2837"/>
      <c r="K12" s="2838"/>
      <c r="L12" s="585">
        <f t="shared" si="5"/>
        <v>0</v>
      </c>
      <c r="M12" s="585">
        <f t="shared" si="6"/>
        <v>0</v>
      </c>
      <c r="N12" s="586">
        <f>スコア入力!AC12</f>
        <v>0</v>
      </c>
      <c r="O12" s="586">
        <f>スコア入力!AE12</f>
        <v>0</v>
      </c>
      <c r="P12" s="585">
        <f t="shared" si="7"/>
        <v>0</v>
      </c>
      <c r="Q12" s="585">
        <f t="shared" si="8"/>
        <v>0</v>
      </c>
      <c r="R12" s="586">
        <f>スコア入力!AJ12</f>
        <v>0</v>
      </c>
      <c r="S12" s="586">
        <f>スコア入力!AL12</f>
        <v>0</v>
      </c>
      <c r="T12" s="581"/>
      <c r="U12" s="581"/>
      <c r="W12" s="254">
        <f t="shared" si="1"/>
        <v>0</v>
      </c>
      <c r="X12" s="254">
        <f t="shared" si="2"/>
        <v>0</v>
      </c>
      <c r="Y12" s="253">
        <f>スコア入力!AA12</f>
        <v>0</v>
      </c>
      <c r="Z12" s="253">
        <f>スコア入力!AB12</f>
        <v>0</v>
      </c>
      <c r="AA12" s="254">
        <f t="shared" si="3"/>
        <v>0</v>
      </c>
      <c r="AB12" s="254">
        <f t="shared" si="4"/>
        <v>0</v>
      </c>
      <c r="AC12" s="253">
        <f>スコア入力!AH12</f>
        <v>0</v>
      </c>
      <c r="AD12" s="253">
        <f>スコア入力!AI12</f>
        <v>0</v>
      </c>
      <c r="AE12" s="6"/>
      <c r="AF12" s="587">
        <f>スコア入力!N12</f>
        <v>0</v>
      </c>
      <c r="AG12" s="587">
        <f>スコア入力!P12</f>
        <v>0</v>
      </c>
      <c r="AH12" s="586">
        <f>スコア入力!AC12</f>
        <v>0</v>
      </c>
      <c r="AI12" s="586">
        <f>スコア入力!AE12</f>
        <v>0</v>
      </c>
      <c r="AJ12" s="587">
        <f>スコア入力!U12</f>
        <v>0</v>
      </c>
      <c r="AK12" s="587">
        <f>スコア入力!W12</f>
        <v>0</v>
      </c>
      <c r="AL12" s="586">
        <f>スコア入力!AJ12</f>
        <v>0</v>
      </c>
      <c r="AM12" s="586">
        <f>スコア入力!AL12</f>
        <v>0</v>
      </c>
      <c r="AN12" s="581"/>
      <c r="AO12" s="581"/>
    </row>
    <row r="13" spans="2:41" ht="14.25" hidden="1" thickBot="1">
      <c r="B13" s="305"/>
      <c r="C13" s="320"/>
      <c r="D13" s="2109">
        <v>2</v>
      </c>
      <c r="E13" s="2404" t="s">
        <v>842</v>
      </c>
      <c r="F13" s="334"/>
      <c r="G13" s="334"/>
      <c r="H13" s="2836"/>
      <c r="I13" s="2837"/>
      <c r="J13" s="2837"/>
      <c r="K13" s="2838"/>
      <c r="L13" s="588">
        <f t="shared" si="5"/>
        <v>0</v>
      </c>
      <c r="M13" s="588">
        <f t="shared" si="6"/>
        <v>0</v>
      </c>
      <c r="N13" s="586">
        <f>スコア入力!AC13</f>
        <v>0</v>
      </c>
      <c r="O13" s="586">
        <f>スコア入力!AE13</f>
        <v>0</v>
      </c>
      <c r="P13" s="588">
        <f t="shared" si="7"/>
        <v>0</v>
      </c>
      <c r="Q13" s="588">
        <f t="shared" si="8"/>
        <v>0</v>
      </c>
      <c r="R13" s="586">
        <f>スコア入力!AJ13</f>
        <v>0</v>
      </c>
      <c r="S13" s="586">
        <f>スコア入力!AL13</f>
        <v>0</v>
      </c>
      <c r="T13" s="581"/>
      <c r="U13" s="581"/>
      <c r="W13" s="254">
        <f t="shared" si="1"/>
        <v>0</v>
      </c>
      <c r="X13" s="254">
        <f t="shared" si="2"/>
        <v>0</v>
      </c>
      <c r="Y13" s="253">
        <f>スコア入力!AA13</f>
        <v>0</v>
      </c>
      <c r="Z13" s="253">
        <f>スコア入力!AB13</f>
        <v>0</v>
      </c>
      <c r="AA13" s="254">
        <f t="shared" si="3"/>
        <v>0</v>
      </c>
      <c r="AB13" s="254">
        <f t="shared" si="4"/>
        <v>0</v>
      </c>
      <c r="AC13" s="253">
        <f>スコア入力!AH13</f>
        <v>0</v>
      </c>
      <c r="AD13" s="253">
        <f>スコア入力!AI13</f>
        <v>0</v>
      </c>
      <c r="AE13" s="6"/>
      <c r="AF13" s="589">
        <f>スコア入力!N13</f>
        <v>0</v>
      </c>
      <c r="AG13" s="589">
        <f>スコア入力!P13</f>
        <v>0</v>
      </c>
      <c r="AH13" s="586">
        <f>スコア入力!AC13</f>
        <v>0</v>
      </c>
      <c r="AI13" s="586">
        <f>スコア入力!AE13</f>
        <v>0</v>
      </c>
      <c r="AJ13" s="589">
        <f>スコア入力!U13</f>
        <v>0</v>
      </c>
      <c r="AK13" s="589">
        <f>スコア入力!W13</f>
        <v>0</v>
      </c>
      <c r="AL13" s="586">
        <f>スコア入力!AJ13</f>
        <v>0</v>
      </c>
      <c r="AM13" s="586">
        <f>スコア入力!AL13</f>
        <v>0</v>
      </c>
      <c r="AN13" s="581"/>
      <c r="AO13" s="581"/>
    </row>
    <row r="14" spans="2:41" ht="14.25" thickBot="1">
      <c r="B14" s="305"/>
      <c r="C14" s="306">
        <v>1.2</v>
      </c>
      <c r="D14" s="307" t="s">
        <v>638</v>
      </c>
      <c r="E14" s="84"/>
      <c r="F14" s="84"/>
      <c r="G14" s="84"/>
      <c r="H14" s="2836"/>
      <c r="I14" s="2837"/>
      <c r="J14" s="2837"/>
      <c r="K14" s="2839"/>
      <c r="L14" s="590">
        <f t="shared" si="5"/>
        <v>3</v>
      </c>
      <c r="M14" s="582">
        <f t="shared" si="6"/>
        <v>3</v>
      </c>
      <c r="N14" s="586">
        <f>スコア入力!AC14</f>
        <v>0.4</v>
      </c>
      <c r="O14" s="586">
        <f>スコア入力!AE14</f>
        <v>0.39999999999999997</v>
      </c>
      <c r="P14" s="582">
        <f t="shared" si="7"/>
        <v>0</v>
      </c>
      <c r="Q14" s="582">
        <f t="shared" si="8"/>
        <v>0</v>
      </c>
      <c r="R14" s="586">
        <f>スコア入力!AJ14</f>
        <v>0</v>
      </c>
      <c r="S14" s="586">
        <f>スコア入力!AL14</f>
        <v>0</v>
      </c>
      <c r="T14" s="581"/>
      <c r="U14" s="581"/>
      <c r="W14" s="570">
        <f t="shared" si="1"/>
        <v>3</v>
      </c>
      <c r="X14" s="570">
        <f t="shared" si="2"/>
        <v>3</v>
      </c>
      <c r="Y14" s="253">
        <f>スコア入力!AA14</f>
        <v>0.4</v>
      </c>
      <c r="Z14" s="253">
        <f>スコア入力!AB14</f>
        <v>0.39999999999999997</v>
      </c>
      <c r="AA14" s="570">
        <f t="shared" si="3"/>
        <v>0</v>
      </c>
      <c r="AB14" s="570">
        <f t="shared" si="4"/>
        <v>0</v>
      </c>
      <c r="AC14" s="253">
        <f>スコア入力!AH14</f>
        <v>0</v>
      </c>
      <c r="AD14" s="253">
        <f>スコア入力!AI14</f>
        <v>0</v>
      </c>
      <c r="AE14" s="6"/>
      <c r="AF14" s="582">
        <f>SUMPRODUCT(AF15:AF18,AH15:AH18)</f>
        <v>3</v>
      </c>
      <c r="AG14" s="582">
        <f>SUMPRODUCT(AG15:AG18,AI15:AI18)</f>
        <v>3</v>
      </c>
      <c r="AH14" s="586">
        <f>スコア入力!AC14</f>
        <v>0.4</v>
      </c>
      <c r="AI14" s="586">
        <f>スコア入力!AE14</f>
        <v>0.39999999999999997</v>
      </c>
      <c r="AJ14" s="582">
        <f>SUMPRODUCT(AJ15:AJ18,AL15:AL18)</f>
        <v>0</v>
      </c>
      <c r="AK14" s="582">
        <f>SUMPRODUCT(AK15:AK18,AM15:AM18)</f>
        <v>0</v>
      </c>
      <c r="AL14" s="586">
        <f>スコア入力!AJ14</f>
        <v>0</v>
      </c>
      <c r="AM14" s="586">
        <f>スコア入力!AL14</f>
        <v>0</v>
      </c>
      <c r="AN14" s="581"/>
      <c r="AO14" s="581"/>
    </row>
    <row r="15" spans="2:41" ht="13.5">
      <c r="B15" s="305"/>
      <c r="C15" s="325"/>
      <c r="D15" s="314">
        <v>1</v>
      </c>
      <c r="E15" s="321" t="s">
        <v>640</v>
      </c>
      <c r="F15" s="334"/>
      <c r="G15" s="334"/>
      <c r="H15" s="2836"/>
      <c r="I15" s="2837"/>
      <c r="J15" s="2837"/>
      <c r="K15" s="2838"/>
      <c r="L15" s="585">
        <f t="shared" si="5"/>
        <v>0</v>
      </c>
      <c r="M15" s="585">
        <f t="shared" si="6"/>
        <v>3</v>
      </c>
      <c r="N15" s="586">
        <f>スコア入力!AC15</f>
        <v>0</v>
      </c>
      <c r="O15" s="586">
        <f>スコア入力!AE15</f>
        <v>0.72</v>
      </c>
      <c r="P15" s="585">
        <f t="shared" si="7"/>
        <v>0</v>
      </c>
      <c r="Q15" s="585">
        <f t="shared" si="8"/>
        <v>0</v>
      </c>
      <c r="R15" s="586">
        <f>スコア入力!AJ15</f>
        <v>0</v>
      </c>
      <c r="S15" s="586">
        <f>スコア入力!AL15</f>
        <v>0</v>
      </c>
      <c r="T15" s="581"/>
      <c r="U15" s="581"/>
      <c r="W15" s="254">
        <f t="shared" si="1"/>
        <v>0</v>
      </c>
      <c r="X15" s="254">
        <f t="shared" si="2"/>
        <v>3</v>
      </c>
      <c r="Y15" s="253">
        <f>スコア入力!AA15</f>
        <v>0</v>
      </c>
      <c r="Z15" s="253">
        <f>スコア入力!AB15</f>
        <v>0.72</v>
      </c>
      <c r="AA15" s="254">
        <f t="shared" si="3"/>
        <v>0</v>
      </c>
      <c r="AB15" s="254">
        <f t="shared" si="4"/>
        <v>0</v>
      </c>
      <c r="AC15" s="253">
        <f>スコア入力!AH15</f>
        <v>0</v>
      </c>
      <c r="AD15" s="253">
        <f>スコア入力!AI15</f>
        <v>0</v>
      </c>
      <c r="AE15" s="6"/>
      <c r="AF15" s="587">
        <f>スコア入力!N15</f>
        <v>0</v>
      </c>
      <c r="AG15" s="587">
        <f>スコア入力!P15</f>
        <v>3</v>
      </c>
      <c r="AH15" s="586">
        <f>スコア入力!AC15</f>
        <v>0</v>
      </c>
      <c r="AI15" s="586">
        <f>スコア入力!AE15</f>
        <v>0.72</v>
      </c>
      <c r="AJ15" s="587">
        <f>スコア入力!U15</f>
        <v>0</v>
      </c>
      <c r="AK15" s="587">
        <f>スコア入力!W15</f>
        <v>0</v>
      </c>
      <c r="AL15" s="586">
        <f>スコア入力!AJ15</f>
        <v>0</v>
      </c>
      <c r="AM15" s="586">
        <f>スコア入力!AL15</f>
        <v>0</v>
      </c>
      <c r="AN15" s="581"/>
      <c r="AO15" s="581"/>
    </row>
    <row r="16" spans="2:41" ht="13.5">
      <c r="B16" s="305"/>
      <c r="C16" s="313"/>
      <c r="D16" s="314">
        <v>2</v>
      </c>
      <c r="E16" s="321" t="s">
        <v>641</v>
      </c>
      <c r="F16" s="334"/>
      <c r="G16" s="334"/>
      <c r="H16" s="2836"/>
      <c r="I16" s="2837"/>
      <c r="J16" s="2837"/>
      <c r="K16" s="2838"/>
      <c r="L16" s="591">
        <f t="shared" si="5"/>
        <v>3</v>
      </c>
      <c r="M16" s="591">
        <f t="shared" si="6"/>
        <v>3</v>
      </c>
      <c r="N16" s="586">
        <f>スコア入力!AC16</f>
        <v>1</v>
      </c>
      <c r="O16" s="586">
        <f>スコア入力!AE16</f>
        <v>0.28000000000000003</v>
      </c>
      <c r="P16" s="591">
        <f t="shared" si="7"/>
        <v>0</v>
      </c>
      <c r="Q16" s="591">
        <f t="shared" si="8"/>
        <v>0</v>
      </c>
      <c r="R16" s="586">
        <f>スコア入力!AJ16</f>
        <v>0</v>
      </c>
      <c r="S16" s="586">
        <f>スコア入力!AL16</f>
        <v>0</v>
      </c>
      <c r="T16" s="581"/>
      <c r="U16" s="581"/>
      <c r="W16" s="254">
        <f t="shared" si="1"/>
        <v>3</v>
      </c>
      <c r="X16" s="254">
        <f t="shared" si="2"/>
        <v>3</v>
      </c>
      <c r="Y16" s="253">
        <f>スコア入力!AA16</f>
        <v>1</v>
      </c>
      <c r="Z16" s="253">
        <f>スコア入力!AB16</f>
        <v>0.28000000000000003</v>
      </c>
      <c r="AA16" s="254">
        <f t="shared" si="3"/>
        <v>3</v>
      </c>
      <c r="AB16" s="254">
        <f t="shared" si="4"/>
        <v>3</v>
      </c>
      <c r="AC16" s="253">
        <f>スコア入力!AH16</f>
        <v>0</v>
      </c>
      <c r="AD16" s="253">
        <f>スコア入力!AI16</f>
        <v>0</v>
      </c>
      <c r="AE16" s="6"/>
      <c r="AF16" s="427">
        <f>スコア入力!N16</f>
        <v>3</v>
      </c>
      <c r="AG16" s="427">
        <f>スコア入力!P16</f>
        <v>3</v>
      </c>
      <c r="AH16" s="586">
        <f>スコア入力!AC16</f>
        <v>1</v>
      </c>
      <c r="AI16" s="586">
        <f>スコア入力!AE16</f>
        <v>0.28000000000000003</v>
      </c>
      <c r="AJ16" s="427">
        <f>スコア入力!U16</f>
        <v>3</v>
      </c>
      <c r="AK16" s="427">
        <f>スコア入力!W16</f>
        <v>3</v>
      </c>
      <c r="AL16" s="586">
        <f>スコア入力!AJ16</f>
        <v>0</v>
      </c>
      <c r="AM16" s="586">
        <f>スコア入力!AL16</f>
        <v>0</v>
      </c>
      <c r="AN16" s="581"/>
      <c r="AO16" s="581"/>
    </row>
    <row r="17" spans="2:41" ht="13.5">
      <c r="B17" s="305"/>
      <c r="C17" s="313"/>
      <c r="D17" s="314">
        <v>3</v>
      </c>
      <c r="E17" s="321" t="s">
        <v>642</v>
      </c>
      <c r="F17" s="334"/>
      <c r="G17" s="334"/>
      <c r="H17" s="2836"/>
      <c r="I17" s="2837"/>
      <c r="J17" s="2837"/>
      <c r="K17" s="2838"/>
      <c r="L17" s="591">
        <f t="shared" si="5"/>
        <v>0</v>
      </c>
      <c r="M17" s="591">
        <f t="shared" si="6"/>
        <v>0</v>
      </c>
      <c r="N17" s="586">
        <f>スコア入力!AC17</f>
        <v>0</v>
      </c>
      <c r="O17" s="586">
        <f>スコア入力!AE17</f>
        <v>0</v>
      </c>
      <c r="P17" s="591">
        <f t="shared" si="7"/>
        <v>0</v>
      </c>
      <c r="Q17" s="591">
        <f t="shared" si="8"/>
        <v>0</v>
      </c>
      <c r="R17" s="586">
        <f>スコア入力!AJ17</f>
        <v>0</v>
      </c>
      <c r="S17" s="586">
        <f>スコア入力!AL17</f>
        <v>0</v>
      </c>
      <c r="T17" s="581"/>
      <c r="U17" s="581"/>
      <c r="W17" s="254">
        <f t="shared" si="1"/>
        <v>0</v>
      </c>
      <c r="X17" s="254">
        <f t="shared" si="2"/>
        <v>0</v>
      </c>
      <c r="Y17" s="253">
        <f>スコア入力!AA17</f>
        <v>0</v>
      </c>
      <c r="Z17" s="253">
        <f>スコア入力!AB17</f>
        <v>0</v>
      </c>
      <c r="AA17" s="254">
        <f t="shared" si="3"/>
        <v>3</v>
      </c>
      <c r="AB17" s="254">
        <f t="shared" si="4"/>
        <v>0</v>
      </c>
      <c r="AC17" s="253">
        <f>スコア入力!AH17</f>
        <v>0</v>
      </c>
      <c r="AD17" s="253">
        <f>スコア入力!AI17</f>
        <v>0</v>
      </c>
      <c r="AE17" s="6"/>
      <c r="AF17" s="427">
        <f>スコア入力!N17</f>
        <v>0</v>
      </c>
      <c r="AG17" s="427">
        <f>スコア入力!P17</f>
        <v>0</v>
      </c>
      <c r="AH17" s="586">
        <f>スコア入力!AC17</f>
        <v>0</v>
      </c>
      <c r="AI17" s="586">
        <f>スコア入力!AE17</f>
        <v>0</v>
      </c>
      <c r="AJ17" s="427">
        <f>スコア入力!U17</f>
        <v>3</v>
      </c>
      <c r="AK17" s="427">
        <f>スコア入力!W17</f>
        <v>0</v>
      </c>
      <c r="AL17" s="586">
        <f>スコア入力!AJ17</f>
        <v>0</v>
      </c>
      <c r="AM17" s="586">
        <f>スコア入力!AL17</f>
        <v>0</v>
      </c>
      <c r="AN17" s="581"/>
      <c r="AO17" s="581"/>
    </row>
    <row r="18" spans="2:41" ht="13.5">
      <c r="B18" s="305"/>
      <c r="C18" s="320"/>
      <c r="D18" s="314">
        <v>4</v>
      </c>
      <c r="E18" s="321" t="s">
        <v>643</v>
      </c>
      <c r="F18" s="334"/>
      <c r="G18" s="334"/>
      <c r="H18" s="2836"/>
      <c r="I18" s="2837"/>
      <c r="J18" s="2837"/>
      <c r="K18" s="2838"/>
      <c r="L18" s="591">
        <f t="shared" si="5"/>
        <v>0</v>
      </c>
      <c r="M18" s="591">
        <f t="shared" si="6"/>
        <v>0</v>
      </c>
      <c r="N18" s="586">
        <f>スコア入力!AC18</f>
        <v>0</v>
      </c>
      <c r="O18" s="586">
        <f>スコア入力!AE18</f>
        <v>0</v>
      </c>
      <c r="P18" s="591">
        <f t="shared" si="7"/>
        <v>0</v>
      </c>
      <c r="Q18" s="591">
        <f t="shared" si="8"/>
        <v>0</v>
      </c>
      <c r="R18" s="586">
        <f>スコア入力!AJ18</f>
        <v>0</v>
      </c>
      <c r="S18" s="586">
        <f>スコア入力!AL18</f>
        <v>0</v>
      </c>
      <c r="T18" s="581"/>
      <c r="U18" s="581"/>
      <c r="W18" s="254">
        <f t="shared" si="1"/>
        <v>0</v>
      </c>
      <c r="X18" s="254">
        <f t="shared" si="2"/>
        <v>0</v>
      </c>
      <c r="Y18" s="253">
        <f>スコア入力!AA18</f>
        <v>0</v>
      </c>
      <c r="Z18" s="253">
        <f>スコア入力!AB18</f>
        <v>0</v>
      </c>
      <c r="AA18" s="254">
        <f t="shared" si="3"/>
        <v>3</v>
      </c>
      <c r="AB18" s="254">
        <f t="shared" si="4"/>
        <v>0</v>
      </c>
      <c r="AC18" s="253">
        <f>スコア入力!AH18</f>
        <v>0</v>
      </c>
      <c r="AD18" s="253">
        <f>スコア入力!AI18</f>
        <v>0</v>
      </c>
      <c r="AE18" s="6"/>
      <c r="AF18" s="427">
        <f>スコア入力!N18</f>
        <v>0</v>
      </c>
      <c r="AG18" s="427">
        <f>スコア入力!P18</f>
        <v>0</v>
      </c>
      <c r="AH18" s="586">
        <f>スコア入力!AC18</f>
        <v>0</v>
      </c>
      <c r="AI18" s="586">
        <f>スコア入力!AE18</f>
        <v>0</v>
      </c>
      <c r="AJ18" s="427">
        <f>スコア入力!U18</f>
        <v>3</v>
      </c>
      <c r="AK18" s="427">
        <f>スコア入力!W18</f>
        <v>0</v>
      </c>
      <c r="AL18" s="586">
        <f>スコア入力!AJ18</f>
        <v>0</v>
      </c>
      <c r="AM18" s="586">
        <f>スコア入力!AL18</f>
        <v>0</v>
      </c>
      <c r="AN18" s="581"/>
      <c r="AO18" s="581"/>
    </row>
    <row r="19" spans="2:41" ht="14.25" thickBot="1">
      <c r="B19" s="332"/>
      <c r="C19" s="333">
        <v>1.3</v>
      </c>
      <c r="D19" s="334" t="s">
        <v>644</v>
      </c>
      <c r="E19" s="334"/>
      <c r="F19" s="334"/>
      <c r="G19" s="334"/>
      <c r="H19" s="2840"/>
      <c r="I19" s="2841"/>
      <c r="J19" s="2841"/>
      <c r="K19" s="2842"/>
      <c r="L19" s="462">
        <f t="shared" si="5"/>
        <v>3</v>
      </c>
      <c r="M19" s="588">
        <f t="shared" si="6"/>
        <v>3</v>
      </c>
      <c r="N19" s="586">
        <f>スコア入力!AC19</f>
        <v>0.2</v>
      </c>
      <c r="O19" s="586">
        <f>スコア入力!AE19</f>
        <v>0.2</v>
      </c>
      <c r="P19" s="588">
        <f t="shared" si="7"/>
        <v>0</v>
      </c>
      <c r="Q19" s="588">
        <f t="shared" si="8"/>
        <v>0</v>
      </c>
      <c r="R19" s="586">
        <f>スコア入力!AJ19</f>
        <v>0</v>
      </c>
      <c r="S19" s="586">
        <f>スコア入力!AL19</f>
        <v>0</v>
      </c>
      <c r="T19" s="581"/>
      <c r="U19" s="581"/>
      <c r="W19" s="254">
        <f t="shared" si="1"/>
        <v>3</v>
      </c>
      <c r="X19" s="254">
        <f t="shared" si="2"/>
        <v>3</v>
      </c>
      <c r="Y19" s="253">
        <f>スコア入力!AA19</f>
        <v>0.2</v>
      </c>
      <c r="Z19" s="253">
        <f>スコア入力!AB19</f>
        <v>0.2</v>
      </c>
      <c r="AA19" s="254">
        <f t="shared" si="3"/>
        <v>3</v>
      </c>
      <c r="AB19" s="254">
        <f t="shared" si="4"/>
        <v>0</v>
      </c>
      <c r="AC19" s="253">
        <f>スコア入力!AH19</f>
        <v>0</v>
      </c>
      <c r="AD19" s="253">
        <f>スコア入力!AI19</f>
        <v>0</v>
      </c>
      <c r="AE19" s="6"/>
      <c r="AF19" s="589">
        <f>スコア入力!N19</f>
        <v>3</v>
      </c>
      <c r="AG19" s="589">
        <f>スコア入力!P19</f>
        <v>3</v>
      </c>
      <c r="AH19" s="586">
        <f>スコア入力!AC19</f>
        <v>0.2</v>
      </c>
      <c r="AI19" s="586">
        <f>スコア入力!AE19</f>
        <v>0.2</v>
      </c>
      <c r="AJ19" s="589">
        <f>スコア入力!U19</f>
        <v>3</v>
      </c>
      <c r="AK19" s="589">
        <f>スコア入力!W19</f>
        <v>0</v>
      </c>
      <c r="AL19" s="586">
        <f>スコア入力!AJ19</f>
        <v>0</v>
      </c>
      <c r="AM19" s="586">
        <f>スコア入力!AL19</f>
        <v>0</v>
      </c>
      <c r="AN19" s="581"/>
      <c r="AO19" s="581"/>
    </row>
    <row r="20" spans="2:41" ht="13.5">
      <c r="B20" s="400">
        <v>2</v>
      </c>
      <c r="C20" s="336" t="s">
        <v>645</v>
      </c>
      <c r="D20" s="401"/>
      <c r="E20" s="384"/>
      <c r="F20" s="579"/>
      <c r="G20" s="579"/>
      <c r="H20" s="2843"/>
      <c r="I20" s="2844"/>
      <c r="J20" s="2844"/>
      <c r="K20" s="2845"/>
      <c r="L20" s="592">
        <f t="shared" si="5"/>
        <v>3</v>
      </c>
      <c r="M20" s="593">
        <f t="shared" si="6"/>
        <v>3</v>
      </c>
      <c r="N20" s="594">
        <f>スコア入力!AC20</f>
        <v>0.35</v>
      </c>
      <c r="O20" s="594">
        <f>スコア入力!AE20</f>
        <v>0.35560071120142245</v>
      </c>
      <c r="P20" s="595">
        <f t="shared" si="7"/>
        <v>0</v>
      </c>
      <c r="Q20" s="595">
        <f t="shared" si="8"/>
        <v>0</v>
      </c>
      <c r="R20" s="594"/>
      <c r="S20" s="594"/>
      <c r="T20" s="596">
        <f>ROUNDDOWN(AN20,1)</f>
        <v>3</v>
      </c>
      <c r="U20" s="596">
        <f>ROUNDDOWN(AO20,1)</f>
        <v>3</v>
      </c>
      <c r="W20" s="570">
        <f t="shared" si="1"/>
        <v>2.9999999999999996</v>
      </c>
      <c r="X20" s="570">
        <f t="shared" si="2"/>
        <v>3.0000000000000004</v>
      </c>
      <c r="Y20" s="253">
        <f>スコア入力!AA20</f>
        <v>0.35</v>
      </c>
      <c r="Z20" s="253">
        <f>スコア入力!AB20</f>
        <v>0.35560071120142245</v>
      </c>
      <c r="AA20" s="570">
        <f t="shared" si="3"/>
        <v>0</v>
      </c>
      <c r="AB20" s="570">
        <f t="shared" si="4"/>
        <v>0</v>
      </c>
      <c r="AC20" s="253">
        <f>スコア入力!AH20</f>
        <v>1</v>
      </c>
      <c r="AD20" s="253">
        <f>スコア入力!AI20</f>
        <v>0</v>
      </c>
      <c r="AE20" s="6"/>
      <c r="AF20" s="592">
        <f>AF21*AH21+AF30*AH30+AF31*AH31</f>
        <v>2.9999999999999996</v>
      </c>
      <c r="AG20" s="592">
        <f>AG21*AI21+AG30*AI30+AG31*AI31</f>
        <v>3.0000000000000004</v>
      </c>
      <c r="AH20" s="594">
        <f>スコア入力!AC20</f>
        <v>0.35</v>
      </c>
      <c r="AI20" s="597">
        <f>スコア入力!AE20</f>
        <v>0.35560071120142245</v>
      </c>
      <c r="AJ20" s="592">
        <f>AJ21*AL21+AJ30*AL30+AJ31*AL31</f>
        <v>0</v>
      </c>
      <c r="AK20" s="593">
        <f>AK21*AM21+AK30*AM30+AK31*AM31</f>
        <v>0</v>
      </c>
      <c r="AL20" s="594">
        <f>スコア入力!AJ20</f>
        <v>0</v>
      </c>
      <c r="AM20" s="597">
        <f>スコア入力!AL20</f>
        <v>0</v>
      </c>
      <c r="AN20" s="596">
        <f>IF(AJ20=0,AF20,IF(AF20=0,AJ20,AF20*AH$6+AJ20*AL$6))</f>
        <v>2.9999999999999996</v>
      </c>
      <c r="AO20" s="596">
        <f>IF(AK20=0,AG20,IF(AG20=0,AK20,AG20*AI$6+AK20*AM$6))</f>
        <v>3.0000000000000004</v>
      </c>
    </row>
    <row r="21" spans="2:41" ht="14.25" thickBot="1">
      <c r="B21" s="305"/>
      <c r="C21" s="306">
        <v>2.1</v>
      </c>
      <c r="D21" s="343" t="s">
        <v>648</v>
      </c>
      <c r="E21" s="384"/>
      <c r="F21" s="384"/>
      <c r="G21" s="384"/>
      <c r="H21" s="2846"/>
      <c r="I21" s="2847"/>
      <c r="J21" s="2847"/>
      <c r="K21" s="2848"/>
      <c r="L21" s="582">
        <f t="shared" si="5"/>
        <v>3</v>
      </c>
      <c r="M21" s="582">
        <f t="shared" si="6"/>
        <v>3</v>
      </c>
      <c r="N21" s="598">
        <f>スコア入力!AC21</f>
        <v>0.5</v>
      </c>
      <c r="O21" s="598">
        <f>スコア入力!AE21</f>
        <v>0.50000000000000011</v>
      </c>
      <c r="P21" s="582">
        <f t="shared" si="7"/>
        <v>0</v>
      </c>
      <c r="Q21" s="582">
        <f t="shared" si="8"/>
        <v>0</v>
      </c>
      <c r="R21" s="598">
        <f>スコア入力!AJ21</f>
        <v>0</v>
      </c>
      <c r="S21" s="598">
        <f>スコア入力!AL21</f>
        <v>0</v>
      </c>
      <c r="T21" s="584"/>
      <c r="U21" s="584"/>
      <c r="W21" s="570">
        <f t="shared" si="1"/>
        <v>2.9999999999999996</v>
      </c>
      <c r="X21" s="570">
        <f t="shared" si="2"/>
        <v>3</v>
      </c>
      <c r="Y21" s="253">
        <f>スコア入力!AA21</f>
        <v>0.5</v>
      </c>
      <c r="Z21" s="253">
        <f>スコア入力!AB21</f>
        <v>0.50000000000000011</v>
      </c>
      <c r="AA21" s="570">
        <f t="shared" si="3"/>
        <v>0</v>
      </c>
      <c r="AB21" s="570">
        <f t="shared" si="4"/>
        <v>0</v>
      </c>
      <c r="AC21" s="253">
        <f>スコア入力!AH21</f>
        <v>0</v>
      </c>
      <c r="AD21" s="253">
        <f>スコア入力!AI21</f>
        <v>0</v>
      </c>
      <c r="AE21" s="6"/>
      <c r="AF21" s="582">
        <f>SUMPRODUCT(AF22:AF29,AH22:AH29)</f>
        <v>2.9999999999999996</v>
      </c>
      <c r="AG21" s="582">
        <f>SUMPRODUCT(AG22:AG29,AI22:AI29)</f>
        <v>3</v>
      </c>
      <c r="AH21" s="598">
        <f>スコア入力!AC21</f>
        <v>0.5</v>
      </c>
      <c r="AI21" s="598">
        <f>スコア入力!AE21</f>
        <v>0.50000000000000011</v>
      </c>
      <c r="AJ21" s="582">
        <f>SUMPRODUCT(AJ22:AJ29,AL22:AL29)</f>
        <v>0</v>
      </c>
      <c r="AK21" s="582">
        <f>SUMPRODUCT(AK22:AK29,AM22:AM29)</f>
        <v>0</v>
      </c>
      <c r="AL21" s="598">
        <f>スコア入力!AJ21</f>
        <v>0</v>
      </c>
      <c r="AM21" s="598">
        <f>スコア入力!AL21</f>
        <v>0</v>
      </c>
      <c r="AN21" s="584"/>
      <c r="AO21" s="584"/>
    </row>
    <row r="22" spans="2:41" ht="13.5">
      <c r="B22" s="305"/>
      <c r="C22" s="2396"/>
      <c r="D22" s="314">
        <v>1</v>
      </c>
      <c r="E22" s="334" t="s">
        <v>867</v>
      </c>
      <c r="F22" s="337"/>
      <c r="G22" s="337"/>
      <c r="H22" s="2836"/>
      <c r="I22" s="2837"/>
      <c r="J22" s="2837"/>
      <c r="K22" s="2838"/>
      <c r="L22" s="585">
        <f t="shared" si="5"/>
        <v>3</v>
      </c>
      <c r="M22" s="585">
        <f t="shared" si="6"/>
        <v>3</v>
      </c>
      <c r="N22" s="586">
        <f>スコア入力!AC22</f>
        <v>0.37499999999999994</v>
      </c>
      <c r="O22" s="586">
        <f>スコア入力!AE22</f>
        <v>0.40540540540540543</v>
      </c>
      <c r="P22" s="585">
        <f t="shared" si="7"/>
        <v>0</v>
      </c>
      <c r="Q22" s="585">
        <f t="shared" si="8"/>
        <v>0</v>
      </c>
      <c r="R22" s="586">
        <f>スコア入力!AJ22</f>
        <v>0</v>
      </c>
      <c r="S22" s="586">
        <f>スコア入力!AL22</f>
        <v>0</v>
      </c>
      <c r="T22" s="581"/>
      <c r="U22" s="581"/>
      <c r="W22" s="254">
        <f t="shared" si="1"/>
        <v>3</v>
      </c>
      <c r="X22" s="254">
        <f t="shared" si="2"/>
        <v>3</v>
      </c>
      <c r="Y22" s="253">
        <f>スコア入力!AA22</f>
        <v>0.3</v>
      </c>
      <c r="Z22" s="253">
        <f>スコア入力!AB22</f>
        <v>0.29999999999999993</v>
      </c>
      <c r="AA22" s="254">
        <f t="shared" si="3"/>
        <v>0</v>
      </c>
      <c r="AB22" s="254">
        <f t="shared" si="4"/>
        <v>3</v>
      </c>
      <c r="AC22" s="253">
        <f>スコア入力!AH22</f>
        <v>0</v>
      </c>
      <c r="AD22" s="253">
        <f>スコア入力!AI22</f>
        <v>0</v>
      </c>
      <c r="AE22" s="6"/>
      <c r="AF22" s="587">
        <f>スコア入力!N22</f>
        <v>3</v>
      </c>
      <c r="AG22" s="587">
        <f>スコア入力!P22</f>
        <v>3</v>
      </c>
      <c r="AH22" s="586">
        <f>スコア入力!AC22</f>
        <v>0.37499999999999994</v>
      </c>
      <c r="AI22" s="586">
        <f>スコア入力!AE22</f>
        <v>0.40540540540540543</v>
      </c>
      <c r="AJ22" s="587">
        <f>スコア入力!U22</f>
        <v>0</v>
      </c>
      <c r="AK22" s="587">
        <f>スコア入力!W22</f>
        <v>3</v>
      </c>
      <c r="AL22" s="586">
        <f>スコア入力!AJ22</f>
        <v>0</v>
      </c>
      <c r="AM22" s="586">
        <f>スコア入力!AL22</f>
        <v>0</v>
      </c>
      <c r="AN22" s="581"/>
      <c r="AO22" s="581"/>
    </row>
    <row r="23" spans="2:41" ht="13.5" hidden="1">
      <c r="B23" s="305"/>
      <c r="C23" s="2396"/>
      <c r="D23" s="2109">
        <v>2</v>
      </c>
      <c r="E23" s="2085" t="s">
        <v>1797</v>
      </c>
      <c r="F23" s="337"/>
      <c r="G23" s="337"/>
      <c r="H23" s="2836"/>
      <c r="I23" s="2837"/>
      <c r="J23" s="2837"/>
      <c r="K23" s="2838"/>
      <c r="L23" s="591">
        <f t="shared" si="5"/>
        <v>0</v>
      </c>
      <c r="M23" s="591">
        <f t="shared" si="6"/>
        <v>0</v>
      </c>
      <c r="N23" s="586">
        <f>スコア入力!AC23</f>
        <v>0</v>
      </c>
      <c r="O23" s="586">
        <f>スコア入力!AE23</f>
        <v>0</v>
      </c>
      <c r="P23" s="591">
        <f t="shared" si="7"/>
        <v>0</v>
      </c>
      <c r="Q23" s="591">
        <f t="shared" si="8"/>
        <v>0</v>
      </c>
      <c r="R23" s="586">
        <f>スコア入力!AJ23</f>
        <v>0</v>
      </c>
      <c r="S23" s="586">
        <f>スコア入力!AL23</f>
        <v>0</v>
      </c>
      <c r="T23" s="581"/>
      <c r="U23" s="581"/>
      <c r="W23" s="254">
        <f t="shared" si="1"/>
        <v>0</v>
      </c>
      <c r="X23" s="254">
        <f t="shared" si="2"/>
        <v>0</v>
      </c>
      <c r="Y23" s="253">
        <f>スコア入力!AA23</f>
        <v>0</v>
      </c>
      <c r="Z23" s="253">
        <f>スコア入力!AB23</f>
        <v>5.9999999999999991E-2</v>
      </c>
      <c r="AA23" s="254">
        <f t="shared" si="3"/>
        <v>0</v>
      </c>
      <c r="AB23" s="254">
        <f t="shared" si="4"/>
        <v>0</v>
      </c>
      <c r="AC23" s="253">
        <f>スコア入力!AH23</f>
        <v>0</v>
      </c>
      <c r="AD23" s="253">
        <f>スコア入力!AI23</f>
        <v>0</v>
      </c>
      <c r="AE23" s="6"/>
      <c r="AF23" s="427">
        <f>スコア入力!N23</f>
        <v>0</v>
      </c>
      <c r="AG23" s="427">
        <f>スコア入力!P23</f>
        <v>0</v>
      </c>
      <c r="AH23" s="586">
        <f>スコア入力!AC23</f>
        <v>0</v>
      </c>
      <c r="AI23" s="586">
        <f>スコア入力!AE23</f>
        <v>0</v>
      </c>
      <c r="AJ23" s="427">
        <f>スコア入力!U23</f>
        <v>0</v>
      </c>
      <c r="AK23" s="427">
        <f>スコア入力!W23</f>
        <v>0</v>
      </c>
      <c r="AL23" s="586">
        <f>スコア入力!AJ23</f>
        <v>0</v>
      </c>
      <c r="AM23" s="586">
        <f>スコア入力!AL23</f>
        <v>0</v>
      </c>
      <c r="AN23" s="581"/>
      <c r="AO23" s="581"/>
    </row>
    <row r="24" spans="2:41" ht="13.5">
      <c r="B24" s="305"/>
      <c r="C24" s="2396"/>
      <c r="D24" s="314">
        <v>2</v>
      </c>
      <c r="E24" s="334" t="s">
        <v>650</v>
      </c>
      <c r="F24" s="337"/>
      <c r="G24" s="337"/>
      <c r="H24" s="2836"/>
      <c r="I24" s="2837"/>
      <c r="J24" s="2837"/>
      <c r="K24" s="2838"/>
      <c r="L24" s="591">
        <f t="shared" si="5"/>
        <v>3</v>
      </c>
      <c r="M24" s="591">
        <f t="shared" si="6"/>
        <v>3</v>
      </c>
      <c r="N24" s="586">
        <f>スコア入力!AC24</f>
        <v>0.25</v>
      </c>
      <c r="O24" s="586">
        <f>スコア入力!AE24</f>
        <v>0.22972972972972974</v>
      </c>
      <c r="P24" s="591">
        <f t="shared" si="7"/>
        <v>0</v>
      </c>
      <c r="Q24" s="591">
        <f t="shared" si="8"/>
        <v>0</v>
      </c>
      <c r="R24" s="586">
        <f>スコア入力!AJ24</f>
        <v>0</v>
      </c>
      <c r="S24" s="586">
        <f>スコア入力!AL24</f>
        <v>0</v>
      </c>
      <c r="T24" s="581"/>
      <c r="U24" s="581"/>
      <c r="W24" s="254">
        <f t="shared" si="1"/>
        <v>3</v>
      </c>
      <c r="X24" s="254">
        <f t="shared" si="2"/>
        <v>3</v>
      </c>
      <c r="Y24" s="253">
        <f>スコア入力!AA24</f>
        <v>0.2</v>
      </c>
      <c r="Z24" s="253">
        <f>スコア入力!AB24</f>
        <v>0.16999999999999996</v>
      </c>
      <c r="AA24" s="254">
        <f t="shared" si="3"/>
        <v>3</v>
      </c>
      <c r="AB24" s="254">
        <f t="shared" si="4"/>
        <v>3</v>
      </c>
      <c r="AC24" s="253">
        <f>スコア入力!AH24</f>
        <v>0</v>
      </c>
      <c r="AD24" s="253">
        <f>スコア入力!AI24</f>
        <v>0</v>
      </c>
      <c r="AE24" s="6"/>
      <c r="AF24" s="427">
        <f>スコア入力!N24</f>
        <v>3</v>
      </c>
      <c r="AG24" s="427">
        <f>スコア入力!P24</f>
        <v>3</v>
      </c>
      <c r="AH24" s="586">
        <f>スコア入力!AC24</f>
        <v>0.25</v>
      </c>
      <c r="AI24" s="586">
        <f>スコア入力!AE24</f>
        <v>0.22972972972972974</v>
      </c>
      <c r="AJ24" s="427">
        <f>スコア入力!U24</f>
        <v>3</v>
      </c>
      <c r="AK24" s="427">
        <f>スコア入力!W24</f>
        <v>3</v>
      </c>
      <c r="AL24" s="586">
        <f>スコア入力!AJ24</f>
        <v>0</v>
      </c>
      <c r="AM24" s="586">
        <f>スコア入力!AL24</f>
        <v>0</v>
      </c>
      <c r="AN24" s="581"/>
      <c r="AO24" s="581"/>
    </row>
    <row r="25" spans="2:41" ht="13.5">
      <c r="B25" s="305"/>
      <c r="C25" s="2396"/>
      <c r="D25" s="314">
        <v>3</v>
      </c>
      <c r="E25" s="334" t="s">
        <v>652</v>
      </c>
      <c r="F25" s="337"/>
      <c r="G25" s="337"/>
      <c r="H25" s="2836"/>
      <c r="I25" s="2837"/>
      <c r="J25" s="2837"/>
      <c r="K25" s="2838"/>
      <c r="L25" s="591">
        <f t="shared" si="5"/>
        <v>3</v>
      </c>
      <c r="M25" s="591">
        <f t="shared" si="6"/>
        <v>3</v>
      </c>
      <c r="N25" s="586">
        <f>スコア入力!AC25</f>
        <v>0.37499999999999994</v>
      </c>
      <c r="O25" s="586">
        <f>スコア入力!AE25</f>
        <v>0.36486486486486491</v>
      </c>
      <c r="P25" s="591">
        <f t="shared" si="7"/>
        <v>0</v>
      </c>
      <c r="Q25" s="591">
        <f t="shared" si="8"/>
        <v>0</v>
      </c>
      <c r="R25" s="586">
        <f>スコア入力!AJ25</f>
        <v>0</v>
      </c>
      <c r="S25" s="586">
        <f>スコア入力!AL25</f>
        <v>0</v>
      </c>
      <c r="T25" s="581"/>
      <c r="U25" s="581"/>
      <c r="W25" s="254">
        <f t="shared" si="1"/>
        <v>3</v>
      </c>
      <c r="X25" s="254">
        <f t="shared" si="2"/>
        <v>3</v>
      </c>
      <c r="Y25" s="253">
        <f>スコア入力!AA25</f>
        <v>0.3</v>
      </c>
      <c r="Z25" s="253">
        <f>スコア入力!AB25</f>
        <v>0.26999999999999996</v>
      </c>
      <c r="AA25" s="254">
        <f t="shared" si="3"/>
        <v>0</v>
      </c>
      <c r="AB25" s="254">
        <f t="shared" si="4"/>
        <v>0</v>
      </c>
      <c r="AC25" s="253">
        <f>スコア入力!AH25</f>
        <v>0</v>
      </c>
      <c r="AD25" s="253">
        <f>スコア入力!AI25</f>
        <v>0</v>
      </c>
      <c r="AE25" s="6"/>
      <c r="AF25" s="427">
        <f>スコア入力!N25</f>
        <v>3</v>
      </c>
      <c r="AG25" s="427">
        <f>スコア入力!P25</f>
        <v>3</v>
      </c>
      <c r="AH25" s="586">
        <f>スコア入力!AC25</f>
        <v>0.37499999999999994</v>
      </c>
      <c r="AI25" s="586">
        <f>スコア入力!AE25</f>
        <v>0.36486486486486491</v>
      </c>
      <c r="AJ25" s="427">
        <f>スコア入力!U25</f>
        <v>0</v>
      </c>
      <c r="AK25" s="427">
        <f>スコア入力!W25</f>
        <v>0</v>
      </c>
      <c r="AL25" s="586">
        <f>スコア入力!AJ25</f>
        <v>0</v>
      </c>
      <c r="AM25" s="586">
        <f>スコア入力!AL25</f>
        <v>0</v>
      </c>
      <c r="AN25" s="581"/>
      <c r="AO25" s="581"/>
    </row>
    <row r="26" spans="2:41" ht="13.5" hidden="1">
      <c r="B26" s="305"/>
      <c r="C26" s="2396"/>
      <c r="D26" s="2109">
        <v>5</v>
      </c>
      <c r="E26" s="2085" t="s">
        <v>1798</v>
      </c>
      <c r="F26" s="337"/>
      <c r="G26" s="337"/>
      <c r="H26" s="2836"/>
      <c r="I26" s="2837"/>
      <c r="J26" s="2837"/>
      <c r="K26" s="2838"/>
      <c r="L26" s="591">
        <f t="shared" si="5"/>
        <v>0</v>
      </c>
      <c r="M26" s="591">
        <f t="shared" si="6"/>
        <v>0</v>
      </c>
      <c r="N26" s="586">
        <f>スコア入力!AC26</f>
        <v>0</v>
      </c>
      <c r="O26" s="586">
        <f>スコア入力!AE26</f>
        <v>0</v>
      </c>
      <c r="P26" s="591">
        <f t="shared" si="7"/>
        <v>0</v>
      </c>
      <c r="Q26" s="591">
        <f t="shared" si="8"/>
        <v>0</v>
      </c>
      <c r="R26" s="586">
        <f>スコア入力!AJ26</f>
        <v>0</v>
      </c>
      <c r="S26" s="586">
        <f>スコア入力!AL26</f>
        <v>0</v>
      </c>
      <c r="T26" s="581"/>
      <c r="U26" s="581"/>
      <c r="W26" s="254">
        <f t="shared" si="1"/>
        <v>0</v>
      </c>
      <c r="X26" s="254">
        <f t="shared" si="2"/>
        <v>0</v>
      </c>
      <c r="Y26" s="253">
        <f>スコア入力!AA26</f>
        <v>0.1</v>
      </c>
      <c r="Z26" s="253">
        <f>スコア入力!AB26</f>
        <v>9.9999999999999978E-2</v>
      </c>
      <c r="AA26" s="254">
        <f t="shared" si="3"/>
        <v>0</v>
      </c>
      <c r="AB26" s="254">
        <f t="shared" si="4"/>
        <v>0</v>
      </c>
      <c r="AC26" s="253">
        <f>スコア入力!AH26</f>
        <v>0</v>
      </c>
      <c r="AD26" s="253">
        <f>スコア入力!AI26</f>
        <v>0</v>
      </c>
      <c r="AE26" s="6"/>
      <c r="AF26" s="427">
        <f>スコア入力!N26</f>
        <v>0</v>
      </c>
      <c r="AG26" s="427">
        <f>スコア入力!P26</f>
        <v>0</v>
      </c>
      <c r="AH26" s="586">
        <f>スコア入力!AC26</f>
        <v>0</v>
      </c>
      <c r="AI26" s="586">
        <f>スコア入力!AE26</f>
        <v>0</v>
      </c>
      <c r="AJ26" s="427">
        <f>スコア入力!U26</f>
        <v>0</v>
      </c>
      <c r="AK26" s="427">
        <f>スコア入力!W26</f>
        <v>0</v>
      </c>
      <c r="AL26" s="586">
        <f>スコア入力!AJ26</f>
        <v>0</v>
      </c>
      <c r="AM26" s="586">
        <f>スコア入力!AL26</f>
        <v>0</v>
      </c>
      <c r="AN26" s="581"/>
      <c r="AO26" s="581"/>
    </row>
    <row r="27" spans="2:41" ht="13.5" hidden="1">
      <c r="B27" s="305"/>
      <c r="C27" s="2396"/>
      <c r="D27" s="2109">
        <v>6</v>
      </c>
      <c r="E27" s="2085" t="s">
        <v>654</v>
      </c>
      <c r="F27" s="337"/>
      <c r="G27" s="337"/>
      <c r="H27" s="2836"/>
      <c r="I27" s="2837"/>
      <c r="J27" s="2837"/>
      <c r="K27" s="2838"/>
      <c r="L27" s="591">
        <f t="shared" si="5"/>
        <v>0</v>
      </c>
      <c r="M27" s="591">
        <f t="shared" si="6"/>
        <v>0</v>
      </c>
      <c r="N27" s="586">
        <f>スコア入力!AC27</f>
        <v>0</v>
      </c>
      <c r="O27" s="586">
        <f>スコア入力!AE27</f>
        <v>0</v>
      </c>
      <c r="P27" s="591">
        <f t="shared" si="7"/>
        <v>0</v>
      </c>
      <c r="Q27" s="591">
        <f t="shared" si="8"/>
        <v>0</v>
      </c>
      <c r="R27" s="586">
        <f>スコア入力!AJ27</f>
        <v>0</v>
      </c>
      <c r="S27" s="586">
        <f>スコア入力!AL27</f>
        <v>0</v>
      </c>
      <c r="T27" s="581"/>
      <c r="U27" s="581"/>
      <c r="W27" s="254">
        <f t="shared" si="1"/>
        <v>0</v>
      </c>
      <c r="X27" s="254">
        <f t="shared" si="2"/>
        <v>0</v>
      </c>
      <c r="Y27" s="253">
        <f>スコア入力!AA27</f>
        <v>0</v>
      </c>
      <c r="Z27" s="253">
        <f>スコア入力!AB27</f>
        <v>0</v>
      </c>
      <c r="AA27" s="254">
        <f t="shared" si="3"/>
        <v>0</v>
      </c>
      <c r="AB27" s="254">
        <f t="shared" si="4"/>
        <v>0</v>
      </c>
      <c r="AC27" s="253">
        <f>スコア入力!AH27</f>
        <v>0</v>
      </c>
      <c r="AD27" s="253">
        <f>スコア入力!AI27</f>
        <v>0</v>
      </c>
      <c r="AE27" s="6"/>
      <c r="AF27" s="427">
        <f>スコア入力!N27</f>
        <v>0</v>
      </c>
      <c r="AG27" s="427">
        <f>スコア入力!P27</f>
        <v>0</v>
      </c>
      <c r="AH27" s="586">
        <f>スコア入力!AC27</f>
        <v>0</v>
      </c>
      <c r="AI27" s="586">
        <f>スコア入力!AE27</f>
        <v>0</v>
      </c>
      <c r="AJ27" s="427">
        <f>スコア入力!U27</f>
        <v>0</v>
      </c>
      <c r="AK27" s="427">
        <f>スコア入力!W27</f>
        <v>0</v>
      </c>
      <c r="AL27" s="586">
        <f>スコア入力!AJ27</f>
        <v>0</v>
      </c>
      <c r="AM27" s="586">
        <f>スコア入力!AL27</f>
        <v>0</v>
      </c>
      <c r="AN27" s="581"/>
      <c r="AO27" s="581"/>
    </row>
    <row r="28" spans="2:41" ht="13.5" hidden="1">
      <c r="B28" s="305"/>
      <c r="C28" s="2396"/>
      <c r="D28" s="2109">
        <v>7</v>
      </c>
      <c r="E28" s="2085" t="s">
        <v>1799</v>
      </c>
      <c r="F28" s="337"/>
      <c r="G28" s="337"/>
      <c r="H28" s="2836"/>
      <c r="I28" s="2837"/>
      <c r="J28" s="2837"/>
      <c r="K28" s="2838"/>
      <c r="L28" s="591">
        <f t="shared" si="5"/>
        <v>0</v>
      </c>
      <c r="M28" s="591">
        <f t="shared" si="6"/>
        <v>0</v>
      </c>
      <c r="N28" s="586">
        <f>スコア入力!AC28</f>
        <v>0</v>
      </c>
      <c r="O28" s="586">
        <f>スコア入力!AE28</f>
        <v>0</v>
      </c>
      <c r="P28" s="591">
        <f t="shared" si="7"/>
        <v>0</v>
      </c>
      <c r="Q28" s="591">
        <f t="shared" si="8"/>
        <v>0</v>
      </c>
      <c r="R28" s="586">
        <f>スコア入力!AJ28</f>
        <v>0</v>
      </c>
      <c r="S28" s="586">
        <f>スコア入力!AL28</f>
        <v>0</v>
      </c>
      <c r="T28" s="581"/>
      <c r="U28" s="581"/>
      <c r="W28" s="254">
        <f t="shared" si="1"/>
        <v>0</v>
      </c>
      <c r="X28" s="254">
        <f t="shared" si="2"/>
        <v>0</v>
      </c>
      <c r="Y28" s="253">
        <f>スコア入力!AA28</f>
        <v>0.1</v>
      </c>
      <c r="Z28" s="253">
        <f>スコア入力!AB28</f>
        <v>6.9999999999999993E-2</v>
      </c>
      <c r="AA28" s="254">
        <f t="shared" si="3"/>
        <v>0</v>
      </c>
      <c r="AB28" s="254">
        <f t="shared" si="4"/>
        <v>0</v>
      </c>
      <c r="AC28" s="253">
        <f>スコア入力!AH28</f>
        <v>0</v>
      </c>
      <c r="AD28" s="253">
        <f>スコア入力!AI28</f>
        <v>0</v>
      </c>
      <c r="AE28" s="6"/>
      <c r="AF28" s="427">
        <f>スコア入力!N28</f>
        <v>0</v>
      </c>
      <c r="AG28" s="427">
        <f>スコア入力!P28</f>
        <v>0</v>
      </c>
      <c r="AH28" s="586">
        <f>スコア入力!AC28</f>
        <v>0</v>
      </c>
      <c r="AI28" s="586">
        <f>スコア入力!AE28</f>
        <v>0</v>
      </c>
      <c r="AJ28" s="427">
        <f>スコア入力!U28</f>
        <v>0</v>
      </c>
      <c r="AK28" s="427">
        <f>スコア入力!W28</f>
        <v>0</v>
      </c>
      <c r="AL28" s="586">
        <f>スコア入力!AJ28</f>
        <v>0</v>
      </c>
      <c r="AM28" s="586">
        <f>スコア入力!AL28</f>
        <v>0</v>
      </c>
      <c r="AN28" s="581"/>
      <c r="AO28" s="581"/>
    </row>
    <row r="29" spans="2:41" ht="13.5" hidden="1">
      <c r="B29" s="305"/>
      <c r="C29" s="2396"/>
      <c r="D29" s="2109">
        <v>8</v>
      </c>
      <c r="E29" s="2085" t="s">
        <v>656</v>
      </c>
      <c r="F29" s="384"/>
      <c r="G29" s="384"/>
      <c r="H29" s="2836"/>
      <c r="I29" s="2837"/>
      <c r="J29" s="2837"/>
      <c r="K29" s="2838"/>
      <c r="L29" s="591">
        <f t="shared" si="5"/>
        <v>0</v>
      </c>
      <c r="M29" s="591">
        <f t="shared" si="6"/>
        <v>0</v>
      </c>
      <c r="N29" s="586">
        <f>スコア入力!AC29</f>
        <v>0</v>
      </c>
      <c r="O29" s="586">
        <f>スコア入力!AE29</f>
        <v>0</v>
      </c>
      <c r="P29" s="591">
        <f t="shared" si="7"/>
        <v>0</v>
      </c>
      <c r="Q29" s="591">
        <f t="shared" si="8"/>
        <v>0</v>
      </c>
      <c r="R29" s="586">
        <f>スコア入力!AJ29</f>
        <v>0</v>
      </c>
      <c r="S29" s="586">
        <f>スコア入力!AL29</f>
        <v>0</v>
      </c>
      <c r="T29" s="581"/>
      <c r="U29" s="581"/>
      <c r="W29" s="254">
        <f t="shared" si="1"/>
        <v>0</v>
      </c>
      <c r="X29" s="254">
        <f t="shared" si="2"/>
        <v>0</v>
      </c>
      <c r="Y29" s="253">
        <f>スコア入力!AA29</f>
        <v>0</v>
      </c>
      <c r="Z29" s="253">
        <f>スコア入力!AB29</f>
        <v>2.9999999999999995E-2</v>
      </c>
      <c r="AA29" s="254">
        <f t="shared" si="3"/>
        <v>0</v>
      </c>
      <c r="AB29" s="254">
        <f t="shared" si="4"/>
        <v>0</v>
      </c>
      <c r="AC29" s="253">
        <f>スコア入力!AH29</f>
        <v>0</v>
      </c>
      <c r="AD29" s="253">
        <f>スコア入力!AI29</f>
        <v>0</v>
      </c>
      <c r="AE29" s="6"/>
      <c r="AF29" s="427">
        <f>スコア入力!N29</f>
        <v>0</v>
      </c>
      <c r="AG29" s="427">
        <f>スコア入力!P29</f>
        <v>0</v>
      </c>
      <c r="AH29" s="586">
        <f>スコア入力!AC29</f>
        <v>0</v>
      </c>
      <c r="AI29" s="586">
        <f>スコア入力!AE29</f>
        <v>0</v>
      </c>
      <c r="AJ29" s="427">
        <f>スコア入力!U29</f>
        <v>0</v>
      </c>
      <c r="AK29" s="427">
        <f>スコア入力!W29</f>
        <v>0</v>
      </c>
      <c r="AL29" s="586">
        <f>スコア入力!AJ29</f>
        <v>0</v>
      </c>
      <c r="AM29" s="586">
        <f>スコア入力!AL29</f>
        <v>0</v>
      </c>
      <c r="AN29" s="581"/>
      <c r="AO29" s="581"/>
    </row>
    <row r="30" spans="2:41" ht="14.25" thickBot="1">
      <c r="B30" s="305"/>
      <c r="C30" s="333">
        <v>2.2000000000000002</v>
      </c>
      <c r="D30" s="334" t="s">
        <v>977</v>
      </c>
      <c r="E30" s="337"/>
      <c r="F30" s="337"/>
      <c r="G30" s="337"/>
      <c r="H30" s="2836"/>
      <c r="I30" s="2837"/>
      <c r="J30" s="2837"/>
      <c r="K30" s="2838"/>
      <c r="L30" s="461">
        <f t="shared" si="5"/>
        <v>3</v>
      </c>
      <c r="M30" s="462">
        <f t="shared" si="6"/>
        <v>3</v>
      </c>
      <c r="N30" s="586">
        <f>スコア入力!AC30</f>
        <v>0.2</v>
      </c>
      <c r="O30" s="586">
        <f>スコア入力!AE30</f>
        <v>0.19999999999999998</v>
      </c>
      <c r="P30" s="588">
        <f t="shared" si="7"/>
        <v>0</v>
      </c>
      <c r="Q30" s="588">
        <f t="shared" si="8"/>
        <v>0</v>
      </c>
      <c r="R30" s="586">
        <f>スコア入力!AJ30</f>
        <v>0</v>
      </c>
      <c r="S30" s="586">
        <f>スコア入力!AL30</f>
        <v>0</v>
      </c>
      <c r="T30" s="581"/>
      <c r="U30" s="581"/>
      <c r="W30" s="254">
        <f t="shared" si="1"/>
        <v>3</v>
      </c>
      <c r="X30" s="254">
        <f t="shared" si="2"/>
        <v>3</v>
      </c>
      <c r="Y30" s="253">
        <f>スコア入力!AA30</f>
        <v>0.2</v>
      </c>
      <c r="Z30" s="253">
        <f>スコア入力!AB30</f>
        <v>0.19999999999999998</v>
      </c>
      <c r="AA30" s="254">
        <f t="shared" si="3"/>
        <v>0</v>
      </c>
      <c r="AB30" s="254">
        <f t="shared" si="4"/>
        <v>0</v>
      </c>
      <c r="AC30" s="253">
        <f>スコア入力!AH30</f>
        <v>0</v>
      </c>
      <c r="AD30" s="253">
        <f>スコア入力!AI30</f>
        <v>0</v>
      </c>
      <c r="AE30" s="6"/>
      <c r="AF30" s="589">
        <f>スコア入力!N30</f>
        <v>3</v>
      </c>
      <c r="AG30" s="589">
        <f>スコア入力!P30</f>
        <v>3</v>
      </c>
      <c r="AH30" s="586">
        <f>スコア入力!AC30</f>
        <v>0.2</v>
      </c>
      <c r="AI30" s="586">
        <f>スコア入力!AE30</f>
        <v>0.19999999999999998</v>
      </c>
      <c r="AJ30" s="589">
        <f>スコア入力!U30</f>
        <v>0</v>
      </c>
      <c r="AK30" s="589">
        <f>スコア入力!W30</f>
        <v>0</v>
      </c>
      <c r="AL30" s="586">
        <f>スコア入力!AJ30</f>
        <v>0</v>
      </c>
      <c r="AM30" s="586">
        <f>スコア入力!AL30</f>
        <v>0</v>
      </c>
      <c r="AN30" s="581"/>
      <c r="AO30" s="581"/>
    </row>
    <row r="31" spans="2:41" ht="14.25" thickBot="1">
      <c r="B31" s="305"/>
      <c r="C31" s="325">
        <v>2.2999999999999998</v>
      </c>
      <c r="D31" s="334" t="s">
        <v>657</v>
      </c>
      <c r="E31" s="337"/>
      <c r="F31" s="337"/>
      <c r="G31" s="337"/>
      <c r="H31" s="2836"/>
      <c r="I31" s="2837"/>
      <c r="J31" s="2837"/>
      <c r="K31" s="2839"/>
      <c r="L31" s="590">
        <f t="shared" si="5"/>
        <v>3</v>
      </c>
      <c r="M31" s="599">
        <f t="shared" si="6"/>
        <v>3</v>
      </c>
      <c r="N31" s="580">
        <f>スコア入力!AC31</f>
        <v>0.3</v>
      </c>
      <c r="O31" s="580">
        <f>スコア入力!AE31</f>
        <v>0.3</v>
      </c>
      <c r="P31" s="599">
        <f t="shared" si="7"/>
        <v>0</v>
      </c>
      <c r="Q31" s="599">
        <f t="shared" si="8"/>
        <v>0</v>
      </c>
      <c r="R31" s="580">
        <f>スコア入力!AJ31</f>
        <v>0</v>
      </c>
      <c r="S31" s="580">
        <f>スコア入力!AL31</f>
        <v>0</v>
      </c>
      <c r="T31" s="581"/>
      <c r="U31" s="581"/>
      <c r="W31" s="600">
        <f t="shared" si="1"/>
        <v>3</v>
      </c>
      <c r="X31" s="600">
        <f t="shared" si="2"/>
        <v>3</v>
      </c>
      <c r="Y31" s="253">
        <f>スコア入力!AA31</f>
        <v>0.3</v>
      </c>
      <c r="Z31" s="253">
        <f>スコア入力!AB31</f>
        <v>0.3</v>
      </c>
      <c r="AA31" s="600">
        <f t="shared" si="3"/>
        <v>0</v>
      </c>
      <c r="AB31" s="600">
        <f t="shared" si="4"/>
        <v>0</v>
      </c>
      <c r="AC31" s="253">
        <f>スコア入力!AH31</f>
        <v>0</v>
      </c>
      <c r="AD31" s="253">
        <f>スコア入力!AI31</f>
        <v>0</v>
      </c>
      <c r="AE31" s="6"/>
      <c r="AF31" s="599">
        <f>SUMPRODUCT(AF32:AF33,AH32:AH33)</f>
        <v>3</v>
      </c>
      <c r="AG31" s="599">
        <f>SUMPRODUCT(AG32:AG33,AI32:AI33)</f>
        <v>3</v>
      </c>
      <c r="AH31" s="586">
        <f>スコア入力!AC31</f>
        <v>0.3</v>
      </c>
      <c r="AI31" s="586">
        <f>スコア入力!AE31</f>
        <v>0.3</v>
      </c>
      <c r="AJ31" s="599">
        <f>SUMPRODUCT(AJ32:AJ33,AL32:AL33)</f>
        <v>0</v>
      </c>
      <c r="AK31" s="599">
        <f>SUMPRODUCT(AK32:AK33,AM32:AM33)</f>
        <v>0</v>
      </c>
      <c r="AL31" s="586">
        <f>スコア入力!AJ31</f>
        <v>0</v>
      </c>
      <c r="AM31" s="586">
        <f>スコア入力!AL31</f>
        <v>0</v>
      </c>
      <c r="AN31" s="581"/>
      <c r="AO31" s="581"/>
    </row>
    <row r="32" spans="2:41" ht="13.5">
      <c r="B32" s="305"/>
      <c r="C32" s="2397"/>
      <c r="D32" s="314">
        <v>1</v>
      </c>
      <c r="E32" s="334" t="s">
        <v>659</v>
      </c>
      <c r="F32" s="337"/>
      <c r="G32" s="337"/>
      <c r="H32" s="2836"/>
      <c r="I32" s="2837"/>
      <c r="J32" s="2837"/>
      <c r="K32" s="2838"/>
      <c r="L32" s="585">
        <f t="shared" si="5"/>
        <v>3</v>
      </c>
      <c r="M32" s="585">
        <f t="shared" si="6"/>
        <v>3</v>
      </c>
      <c r="N32" s="586">
        <f>スコア入力!AC32</f>
        <v>0.5</v>
      </c>
      <c r="O32" s="586">
        <f>スコア入力!AE32</f>
        <v>0.5</v>
      </c>
      <c r="P32" s="585">
        <f t="shared" si="7"/>
        <v>0</v>
      </c>
      <c r="Q32" s="585">
        <f t="shared" si="8"/>
        <v>0</v>
      </c>
      <c r="R32" s="586">
        <f>スコア入力!AJ32</f>
        <v>0</v>
      </c>
      <c r="S32" s="586">
        <f>スコア入力!AL32</f>
        <v>0</v>
      </c>
      <c r="T32" s="581"/>
      <c r="U32" s="581"/>
      <c r="W32" s="254">
        <f t="shared" si="1"/>
        <v>3</v>
      </c>
      <c r="X32" s="254">
        <f t="shared" si="2"/>
        <v>3</v>
      </c>
      <c r="Y32" s="253">
        <f>スコア入力!AA32</f>
        <v>0.5</v>
      </c>
      <c r="Z32" s="253">
        <f>スコア入力!AB32</f>
        <v>0.5</v>
      </c>
      <c r="AA32" s="254">
        <f t="shared" si="3"/>
        <v>0</v>
      </c>
      <c r="AB32" s="254">
        <f t="shared" si="4"/>
        <v>0</v>
      </c>
      <c r="AC32" s="253">
        <f>スコア入力!AH32</f>
        <v>0</v>
      </c>
      <c r="AD32" s="253">
        <f>スコア入力!AI32</f>
        <v>0</v>
      </c>
      <c r="AE32" s="6"/>
      <c r="AF32" s="587">
        <f>スコア入力!N32</f>
        <v>3</v>
      </c>
      <c r="AG32" s="587">
        <f>スコア入力!P32</f>
        <v>3</v>
      </c>
      <c r="AH32" s="586">
        <f>スコア入力!AC32</f>
        <v>0.5</v>
      </c>
      <c r="AI32" s="586">
        <f>スコア入力!AE32</f>
        <v>0.5</v>
      </c>
      <c r="AJ32" s="587">
        <f>スコア入力!U32</f>
        <v>0</v>
      </c>
      <c r="AK32" s="587">
        <f>スコア入力!W32</f>
        <v>0</v>
      </c>
      <c r="AL32" s="586">
        <f>スコア入力!AJ32</f>
        <v>0</v>
      </c>
      <c r="AM32" s="586">
        <f>スコア入力!AL32</f>
        <v>0</v>
      </c>
      <c r="AN32" s="581"/>
      <c r="AO32" s="581"/>
    </row>
    <row r="33" spans="2:41" ht="14.25" thickBot="1">
      <c r="B33" s="2398"/>
      <c r="C33" s="2399"/>
      <c r="D33" s="314">
        <v>2</v>
      </c>
      <c r="E33" s="334" t="s">
        <v>662</v>
      </c>
      <c r="F33" s="337"/>
      <c r="G33" s="337"/>
      <c r="H33" s="2840"/>
      <c r="I33" s="2841"/>
      <c r="J33" s="2841"/>
      <c r="K33" s="2842"/>
      <c r="L33" s="588">
        <f t="shared" si="5"/>
        <v>3</v>
      </c>
      <c r="M33" s="588">
        <f t="shared" si="6"/>
        <v>3</v>
      </c>
      <c r="N33" s="586">
        <f>スコア入力!AC33</f>
        <v>0.5</v>
      </c>
      <c r="O33" s="586">
        <f>スコア入力!AE33</f>
        <v>0.5</v>
      </c>
      <c r="P33" s="588">
        <f t="shared" si="7"/>
        <v>0</v>
      </c>
      <c r="Q33" s="588">
        <f t="shared" si="8"/>
        <v>0</v>
      </c>
      <c r="R33" s="586">
        <f>スコア入力!AJ33</f>
        <v>0</v>
      </c>
      <c r="S33" s="586">
        <f>スコア入力!AL33</f>
        <v>0</v>
      </c>
      <c r="T33" s="581"/>
      <c r="U33" s="581"/>
      <c r="W33" s="254">
        <f t="shared" si="1"/>
        <v>3</v>
      </c>
      <c r="X33" s="254">
        <f t="shared" si="2"/>
        <v>3</v>
      </c>
      <c r="Y33" s="253">
        <f>スコア入力!AA33</f>
        <v>0.5</v>
      </c>
      <c r="Z33" s="253">
        <f>スコア入力!AB33</f>
        <v>0.5</v>
      </c>
      <c r="AA33" s="254">
        <f t="shared" si="3"/>
        <v>0</v>
      </c>
      <c r="AB33" s="254">
        <f t="shared" si="4"/>
        <v>0</v>
      </c>
      <c r="AC33" s="253">
        <f>スコア入力!AH33</f>
        <v>0</v>
      </c>
      <c r="AD33" s="253">
        <f>スコア入力!AI33</f>
        <v>0</v>
      </c>
      <c r="AE33" s="6"/>
      <c r="AF33" s="589">
        <f>スコア入力!N33</f>
        <v>3</v>
      </c>
      <c r="AG33" s="589">
        <f>スコア入力!P33</f>
        <v>3</v>
      </c>
      <c r="AH33" s="586">
        <f>スコア入力!AC33</f>
        <v>0.5</v>
      </c>
      <c r="AI33" s="586">
        <f>スコア入力!AE33</f>
        <v>0.5</v>
      </c>
      <c r="AJ33" s="589">
        <f>スコア入力!U33</f>
        <v>0</v>
      </c>
      <c r="AK33" s="589">
        <f>スコア入力!W33</f>
        <v>0</v>
      </c>
      <c r="AL33" s="586">
        <f>スコア入力!AJ33</f>
        <v>0</v>
      </c>
      <c r="AM33" s="586">
        <f>スコア入力!AL33</f>
        <v>0</v>
      </c>
      <c r="AN33" s="581"/>
      <c r="AO33" s="581"/>
    </row>
    <row r="34" spans="2:41" ht="13.5">
      <c r="B34" s="400">
        <v>3</v>
      </c>
      <c r="C34" s="336" t="s">
        <v>665</v>
      </c>
      <c r="D34" s="401"/>
      <c r="E34" s="384"/>
      <c r="F34" s="579"/>
      <c r="G34" s="579"/>
      <c r="H34" s="2843"/>
      <c r="I34" s="2844"/>
      <c r="J34" s="2844"/>
      <c r="K34" s="2845"/>
      <c r="L34" s="595">
        <f t="shared" si="5"/>
        <v>3</v>
      </c>
      <c r="M34" s="595">
        <f t="shared" si="6"/>
        <v>3</v>
      </c>
      <c r="N34" s="594">
        <f>スコア入力!AC34</f>
        <v>0.25</v>
      </c>
      <c r="O34" s="594">
        <f>スコア入力!AE34</f>
        <v>0.23799847599695198</v>
      </c>
      <c r="P34" s="595">
        <f t="shared" si="7"/>
        <v>0</v>
      </c>
      <c r="Q34" s="595">
        <f t="shared" si="8"/>
        <v>0</v>
      </c>
      <c r="R34" s="594"/>
      <c r="S34" s="594"/>
      <c r="T34" s="596">
        <f>ROUNDDOWN(AN34,1)</f>
        <v>3</v>
      </c>
      <c r="U34" s="596">
        <f>ROUNDDOWN(AO34,1)</f>
        <v>3</v>
      </c>
      <c r="W34" s="570">
        <f t="shared" si="1"/>
        <v>3</v>
      </c>
      <c r="X34" s="570">
        <f t="shared" si="2"/>
        <v>2.9999999999999996</v>
      </c>
      <c r="Y34" s="253">
        <f>スコア入力!AA34</f>
        <v>0.25</v>
      </c>
      <c r="Z34" s="253">
        <f>スコア入力!AB34</f>
        <v>0.23799847599695198</v>
      </c>
      <c r="AA34" s="570">
        <f t="shared" si="3"/>
        <v>0</v>
      </c>
      <c r="AB34" s="570">
        <f t="shared" si="4"/>
        <v>0</v>
      </c>
      <c r="AC34" s="253">
        <f>スコア入力!AH34</f>
        <v>1</v>
      </c>
      <c r="AD34" s="253">
        <f>スコア入力!AI34</f>
        <v>0</v>
      </c>
      <c r="AE34" s="6"/>
      <c r="AF34" s="595">
        <f>AF35*AH35+AF39*AH39+AF43*AH43+AF46*AH46</f>
        <v>3</v>
      </c>
      <c r="AG34" s="595">
        <f>AG35*AI35+AG39*AI39+AG43*AI43+AG46*AI46</f>
        <v>2.9999999999999996</v>
      </c>
      <c r="AH34" s="594">
        <f>スコア入力!AC34</f>
        <v>0.25</v>
      </c>
      <c r="AI34" s="594">
        <f>スコア入力!AE34</f>
        <v>0.23799847599695198</v>
      </c>
      <c r="AJ34" s="595">
        <f>AJ35*AL35+AJ39*AL39+AJ43*AL43+AJ46*AL46</f>
        <v>0</v>
      </c>
      <c r="AK34" s="595">
        <f>AK35*AM35+AK39*AM39+AK43*AM43+AK46*AM46</f>
        <v>0</v>
      </c>
      <c r="AL34" s="594">
        <f>スコア入力!AJ34</f>
        <v>0</v>
      </c>
      <c r="AM34" s="594">
        <f>スコア入力!AL34</f>
        <v>0</v>
      </c>
      <c r="AN34" s="596">
        <f>IF(AJ34=0,AF34,IF(AF34=0,AJ34,AF34*AH$6+AJ34*AL$6))</f>
        <v>3</v>
      </c>
      <c r="AO34" s="596">
        <f>IF(AK34=0,AG34,IF(AG34=0,AK34,AG34*AI$6+AK34*AM$6))</f>
        <v>2.9999999999999996</v>
      </c>
    </row>
    <row r="35" spans="2:41" ht="14.25" thickBot="1">
      <c r="B35" s="305"/>
      <c r="C35" s="306">
        <v>3.1</v>
      </c>
      <c r="D35" s="343" t="s">
        <v>666</v>
      </c>
      <c r="E35" s="384"/>
      <c r="F35" s="384"/>
      <c r="G35" s="384"/>
      <c r="H35" s="2846"/>
      <c r="I35" s="2847"/>
      <c r="J35" s="2847"/>
      <c r="K35" s="2848"/>
      <c r="L35" s="601">
        <f t="shared" si="5"/>
        <v>3</v>
      </c>
      <c r="M35" s="582">
        <f t="shared" si="6"/>
        <v>3</v>
      </c>
      <c r="N35" s="598">
        <f>スコア入力!AC35</f>
        <v>0.3</v>
      </c>
      <c r="O35" s="598">
        <f>スコア入力!AE35</f>
        <v>0.38420490928495193</v>
      </c>
      <c r="P35" s="582">
        <f t="shared" si="7"/>
        <v>0</v>
      </c>
      <c r="Q35" s="582">
        <f t="shared" si="8"/>
        <v>0</v>
      </c>
      <c r="R35" s="598">
        <f>スコア入力!AJ35</f>
        <v>0</v>
      </c>
      <c r="S35" s="598">
        <f>スコア入力!AL35</f>
        <v>0</v>
      </c>
      <c r="T35" s="584"/>
      <c r="U35" s="584"/>
      <c r="W35" s="570">
        <f t="shared" si="1"/>
        <v>3</v>
      </c>
      <c r="X35" s="570">
        <f t="shared" si="2"/>
        <v>3</v>
      </c>
      <c r="Y35" s="253">
        <f>スコア入力!AA35</f>
        <v>0.3</v>
      </c>
      <c r="Z35" s="253">
        <f>スコア入力!AB35</f>
        <v>0.38420490928495205</v>
      </c>
      <c r="AA35" s="570">
        <f t="shared" si="3"/>
        <v>0</v>
      </c>
      <c r="AB35" s="570">
        <f t="shared" si="4"/>
        <v>0</v>
      </c>
      <c r="AC35" s="253">
        <f>スコア入力!AH35</f>
        <v>0</v>
      </c>
      <c r="AD35" s="253">
        <f>スコア入力!AI35</f>
        <v>0</v>
      </c>
      <c r="AE35" s="6"/>
      <c r="AF35" s="582">
        <f>SUMPRODUCT(AF36:AF38,AH36:AH38)</f>
        <v>3</v>
      </c>
      <c r="AG35" s="582">
        <f>SUMPRODUCT(AG36:AG38,AI36:AI38)</f>
        <v>3</v>
      </c>
      <c r="AH35" s="598">
        <f>スコア入力!AC35</f>
        <v>0.3</v>
      </c>
      <c r="AI35" s="598">
        <f>スコア入力!AE35</f>
        <v>0.38420490928495193</v>
      </c>
      <c r="AJ35" s="582">
        <f>SUMPRODUCT(AJ36:AJ38,AL36:AL38)</f>
        <v>0</v>
      </c>
      <c r="AK35" s="582">
        <f>SUMPRODUCT(AK36:AK38,AM36:AM38)</f>
        <v>0</v>
      </c>
      <c r="AL35" s="598">
        <f>スコア入力!AJ35</f>
        <v>0</v>
      </c>
      <c r="AM35" s="598">
        <f>スコア入力!AL35</f>
        <v>0</v>
      </c>
      <c r="AN35" s="584"/>
      <c r="AO35" s="584"/>
    </row>
    <row r="36" spans="2:41" ht="13.5">
      <c r="B36" s="305"/>
      <c r="C36" s="2396"/>
      <c r="D36" s="314">
        <v>1</v>
      </c>
      <c r="E36" s="334" t="s">
        <v>671</v>
      </c>
      <c r="F36" s="337"/>
      <c r="G36" s="337"/>
      <c r="H36" s="2836"/>
      <c r="I36" s="2837"/>
      <c r="J36" s="2837"/>
      <c r="K36" s="2838"/>
      <c r="L36" s="585">
        <f t="shared" si="5"/>
        <v>3</v>
      </c>
      <c r="M36" s="585">
        <f t="shared" si="6"/>
        <v>3</v>
      </c>
      <c r="N36" s="586">
        <f>スコア入力!AC36</f>
        <v>0.6</v>
      </c>
      <c r="O36" s="586">
        <f>スコア入力!AE36</f>
        <v>0.42000000000000004</v>
      </c>
      <c r="P36" s="585">
        <f t="shared" si="7"/>
        <v>0</v>
      </c>
      <c r="Q36" s="585">
        <f t="shared" si="8"/>
        <v>0</v>
      </c>
      <c r="R36" s="586">
        <f>スコア入力!AJ36</f>
        <v>0</v>
      </c>
      <c r="S36" s="586">
        <f>スコア入力!AL36</f>
        <v>0</v>
      </c>
      <c r="T36" s="581"/>
      <c r="U36" s="581"/>
      <c r="W36" s="254">
        <f t="shared" si="1"/>
        <v>3</v>
      </c>
      <c r="X36" s="254">
        <f t="shared" si="2"/>
        <v>3</v>
      </c>
      <c r="Y36" s="253">
        <f>スコア入力!AA36</f>
        <v>0.6</v>
      </c>
      <c r="Z36" s="253">
        <f>スコア入力!AB36</f>
        <v>0.42000000000000004</v>
      </c>
      <c r="AA36" s="254">
        <f t="shared" si="3"/>
        <v>3</v>
      </c>
      <c r="AB36" s="254">
        <f t="shared" si="4"/>
        <v>3</v>
      </c>
      <c r="AC36" s="253">
        <f>スコア入力!AH36</f>
        <v>0</v>
      </c>
      <c r="AD36" s="253">
        <f>スコア入力!AI36</f>
        <v>0</v>
      </c>
      <c r="AE36" s="6"/>
      <c r="AF36" s="587">
        <f>スコア入力!N36</f>
        <v>3</v>
      </c>
      <c r="AG36" s="587">
        <f>スコア入力!P36</f>
        <v>3</v>
      </c>
      <c r="AH36" s="586">
        <f>スコア入力!AC36</f>
        <v>0.6</v>
      </c>
      <c r="AI36" s="586">
        <f>スコア入力!AE36</f>
        <v>0.42000000000000004</v>
      </c>
      <c r="AJ36" s="587">
        <f>スコア入力!U36</f>
        <v>3</v>
      </c>
      <c r="AK36" s="587">
        <f>スコア入力!W36</f>
        <v>3</v>
      </c>
      <c r="AL36" s="586">
        <f>スコア入力!AJ36</f>
        <v>0</v>
      </c>
      <c r="AM36" s="586">
        <f>スコア入力!AL36</f>
        <v>0</v>
      </c>
      <c r="AN36" s="581"/>
      <c r="AO36" s="581"/>
    </row>
    <row r="37" spans="2:41" ht="13.5">
      <c r="B37" s="305"/>
      <c r="C37" s="2396"/>
      <c r="D37" s="314">
        <v>2</v>
      </c>
      <c r="E37" s="334" t="s">
        <v>673</v>
      </c>
      <c r="F37" s="337"/>
      <c r="G37" s="337"/>
      <c r="H37" s="2836"/>
      <c r="I37" s="2837"/>
      <c r="J37" s="2837"/>
      <c r="K37" s="2838"/>
      <c r="L37" s="591">
        <f t="shared" si="5"/>
        <v>0</v>
      </c>
      <c r="M37" s="591">
        <f t="shared" si="6"/>
        <v>0</v>
      </c>
      <c r="N37" s="586">
        <f>スコア入力!AC37</f>
        <v>0</v>
      </c>
      <c r="O37" s="586">
        <f>スコア入力!AE37</f>
        <v>0</v>
      </c>
      <c r="P37" s="591">
        <f t="shared" si="7"/>
        <v>0</v>
      </c>
      <c r="Q37" s="591">
        <f t="shared" si="8"/>
        <v>0</v>
      </c>
      <c r="R37" s="586">
        <f>スコア入力!AJ37</f>
        <v>0</v>
      </c>
      <c r="S37" s="586">
        <f>スコア入力!AL37</f>
        <v>0</v>
      </c>
      <c r="T37" s="581"/>
      <c r="U37" s="581"/>
      <c r="W37" s="254">
        <f t="shared" si="1"/>
        <v>3</v>
      </c>
      <c r="X37" s="254">
        <f t="shared" si="2"/>
        <v>3</v>
      </c>
      <c r="Y37" s="253">
        <f>スコア入力!AA37</f>
        <v>0</v>
      </c>
      <c r="Z37" s="253">
        <f>スコア入力!AB37</f>
        <v>0</v>
      </c>
      <c r="AA37" s="254">
        <f t="shared" si="3"/>
        <v>3</v>
      </c>
      <c r="AB37" s="254">
        <f t="shared" si="4"/>
        <v>3</v>
      </c>
      <c r="AC37" s="253">
        <f>スコア入力!AH37</f>
        <v>0</v>
      </c>
      <c r="AD37" s="253">
        <f>スコア入力!AI37</f>
        <v>0</v>
      </c>
      <c r="AE37" s="6"/>
      <c r="AF37" s="427">
        <f>スコア入力!N37</f>
        <v>3</v>
      </c>
      <c r="AG37" s="427">
        <f>スコア入力!P37</f>
        <v>3</v>
      </c>
      <c r="AH37" s="586">
        <f>スコア入力!AC37</f>
        <v>0</v>
      </c>
      <c r="AI37" s="586">
        <f>スコア入力!AE37</f>
        <v>0</v>
      </c>
      <c r="AJ37" s="427">
        <f>スコア入力!U37</f>
        <v>3</v>
      </c>
      <c r="AK37" s="427">
        <f>スコア入力!W37</f>
        <v>3</v>
      </c>
      <c r="AL37" s="586">
        <f>スコア入力!AJ37</f>
        <v>0</v>
      </c>
      <c r="AM37" s="586">
        <f>スコア入力!AL37</f>
        <v>0</v>
      </c>
      <c r="AN37" s="581"/>
      <c r="AO37" s="581"/>
    </row>
    <row r="38" spans="2:41" ht="14.25" thickBot="1">
      <c r="B38" s="305"/>
      <c r="C38" s="2400"/>
      <c r="D38" s="314">
        <v>3</v>
      </c>
      <c r="E38" s="334" t="s">
        <v>675</v>
      </c>
      <c r="F38" s="337"/>
      <c r="G38" s="337"/>
      <c r="H38" s="2836"/>
      <c r="I38" s="2837"/>
      <c r="J38" s="2837"/>
      <c r="K38" s="2838"/>
      <c r="L38" s="588">
        <f t="shared" si="5"/>
        <v>3</v>
      </c>
      <c r="M38" s="588">
        <f t="shared" si="6"/>
        <v>3</v>
      </c>
      <c r="N38" s="586">
        <f>スコア入力!AC38</f>
        <v>0.4</v>
      </c>
      <c r="O38" s="586">
        <f>スコア入力!AE38</f>
        <v>0.57999999999999996</v>
      </c>
      <c r="P38" s="588">
        <f t="shared" si="7"/>
        <v>0</v>
      </c>
      <c r="Q38" s="588">
        <f t="shared" si="8"/>
        <v>0</v>
      </c>
      <c r="R38" s="586">
        <f>スコア入力!AJ38</f>
        <v>0</v>
      </c>
      <c r="S38" s="586">
        <f>スコア入力!AL38</f>
        <v>0</v>
      </c>
      <c r="T38" s="581"/>
      <c r="U38" s="581"/>
      <c r="W38" s="254">
        <f t="shared" si="1"/>
        <v>3</v>
      </c>
      <c r="X38" s="254">
        <f t="shared" si="2"/>
        <v>3</v>
      </c>
      <c r="Y38" s="253">
        <f>スコア入力!AA38</f>
        <v>0.4</v>
      </c>
      <c r="Z38" s="253">
        <f>スコア入力!AB38</f>
        <v>0.57999999999999996</v>
      </c>
      <c r="AA38" s="254">
        <f t="shared" si="3"/>
        <v>3</v>
      </c>
      <c r="AB38" s="254">
        <f t="shared" si="4"/>
        <v>3</v>
      </c>
      <c r="AC38" s="253">
        <f>スコア入力!AH38</f>
        <v>0</v>
      </c>
      <c r="AD38" s="253">
        <f>スコア入力!AI38</f>
        <v>0</v>
      </c>
      <c r="AE38" s="6"/>
      <c r="AF38" s="589">
        <f>スコア入力!N38</f>
        <v>3</v>
      </c>
      <c r="AG38" s="589">
        <f>スコア入力!P38</f>
        <v>3</v>
      </c>
      <c r="AH38" s="586">
        <f>スコア入力!AC38</f>
        <v>0.4</v>
      </c>
      <c r="AI38" s="586">
        <f>スコア入力!AE38</f>
        <v>0.57999999999999996</v>
      </c>
      <c r="AJ38" s="589">
        <f>スコア入力!U38</f>
        <v>3</v>
      </c>
      <c r="AK38" s="589">
        <f>スコア入力!W38</f>
        <v>3</v>
      </c>
      <c r="AL38" s="586">
        <f>スコア入力!AJ38</f>
        <v>0</v>
      </c>
      <c r="AM38" s="586">
        <f>スコア入力!AL38</f>
        <v>0</v>
      </c>
      <c r="AN38" s="581"/>
      <c r="AO38" s="581"/>
    </row>
    <row r="39" spans="2:41" ht="14.25" thickBot="1">
      <c r="B39" s="348"/>
      <c r="C39" s="325">
        <v>3.2</v>
      </c>
      <c r="D39" s="307" t="s">
        <v>677</v>
      </c>
      <c r="E39" s="384"/>
      <c r="F39" s="384"/>
      <c r="G39" s="384"/>
      <c r="H39" s="2836"/>
      <c r="I39" s="2837"/>
      <c r="J39" s="2837"/>
      <c r="K39" s="2839"/>
      <c r="L39" s="590">
        <f t="shared" si="5"/>
        <v>3</v>
      </c>
      <c r="M39" s="599">
        <f t="shared" si="6"/>
        <v>3</v>
      </c>
      <c r="N39" s="580">
        <f>スコア入力!AC39</f>
        <v>0.3</v>
      </c>
      <c r="O39" s="580">
        <f>スコア入力!AE39</f>
        <v>0.15688367129135536</v>
      </c>
      <c r="P39" s="599">
        <f t="shared" si="7"/>
        <v>0</v>
      </c>
      <c r="Q39" s="599">
        <f t="shared" si="8"/>
        <v>0</v>
      </c>
      <c r="R39" s="580">
        <f>スコア入力!AJ39</f>
        <v>0</v>
      </c>
      <c r="S39" s="580">
        <f>スコア入力!AL39</f>
        <v>0</v>
      </c>
      <c r="T39" s="581"/>
      <c r="U39" s="581"/>
      <c r="W39" s="570">
        <f t="shared" si="1"/>
        <v>3</v>
      </c>
      <c r="X39" s="570">
        <f t="shared" si="2"/>
        <v>3</v>
      </c>
      <c r="Y39" s="253">
        <f>スコア入力!AA39</f>
        <v>0.3</v>
      </c>
      <c r="Z39" s="253">
        <f>スコア入力!AB39</f>
        <v>0.15688367129135539</v>
      </c>
      <c r="AA39" s="570">
        <f t="shared" si="3"/>
        <v>0</v>
      </c>
      <c r="AB39" s="570">
        <f t="shared" si="4"/>
        <v>0</v>
      </c>
      <c r="AC39" s="253">
        <f>スコア入力!AH39</f>
        <v>0</v>
      </c>
      <c r="AD39" s="253">
        <f>スコア入力!AI39</f>
        <v>0</v>
      </c>
      <c r="AE39" s="6"/>
      <c r="AF39" s="599">
        <f>SUMPRODUCT(AF40:AF42,AH40:AH42)</f>
        <v>3</v>
      </c>
      <c r="AG39" s="599">
        <f>SUMPRODUCT(AG40:AG42,AI40:AI42)</f>
        <v>3</v>
      </c>
      <c r="AH39" s="580">
        <f>スコア入力!AC39</f>
        <v>0.3</v>
      </c>
      <c r="AI39" s="580">
        <f>スコア入力!AE39</f>
        <v>0.15688367129135536</v>
      </c>
      <c r="AJ39" s="599">
        <f>SUMPRODUCT(AJ40:AJ42,AL40:AL42)</f>
        <v>0</v>
      </c>
      <c r="AK39" s="599">
        <f>SUMPRODUCT(AK40:AK42,AM40:AM42)</f>
        <v>0</v>
      </c>
      <c r="AL39" s="580">
        <f>スコア入力!AJ39</f>
        <v>0</v>
      </c>
      <c r="AM39" s="580">
        <f>スコア入力!AL39</f>
        <v>0</v>
      </c>
      <c r="AN39" s="581"/>
      <c r="AO39" s="581"/>
    </row>
    <row r="40" spans="2:41" ht="13.5" hidden="1">
      <c r="B40" s="348"/>
      <c r="C40" s="2396"/>
      <c r="D40" s="2109">
        <v>1</v>
      </c>
      <c r="E40" s="2085" t="s">
        <v>680</v>
      </c>
      <c r="F40" s="337"/>
      <c r="G40" s="337"/>
      <c r="H40" s="2836"/>
      <c r="I40" s="2837"/>
      <c r="J40" s="2837"/>
      <c r="K40" s="2838"/>
      <c r="L40" s="585">
        <f t="shared" ref="L40:M42" si="9">IF(Y40=0,0,ROUNDDOWN(AF40,1))</f>
        <v>0</v>
      </c>
      <c r="M40" s="585">
        <f t="shared" si="9"/>
        <v>0</v>
      </c>
      <c r="N40" s="586">
        <f>スコア入力!AC40</f>
        <v>0</v>
      </c>
      <c r="O40" s="586">
        <f>スコア入力!AE40</f>
        <v>0</v>
      </c>
      <c r="P40" s="585">
        <f t="shared" ref="P40:Q42" si="10">IF(AC40=0,0,ROUNDDOWN(AJ40,1))</f>
        <v>0</v>
      </c>
      <c r="Q40" s="585">
        <f t="shared" si="10"/>
        <v>0</v>
      </c>
      <c r="R40" s="586">
        <f>スコア入力!AJ40</f>
        <v>0</v>
      </c>
      <c r="S40" s="586">
        <f>スコア入力!AL40</f>
        <v>0</v>
      </c>
      <c r="T40" s="581"/>
      <c r="U40" s="581"/>
      <c r="W40" s="254">
        <f t="shared" si="1"/>
        <v>0</v>
      </c>
      <c r="X40" s="254">
        <f t="shared" si="2"/>
        <v>0</v>
      </c>
      <c r="Y40" s="253">
        <f>スコア入力!AA40</f>
        <v>0.4</v>
      </c>
      <c r="Z40" s="253">
        <f>スコア入力!AB40</f>
        <v>0.4</v>
      </c>
      <c r="AA40" s="254">
        <f t="shared" si="3"/>
        <v>0</v>
      </c>
      <c r="AB40" s="254">
        <f t="shared" si="4"/>
        <v>0</v>
      </c>
      <c r="AC40" s="253">
        <f>スコア入力!AH40</f>
        <v>0</v>
      </c>
      <c r="AD40" s="253">
        <f>スコア入力!AI40</f>
        <v>0</v>
      </c>
      <c r="AE40" s="6"/>
      <c r="AF40" s="587">
        <f>スコア入力!N40</f>
        <v>0</v>
      </c>
      <c r="AG40" s="587">
        <f>スコア入力!P40</f>
        <v>0</v>
      </c>
      <c r="AH40" s="586">
        <f>スコア入力!AC40</f>
        <v>0</v>
      </c>
      <c r="AI40" s="586">
        <f>スコア入力!AE40</f>
        <v>0</v>
      </c>
      <c r="AJ40" s="587">
        <f>スコア入力!U40</f>
        <v>0</v>
      </c>
      <c r="AK40" s="587">
        <f>スコア入力!W40</f>
        <v>0</v>
      </c>
      <c r="AL40" s="586">
        <f>スコア入力!AJ40</f>
        <v>0</v>
      </c>
      <c r="AM40" s="586">
        <f>スコア入力!AL40</f>
        <v>0</v>
      </c>
      <c r="AN40" s="581"/>
      <c r="AO40" s="581"/>
    </row>
    <row r="41" spans="2:41" ht="13.5">
      <c r="B41" s="348"/>
      <c r="C41" s="2396"/>
      <c r="D41" s="314">
        <v>1</v>
      </c>
      <c r="E41" s="334" t="s">
        <v>682</v>
      </c>
      <c r="F41" s="337"/>
      <c r="G41" s="337"/>
      <c r="H41" s="2836"/>
      <c r="I41" s="2837"/>
      <c r="J41" s="2837"/>
      <c r="K41" s="2838"/>
      <c r="L41" s="585">
        <f t="shared" si="9"/>
        <v>3</v>
      </c>
      <c r="M41" s="585">
        <f t="shared" si="9"/>
        <v>3</v>
      </c>
      <c r="N41" s="586">
        <f>スコア入力!AC41</f>
        <v>1</v>
      </c>
      <c r="O41" s="586">
        <f>スコア入力!AE41</f>
        <v>1</v>
      </c>
      <c r="P41" s="585">
        <f t="shared" si="10"/>
        <v>0</v>
      </c>
      <c r="Q41" s="585">
        <f t="shared" si="10"/>
        <v>0</v>
      </c>
      <c r="R41" s="586">
        <f>スコア入力!AJ41</f>
        <v>0</v>
      </c>
      <c r="S41" s="586">
        <f>スコア入力!AL41</f>
        <v>0</v>
      </c>
      <c r="T41" s="581"/>
      <c r="U41" s="581"/>
      <c r="W41" s="254">
        <f t="shared" ref="W41:W60" si="11">AF41</f>
        <v>3</v>
      </c>
      <c r="X41" s="254">
        <f t="shared" ref="X41:X60" si="12">AG41</f>
        <v>3</v>
      </c>
      <c r="Y41" s="253">
        <f>スコア入力!AA41</f>
        <v>0.6</v>
      </c>
      <c r="Z41" s="253">
        <f>スコア入力!AB41</f>
        <v>0.60000000000000009</v>
      </c>
      <c r="AA41" s="254">
        <f t="shared" ref="AA41:AA73" si="13">AJ41</f>
        <v>3</v>
      </c>
      <c r="AB41" s="254">
        <f t="shared" ref="AB41:AB73" si="14">AK41</f>
        <v>3</v>
      </c>
      <c r="AC41" s="253">
        <f>スコア入力!AH41</f>
        <v>0</v>
      </c>
      <c r="AD41" s="253">
        <f>スコア入力!AI41</f>
        <v>0</v>
      </c>
      <c r="AE41" s="6"/>
      <c r="AF41" s="427">
        <f>スコア入力!N41</f>
        <v>3</v>
      </c>
      <c r="AG41" s="427">
        <f>スコア入力!P41</f>
        <v>3</v>
      </c>
      <c r="AH41" s="586">
        <f>スコア入力!AC41</f>
        <v>1</v>
      </c>
      <c r="AI41" s="586">
        <f>スコア入力!AE41</f>
        <v>1</v>
      </c>
      <c r="AJ41" s="427">
        <f>スコア入力!U41</f>
        <v>3</v>
      </c>
      <c r="AK41" s="427">
        <f>スコア入力!W41</f>
        <v>3</v>
      </c>
      <c r="AL41" s="586">
        <f>スコア入力!AJ41</f>
        <v>0</v>
      </c>
      <c r="AM41" s="586">
        <f>スコア入力!AL41</f>
        <v>0</v>
      </c>
      <c r="AN41" s="581"/>
      <c r="AO41" s="581"/>
    </row>
    <row r="42" spans="2:41" ht="14.25" thickBot="1">
      <c r="B42" s="348"/>
      <c r="C42" s="2400"/>
      <c r="D42" s="314">
        <v>2</v>
      </c>
      <c r="E42" s="334" t="s">
        <v>886</v>
      </c>
      <c r="F42" s="384"/>
      <c r="G42" s="384"/>
      <c r="H42" s="2836"/>
      <c r="I42" s="2837"/>
      <c r="J42" s="2837"/>
      <c r="K42" s="2838"/>
      <c r="L42" s="591">
        <f t="shared" si="9"/>
        <v>0</v>
      </c>
      <c r="M42" s="591">
        <f t="shared" si="9"/>
        <v>0</v>
      </c>
      <c r="N42" s="586">
        <f>スコア入力!AC42</f>
        <v>0</v>
      </c>
      <c r="O42" s="586">
        <f>スコア入力!AE42</f>
        <v>0</v>
      </c>
      <c r="P42" s="591">
        <f t="shared" si="10"/>
        <v>0</v>
      </c>
      <c r="Q42" s="591">
        <f t="shared" si="10"/>
        <v>0</v>
      </c>
      <c r="R42" s="586">
        <f>スコア入力!AJ42</f>
        <v>0</v>
      </c>
      <c r="S42" s="586">
        <f>スコア入力!AL42</f>
        <v>0</v>
      </c>
      <c r="T42" s="581"/>
      <c r="U42" s="581"/>
      <c r="W42" s="254">
        <f>AF42</f>
        <v>3</v>
      </c>
      <c r="X42" s="254">
        <f>AG42</f>
        <v>3</v>
      </c>
      <c r="Y42" s="253">
        <f>スコア入力!AA42</f>
        <v>0</v>
      </c>
      <c r="Z42" s="253">
        <f>スコア入力!AB42</f>
        <v>0</v>
      </c>
      <c r="AA42" s="254">
        <f>AJ42</f>
        <v>3</v>
      </c>
      <c r="AB42" s="254">
        <f>AK42</f>
        <v>3</v>
      </c>
      <c r="AC42" s="253">
        <f>スコア入力!AH42</f>
        <v>0</v>
      </c>
      <c r="AD42" s="253">
        <f>スコア入力!AI42</f>
        <v>0</v>
      </c>
      <c r="AE42" s="6"/>
      <c r="AF42" s="589">
        <f>スコア入力!N42</f>
        <v>3</v>
      </c>
      <c r="AG42" s="589">
        <f>スコア入力!P42</f>
        <v>3</v>
      </c>
      <c r="AH42" s="586">
        <f>スコア入力!AC42</f>
        <v>0</v>
      </c>
      <c r="AI42" s="586">
        <f>スコア入力!AE42</f>
        <v>0</v>
      </c>
      <c r="AJ42" s="589">
        <f>スコア入力!U42</f>
        <v>3</v>
      </c>
      <c r="AK42" s="589">
        <f>スコア入力!W42</f>
        <v>3</v>
      </c>
      <c r="AL42" s="586">
        <f>スコア入力!AJ42</f>
        <v>0</v>
      </c>
      <c r="AM42" s="586">
        <f>スコア入力!AL42</f>
        <v>0</v>
      </c>
      <c r="AN42" s="581"/>
      <c r="AO42" s="581"/>
    </row>
    <row r="43" spans="2:41" ht="14.25" thickBot="1">
      <c r="B43" s="357"/>
      <c r="C43" s="306">
        <v>3.3</v>
      </c>
      <c r="D43" s="343" t="s">
        <v>683</v>
      </c>
      <c r="E43" s="343"/>
      <c r="F43" s="343"/>
      <c r="G43" s="343"/>
      <c r="H43" s="2836"/>
      <c r="I43" s="2837"/>
      <c r="J43" s="2837"/>
      <c r="K43" s="2839"/>
      <c r="L43" s="461">
        <f t="shared" ref="L43:L60" si="15">IF(Y43=0,0,ROUNDDOWN(AF43,1))</f>
        <v>3</v>
      </c>
      <c r="M43" s="461">
        <f t="shared" ref="M43:M60" si="16">IF(Z43=0,0,ROUNDDOWN(AG43,1))</f>
        <v>3</v>
      </c>
      <c r="N43" s="586">
        <f>スコア入力!AC43</f>
        <v>0.15</v>
      </c>
      <c r="O43" s="586">
        <f>スコア入力!AE43</f>
        <v>0.11205976520811098</v>
      </c>
      <c r="P43" s="461">
        <f t="shared" ref="P43:P60" si="17">IF(AC43=0,0,ROUNDDOWN(AJ43,1))</f>
        <v>0</v>
      </c>
      <c r="Q43" s="461">
        <f t="shared" ref="Q43:Q60" si="18">IF(AD43=0,0,ROUNDDOWN(AK43,1))</f>
        <v>0</v>
      </c>
      <c r="R43" s="586">
        <f>スコア入力!AJ43</f>
        <v>0</v>
      </c>
      <c r="S43" s="586">
        <f>スコア入力!AL43</f>
        <v>0</v>
      </c>
      <c r="T43" s="581"/>
      <c r="U43" s="581"/>
      <c r="W43" s="254">
        <f>AF43</f>
        <v>3</v>
      </c>
      <c r="X43" s="254">
        <f>AG43</f>
        <v>3</v>
      </c>
      <c r="Y43" s="253">
        <f>スコア入力!AA43</f>
        <v>0.15</v>
      </c>
      <c r="Z43" s="253">
        <f>スコア入力!AB43</f>
        <v>0.11205976520811101</v>
      </c>
      <c r="AA43" s="254">
        <f>AJ43</f>
        <v>3</v>
      </c>
      <c r="AB43" s="254">
        <f>AK43</f>
        <v>3</v>
      </c>
      <c r="AC43" s="253">
        <f>スコア入力!AH43</f>
        <v>0</v>
      </c>
      <c r="AD43" s="253">
        <f>スコア入力!AI43</f>
        <v>0</v>
      </c>
      <c r="AE43" s="6"/>
      <c r="AF43" s="602">
        <f>スコア入力!N43</f>
        <v>3</v>
      </c>
      <c r="AG43" s="602">
        <f>スコア入力!P43</f>
        <v>3</v>
      </c>
      <c r="AH43" s="586">
        <f>スコア入力!AC43</f>
        <v>0.15</v>
      </c>
      <c r="AI43" s="586">
        <f>スコア入力!AE43</f>
        <v>0.11205976520811098</v>
      </c>
      <c r="AJ43" s="602">
        <f>スコア入力!U43</f>
        <v>3</v>
      </c>
      <c r="AK43" s="602">
        <f>スコア入力!W43</f>
        <v>3</v>
      </c>
      <c r="AL43" s="586">
        <f>スコア入力!AJ43</f>
        <v>0</v>
      </c>
      <c r="AM43" s="586">
        <f>スコア入力!AL43</f>
        <v>0</v>
      </c>
      <c r="AN43" s="581"/>
      <c r="AO43" s="581"/>
    </row>
    <row r="44" spans="2:41" ht="14.25" hidden="1" thickBot="1">
      <c r="B44" s="357"/>
      <c r="C44" s="2401"/>
      <c r="D44" s="2109">
        <v>1</v>
      </c>
      <c r="E44" s="2085" t="s">
        <v>1800</v>
      </c>
      <c r="F44" s="337"/>
      <c r="G44" s="337"/>
      <c r="H44" s="2836"/>
      <c r="I44" s="2837"/>
      <c r="J44" s="2837"/>
      <c r="K44" s="2838"/>
      <c r="L44" s="588">
        <f t="shared" si="15"/>
        <v>0</v>
      </c>
      <c r="M44" s="588">
        <f t="shared" si="16"/>
        <v>0</v>
      </c>
      <c r="N44" s="586">
        <f>スコア入力!AC44</f>
        <v>0</v>
      </c>
      <c r="O44" s="586">
        <f>スコア入力!AE44</f>
        <v>0</v>
      </c>
      <c r="P44" s="588">
        <f t="shared" si="17"/>
        <v>0</v>
      </c>
      <c r="Q44" s="588">
        <f t="shared" si="18"/>
        <v>0</v>
      </c>
      <c r="R44" s="586">
        <f>スコア入力!AJ44</f>
        <v>0</v>
      </c>
      <c r="S44" s="586">
        <f>スコア入力!AL44</f>
        <v>0</v>
      </c>
      <c r="T44" s="581"/>
      <c r="U44" s="581"/>
      <c r="W44" s="254">
        <f t="shared" si="11"/>
        <v>0</v>
      </c>
      <c r="X44" s="254">
        <f t="shared" si="12"/>
        <v>0</v>
      </c>
      <c r="Y44" s="253">
        <f>スコア入力!AA44</f>
        <v>0</v>
      </c>
      <c r="Z44" s="253">
        <f>スコア入力!AB44</f>
        <v>0</v>
      </c>
      <c r="AA44" s="254">
        <f t="shared" si="13"/>
        <v>0</v>
      </c>
      <c r="AB44" s="254">
        <f t="shared" si="14"/>
        <v>0</v>
      </c>
      <c r="AC44" s="253">
        <f>スコア入力!AH44</f>
        <v>0</v>
      </c>
      <c r="AD44" s="253">
        <f>スコア入力!AI44</f>
        <v>0</v>
      </c>
      <c r="AE44" s="6"/>
      <c r="AF44" s="587">
        <f>スコア入力!N44</f>
        <v>0</v>
      </c>
      <c r="AG44" s="587">
        <f>スコア入力!P44</f>
        <v>0</v>
      </c>
      <c r="AH44" s="586">
        <f>スコア入力!AC44</f>
        <v>0</v>
      </c>
      <c r="AI44" s="586">
        <f>スコア入力!AE44</f>
        <v>0</v>
      </c>
      <c r="AJ44" s="587">
        <f>スコア入力!U44</f>
        <v>0</v>
      </c>
      <c r="AK44" s="587">
        <f>スコア入力!W44</f>
        <v>0</v>
      </c>
      <c r="AL44" s="586">
        <f>スコア入力!AJ44</f>
        <v>0</v>
      </c>
      <c r="AM44" s="586">
        <f>スコア入力!AL44</f>
        <v>0</v>
      </c>
      <c r="AN44" s="581"/>
      <c r="AO44" s="581"/>
    </row>
    <row r="45" spans="2:41" ht="13.5" hidden="1">
      <c r="B45" s="357"/>
      <c r="C45" s="2402"/>
      <c r="D45" s="2109">
        <v>2</v>
      </c>
      <c r="E45" s="2085" t="s">
        <v>1801</v>
      </c>
      <c r="F45" s="337"/>
      <c r="G45" s="337"/>
      <c r="H45" s="2836"/>
      <c r="I45" s="2837"/>
      <c r="J45" s="2837"/>
      <c r="K45" s="2838"/>
      <c r="L45" s="591">
        <f t="shared" si="15"/>
        <v>0</v>
      </c>
      <c r="M45" s="591">
        <f t="shared" si="16"/>
        <v>0</v>
      </c>
      <c r="N45" s="586">
        <f>スコア入力!AC45</f>
        <v>0</v>
      </c>
      <c r="O45" s="586">
        <f>スコア入力!AE45</f>
        <v>0</v>
      </c>
      <c r="P45" s="591">
        <f t="shared" si="17"/>
        <v>0</v>
      </c>
      <c r="Q45" s="591">
        <f t="shared" si="18"/>
        <v>0</v>
      </c>
      <c r="R45" s="586">
        <f>スコア入力!AJ45</f>
        <v>0</v>
      </c>
      <c r="S45" s="586">
        <f>スコア入力!AL45</f>
        <v>0</v>
      </c>
      <c r="T45" s="581"/>
      <c r="U45" s="581"/>
      <c r="W45" s="254">
        <f t="shared" si="11"/>
        <v>0</v>
      </c>
      <c r="X45" s="254">
        <f t="shared" si="12"/>
        <v>0</v>
      </c>
      <c r="Y45" s="253">
        <f>スコア入力!AA45</f>
        <v>0</v>
      </c>
      <c r="Z45" s="253">
        <f>スコア入力!AB45</f>
        <v>0</v>
      </c>
      <c r="AA45" s="254">
        <f t="shared" si="13"/>
        <v>0</v>
      </c>
      <c r="AB45" s="254">
        <f t="shared" si="14"/>
        <v>0</v>
      </c>
      <c r="AC45" s="253">
        <f>スコア入力!AH45</f>
        <v>0</v>
      </c>
      <c r="AD45" s="253">
        <f>スコア入力!AI45</f>
        <v>0</v>
      </c>
      <c r="AE45" s="6"/>
      <c r="AF45" s="427">
        <f>スコア入力!N45</f>
        <v>0</v>
      </c>
      <c r="AG45" s="427">
        <f>スコア入力!P45</f>
        <v>0</v>
      </c>
      <c r="AH45" s="586">
        <f>スコア入力!AC45</f>
        <v>0</v>
      </c>
      <c r="AI45" s="586">
        <f>スコア入力!AE45</f>
        <v>0</v>
      </c>
      <c r="AJ45" s="427">
        <f>スコア入力!U45</f>
        <v>0</v>
      </c>
      <c r="AK45" s="427">
        <f>スコア入力!W45</f>
        <v>0</v>
      </c>
      <c r="AL45" s="586">
        <f>スコア入力!AJ45</f>
        <v>0</v>
      </c>
      <c r="AM45" s="586">
        <f>スコア入力!AL45</f>
        <v>0</v>
      </c>
      <c r="AN45" s="581"/>
      <c r="AO45" s="581"/>
    </row>
    <row r="46" spans="2:41" ht="14.25" thickBot="1">
      <c r="B46" s="360"/>
      <c r="C46" s="333">
        <v>3.4</v>
      </c>
      <c r="D46" s="2728" t="s">
        <v>684</v>
      </c>
      <c r="E46" s="2729"/>
      <c r="F46" s="337"/>
      <c r="G46" s="337"/>
      <c r="H46" s="2840"/>
      <c r="I46" s="2841"/>
      <c r="J46" s="2841"/>
      <c r="K46" s="2842"/>
      <c r="L46" s="462">
        <f t="shared" si="15"/>
        <v>3</v>
      </c>
      <c r="M46" s="462">
        <f t="shared" si="16"/>
        <v>3</v>
      </c>
      <c r="N46" s="586">
        <f>スコア入力!AC46</f>
        <v>0.25</v>
      </c>
      <c r="O46" s="586">
        <f>スコア入力!AE46</f>
        <v>0.34685165421558162</v>
      </c>
      <c r="P46" s="462">
        <f t="shared" si="17"/>
        <v>0</v>
      </c>
      <c r="Q46" s="462">
        <f t="shared" si="18"/>
        <v>0</v>
      </c>
      <c r="R46" s="586">
        <f>スコア入力!AJ46</f>
        <v>0</v>
      </c>
      <c r="S46" s="586">
        <f>スコア入力!AL46</f>
        <v>0</v>
      </c>
      <c r="T46" s="581"/>
      <c r="U46" s="581"/>
      <c r="W46" s="254">
        <f>AF46</f>
        <v>3</v>
      </c>
      <c r="X46" s="254">
        <f t="shared" si="12"/>
        <v>3</v>
      </c>
      <c r="Y46" s="253">
        <f>スコア入力!AA46</f>
        <v>0.25</v>
      </c>
      <c r="Z46" s="253">
        <f>スコア入力!AB46</f>
        <v>0.34685165421558167</v>
      </c>
      <c r="AA46" s="254">
        <f t="shared" si="13"/>
        <v>3</v>
      </c>
      <c r="AB46" s="254">
        <f t="shared" si="14"/>
        <v>3</v>
      </c>
      <c r="AC46" s="253">
        <f>スコア入力!AH46</f>
        <v>0</v>
      </c>
      <c r="AD46" s="253">
        <f>スコア入力!AI46</f>
        <v>0</v>
      </c>
      <c r="AE46" s="6"/>
      <c r="AF46" s="602">
        <f>スコア入力!N46</f>
        <v>3</v>
      </c>
      <c r="AG46" s="602">
        <f>スコア入力!P46</f>
        <v>3</v>
      </c>
      <c r="AH46" s="586">
        <f>スコア入力!AC46</f>
        <v>0.25</v>
      </c>
      <c r="AI46" s="586">
        <f>スコア入力!AE46</f>
        <v>0.34685165421558162</v>
      </c>
      <c r="AJ46" s="602">
        <f>スコア入力!U46</f>
        <v>3</v>
      </c>
      <c r="AK46" s="602">
        <f>スコア入力!W46</f>
        <v>3</v>
      </c>
      <c r="AL46" s="586">
        <f>スコア入力!AJ46</f>
        <v>0</v>
      </c>
      <c r="AM46" s="586">
        <f>スコア入力!AL46</f>
        <v>0</v>
      </c>
      <c r="AN46" s="581"/>
      <c r="AO46" s="581"/>
    </row>
    <row r="47" spans="2:41" ht="13.5">
      <c r="B47" s="400">
        <v>4</v>
      </c>
      <c r="C47" s="336" t="s">
        <v>685</v>
      </c>
      <c r="D47" s="401"/>
      <c r="E47" s="384"/>
      <c r="F47" s="579"/>
      <c r="G47" s="579"/>
      <c r="H47" s="2843"/>
      <c r="I47" s="2844"/>
      <c r="J47" s="2844"/>
      <c r="K47" s="2845"/>
      <c r="L47" s="595">
        <f t="shared" si="15"/>
        <v>3</v>
      </c>
      <c r="M47" s="595">
        <f t="shared" si="16"/>
        <v>3</v>
      </c>
      <c r="N47" s="594">
        <f>スコア入力!AC47</f>
        <v>0.25</v>
      </c>
      <c r="O47" s="594">
        <f>スコア入力!AE47</f>
        <v>0.25400050800101603</v>
      </c>
      <c r="P47" s="595">
        <f t="shared" si="17"/>
        <v>0</v>
      </c>
      <c r="Q47" s="595">
        <f t="shared" si="18"/>
        <v>0</v>
      </c>
      <c r="R47" s="594"/>
      <c r="S47" s="594"/>
      <c r="T47" s="596">
        <f>ROUNDDOWN(AN47,1)</f>
        <v>3</v>
      </c>
      <c r="U47" s="596">
        <f>ROUNDDOWN(AO47,1)</f>
        <v>3</v>
      </c>
      <c r="W47" s="570">
        <f t="shared" si="11"/>
        <v>3</v>
      </c>
      <c r="X47" s="570">
        <f t="shared" si="12"/>
        <v>3</v>
      </c>
      <c r="Y47" s="253">
        <f>スコア入力!AA47</f>
        <v>0.25</v>
      </c>
      <c r="Z47" s="253">
        <f>スコア入力!AB47</f>
        <v>0.25400050800101603</v>
      </c>
      <c r="AA47" s="570">
        <f t="shared" si="13"/>
        <v>0</v>
      </c>
      <c r="AB47" s="570">
        <f t="shared" si="14"/>
        <v>0</v>
      </c>
      <c r="AC47" s="253">
        <f>スコア入力!AH47</f>
        <v>1</v>
      </c>
      <c r="AD47" s="253">
        <f>スコア入力!AI47</f>
        <v>0</v>
      </c>
      <c r="AE47" s="6"/>
      <c r="AF47" s="595">
        <f>AF48*AH48+AF53*AH53+AF58*AH58</f>
        <v>3</v>
      </c>
      <c r="AG47" s="595">
        <f>AG48*AI48+AG53*AI53+AG58*AI58</f>
        <v>3</v>
      </c>
      <c r="AH47" s="594">
        <f>スコア入力!AC47</f>
        <v>0.25</v>
      </c>
      <c r="AI47" s="594">
        <f>スコア入力!AE47</f>
        <v>0.25400050800101603</v>
      </c>
      <c r="AJ47" s="595">
        <f>AJ48*AL48+AJ53*AL53+AJ58*AL58</f>
        <v>0</v>
      </c>
      <c r="AK47" s="595">
        <f>AK48*AM48+AK53*AM53+AK58*AM58</f>
        <v>0</v>
      </c>
      <c r="AL47" s="594">
        <f>スコア入力!AJ47</f>
        <v>0</v>
      </c>
      <c r="AM47" s="594">
        <f>スコア入力!AL47</f>
        <v>0</v>
      </c>
      <c r="AN47" s="596">
        <f>IF(AJ47=0,AF47,IF(AF47=0,AJ47,AF47*AH$6+AJ47*AL$6))</f>
        <v>3</v>
      </c>
      <c r="AO47" s="596">
        <f>IF(AK47=0,AG47,IF(AG47=0,AK47,AG47*AI$6+AK47*AM$6))</f>
        <v>3</v>
      </c>
    </row>
    <row r="48" spans="2:41" ht="14.25" thickBot="1">
      <c r="B48" s="305"/>
      <c r="C48" s="306">
        <v>4.0999999999999996</v>
      </c>
      <c r="D48" s="343" t="s">
        <v>686</v>
      </c>
      <c r="E48" s="343"/>
      <c r="F48" s="343"/>
      <c r="G48" s="343"/>
      <c r="H48" s="2846"/>
      <c r="I48" s="2847"/>
      <c r="J48" s="2847"/>
      <c r="K48" s="2848"/>
      <c r="L48" s="601">
        <f t="shared" si="15"/>
        <v>3</v>
      </c>
      <c r="M48" s="599">
        <f t="shared" si="16"/>
        <v>3</v>
      </c>
      <c r="N48" s="580">
        <f>スコア入力!AC48</f>
        <v>0.5</v>
      </c>
      <c r="O48" s="580">
        <f>スコア入力!AE48</f>
        <v>0.45454545454545459</v>
      </c>
      <c r="P48" s="582">
        <f t="shared" si="17"/>
        <v>0</v>
      </c>
      <c r="Q48" s="599">
        <f t="shared" si="18"/>
        <v>0</v>
      </c>
      <c r="R48" s="580">
        <f>スコア入力!AJ48</f>
        <v>0</v>
      </c>
      <c r="S48" s="580">
        <f>スコア入力!AL48</f>
        <v>0</v>
      </c>
      <c r="T48" s="581"/>
      <c r="U48" s="581"/>
      <c r="W48" s="570">
        <f t="shared" si="11"/>
        <v>3</v>
      </c>
      <c r="X48" s="570">
        <f t="shared" si="12"/>
        <v>3</v>
      </c>
      <c r="Y48" s="253">
        <f>スコア入力!AA48</f>
        <v>0.5</v>
      </c>
      <c r="Z48" s="253">
        <f>スコア入力!AB48</f>
        <v>0.45454545454545453</v>
      </c>
      <c r="AA48" s="570">
        <f t="shared" si="13"/>
        <v>0</v>
      </c>
      <c r="AB48" s="570">
        <f t="shared" si="14"/>
        <v>0</v>
      </c>
      <c r="AC48" s="253">
        <f>スコア入力!AH48</f>
        <v>0</v>
      </c>
      <c r="AD48" s="253">
        <f>スコア入力!AI48</f>
        <v>0</v>
      </c>
      <c r="AE48" s="6"/>
      <c r="AF48" s="599">
        <f>SUMPRODUCT(AF49:AF52,AH49:AH52)</f>
        <v>3</v>
      </c>
      <c r="AG48" s="599">
        <f>SUMPRODUCT(AG49:AG52,AI49:AI52)</f>
        <v>3</v>
      </c>
      <c r="AH48" s="580">
        <f>スコア入力!AC48</f>
        <v>0.5</v>
      </c>
      <c r="AI48" s="580">
        <f>スコア入力!AE48</f>
        <v>0.45454545454545459</v>
      </c>
      <c r="AJ48" s="599">
        <f>SUMPRODUCT(AJ49:AJ52,AL49:AL52)</f>
        <v>0</v>
      </c>
      <c r="AK48" s="599">
        <f>SUMPRODUCT(AK49:AK52,AM49:AM52)</f>
        <v>0</v>
      </c>
      <c r="AL48" s="580">
        <f>スコア入力!AJ48</f>
        <v>0</v>
      </c>
      <c r="AM48" s="580">
        <f>スコア入力!AL48</f>
        <v>0</v>
      </c>
      <c r="AN48" s="581"/>
      <c r="AO48" s="581"/>
    </row>
    <row r="49" spans="2:41" ht="13.5">
      <c r="B49" s="305"/>
      <c r="C49" s="2396"/>
      <c r="D49" s="314">
        <v>1</v>
      </c>
      <c r="E49" s="334" t="s">
        <v>689</v>
      </c>
      <c r="F49" s="337"/>
      <c r="G49" s="337"/>
      <c r="H49" s="2836"/>
      <c r="I49" s="2837"/>
      <c r="J49" s="2837"/>
      <c r="K49" s="2838"/>
      <c r="L49" s="585">
        <f t="shared" si="15"/>
        <v>3</v>
      </c>
      <c r="M49" s="585">
        <f t="shared" si="16"/>
        <v>3</v>
      </c>
      <c r="N49" s="586">
        <f>スコア入力!AC49</f>
        <v>0.5</v>
      </c>
      <c r="O49" s="586">
        <f>スコア入力!AE49</f>
        <v>1</v>
      </c>
      <c r="P49" s="585">
        <f t="shared" si="17"/>
        <v>0</v>
      </c>
      <c r="Q49" s="585">
        <f t="shared" si="18"/>
        <v>0</v>
      </c>
      <c r="R49" s="586">
        <f>スコア入力!AJ49</f>
        <v>0</v>
      </c>
      <c r="S49" s="586">
        <f>スコア入力!AL49</f>
        <v>0</v>
      </c>
      <c r="T49" s="581"/>
      <c r="U49" s="581"/>
      <c r="W49" s="254">
        <f t="shared" si="11"/>
        <v>3</v>
      </c>
      <c r="X49" s="254">
        <f t="shared" si="12"/>
        <v>3</v>
      </c>
      <c r="Y49" s="253">
        <f>スコア入力!AA49</f>
        <v>0.25</v>
      </c>
      <c r="Z49" s="253">
        <f>スコア入力!AB49</f>
        <v>0.4</v>
      </c>
      <c r="AA49" s="254">
        <f t="shared" si="13"/>
        <v>3</v>
      </c>
      <c r="AB49" s="254">
        <f t="shared" si="14"/>
        <v>3</v>
      </c>
      <c r="AC49" s="253">
        <f>スコア入力!AH49</f>
        <v>0</v>
      </c>
      <c r="AD49" s="253">
        <f>スコア入力!AI49</f>
        <v>0</v>
      </c>
      <c r="AE49" s="6"/>
      <c r="AF49" s="587">
        <f>スコア入力!N49</f>
        <v>3</v>
      </c>
      <c r="AG49" s="587">
        <f>スコア入力!P49</f>
        <v>3</v>
      </c>
      <c r="AH49" s="586">
        <f>スコア入力!AC49</f>
        <v>0.5</v>
      </c>
      <c r="AI49" s="586">
        <f>スコア入力!AE49</f>
        <v>1</v>
      </c>
      <c r="AJ49" s="587">
        <f>スコア入力!U49</f>
        <v>3</v>
      </c>
      <c r="AK49" s="587">
        <f>スコア入力!W49</f>
        <v>3</v>
      </c>
      <c r="AL49" s="586">
        <f>スコア入力!AJ49</f>
        <v>0</v>
      </c>
      <c r="AM49" s="586">
        <f>スコア入力!AL49</f>
        <v>0</v>
      </c>
      <c r="AN49" s="581"/>
      <c r="AO49" s="581"/>
    </row>
    <row r="50" spans="2:41" ht="14.25" thickBot="1">
      <c r="B50" s="305"/>
      <c r="C50" s="2396"/>
      <c r="D50" s="314">
        <v>2</v>
      </c>
      <c r="E50" s="334" t="s">
        <v>690</v>
      </c>
      <c r="F50" s="337"/>
      <c r="G50" s="337"/>
      <c r="H50" s="2836"/>
      <c r="I50" s="2837"/>
      <c r="J50" s="2837"/>
      <c r="K50" s="2838"/>
      <c r="L50" s="588">
        <f t="shared" si="15"/>
        <v>3</v>
      </c>
      <c r="M50" s="588">
        <f t="shared" si="16"/>
        <v>0</v>
      </c>
      <c r="N50" s="586">
        <f>スコア入力!AC50</f>
        <v>0.5</v>
      </c>
      <c r="O50" s="586">
        <f>スコア入力!AE50</f>
        <v>0</v>
      </c>
      <c r="P50" s="588">
        <f t="shared" si="17"/>
        <v>0</v>
      </c>
      <c r="Q50" s="588">
        <f t="shared" si="18"/>
        <v>0</v>
      </c>
      <c r="R50" s="586">
        <f>スコア入力!AJ50</f>
        <v>0</v>
      </c>
      <c r="S50" s="586">
        <f>スコア入力!AL50</f>
        <v>0</v>
      </c>
      <c r="T50" s="581"/>
      <c r="U50" s="581"/>
      <c r="W50" s="254">
        <f t="shared" si="11"/>
        <v>3</v>
      </c>
      <c r="X50" s="254">
        <f t="shared" si="12"/>
        <v>3</v>
      </c>
      <c r="Y50" s="253">
        <f>スコア入力!AA50</f>
        <v>0.25</v>
      </c>
      <c r="Z50" s="253">
        <f>スコア入力!AB50</f>
        <v>0</v>
      </c>
      <c r="AA50" s="254">
        <f t="shared" si="13"/>
        <v>3</v>
      </c>
      <c r="AB50" s="254">
        <f t="shared" si="14"/>
        <v>3</v>
      </c>
      <c r="AC50" s="253">
        <f>スコア入力!AH50</f>
        <v>0</v>
      </c>
      <c r="AD50" s="253">
        <f>スコア入力!AI50</f>
        <v>0</v>
      </c>
      <c r="AE50" s="6"/>
      <c r="AF50" s="427">
        <f>スコア入力!N50</f>
        <v>3</v>
      </c>
      <c r="AG50" s="427">
        <f>スコア入力!P50</f>
        <v>3</v>
      </c>
      <c r="AH50" s="586">
        <f>スコア入力!AC50</f>
        <v>0.5</v>
      </c>
      <c r="AI50" s="586">
        <f>スコア入力!AE50</f>
        <v>0</v>
      </c>
      <c r="AJ50" s="427">
        <f>スコア入力!U50</f>
        <v>3</v>
      </c>
      <c r="AK50" s="427">
        <f>スコア入力!W50</f>
        <v>3</v>
      </c>
      <c r="AL50" s="586">
        <f>スコア入力!AJ50</f>
        <v>0</v>
      </c>
      <c r="AM50" s="586">
        <f>スコア入力!AL50</f>
        <v>0</v>
      </c>
      <c r="AN50" s="581"/>
      <c r="AO50" s="581"/>
    </row>
    <row r="51" spans="2:41" ht="13.5" hidden="1">
      <c r="B51" s="305"/>
      <c r="C51" s="2396"/>
      <c r="D51" s="2109">
        <v>3</v>
      </c>
      <c r="E51" s="2085" t="s">
        <v>691</v>
      </c>
      <c r="F51" s="337"/>
      <c r="G51" s="337"/>
      <c r="H51" s="2836"/>
      <c r="I51" s="2837"/>
      <c r="J51" s="2837"/>
      <c r="K51" s="2838"/>
      <c r="L51" s="591">
        <f t="shared" si="15"/>
        <v>0</v>
      </c>
      <c r="M51" s="591">
        <f t="shared" si="16"/>
        <v>0</v>
      </c>
      <c r="N51" s="586">
        <f>スコア入力!AC51</f>
        <v>0</v>
      </c>
      <c r="O51" s="586">
        <f>スコア入力!AE51</f>
        <v>0</v>
      </c>
      <c r="P51" s="591">
        <f t="shared" si="17"/>
        <v>0</v>
      </c>
      <c r="Q51" s="591">
        <f t="shared" si="18"/>
        <v>0</v>
      </c>
      <c r="R51" s="586">
        <f>スコア入力!AJ51</f>
        <v>0</v>
      </c>
      <c r="S51" s="586">
        <f>スコア入力!AL51</f>
        <v>0</v>
      </c>
      <c r="T51" s="581"/>
      <c r="U51" s="581"/>
      <c r="W51" s="254">
        <f t="shared" si="11"/>
        <v>0</v>
      </c>
      <c r="X51" s="254">
        <f t="shared" si="12"/>
        <v>0</v>
      </c>
      <c r="Y51" s="253">
        <f>スコア入力!AA51</f>
        <v>0.25</v>
      </c>
      <c r="Z51" s="253">
        <f>スコア入力!AB51</f>
        <v>0.30000000000000004</v>
      </c>
      <c r="AA51" s="254">
        <f t="shared" si="13"/>
        <v>0</v>
      </c>
      <c r="AB51" s="254">
        <f t="shared" si="14"/>
        <v>0</v>
      </c>
      <c r="AC51" s="253">
        <f>スコア入力!AH51</f>
        <v>0</v>
      </c>
      <c r="AD51" s="253">
        <f>スコア入力!AI51</f>
        <v>0</v>
      </c>
      <c r="AE51" s="6"/>
      <c r="AF51" s="427">
        <f>スコア入力!N51</f>
        <v>0</v>
      </c>
      <c r="AG51" s="427">
        <f>スコア入力!P51</f>
        <v>0</v>
      </c>
      <c r="AH51" s="586">
        <f>スコア入力!AC51</f>
        <v>0</v>
      </c>
      <c r="AI51" s="586">
        <f>スコア入力!AE51</f>
        <v>0</v>
      </c>
      <c r="AJ51" s="427">
        <f>スコア入力!U51</f>
        <v>0</v>
      </c>
      <c r="AK51" s="427">
        <f>スコア入力!W51</f>
        <v>0</v>
      </c>
      <c r="AL51" s="586">
        <f>スコア入力!AJ51</f>
        <v>0</v>
      </c>
      <c r="AM51" s="586">
        <f>スコア入力!AL51</f>
        <v>0</v>
      </c>
      <c r="AN51" s="581"/>
      <c r="AO51" s="581"/>
    </row>
    <row r="52" spans="2:41" ht="14.25" hidden="1" thickBot="1">
      <c r="B52" s="305"/>
      <c r="C52" s="2400"/>
      <c r="D52" s="2109">
        <v>4</v>
      </c>
      <c r="E52" s="2085" t="s">
        <v>692</v>
      </c>
      <c r="F52" s="384"/>
      <c r="G52" s="384"/>
      <c r="H52" s="2836"/>
      <c r="I52" s="2837"/>
      <c r="J52" s="2837"/>
      <c r="K52" s="2838"/>
      <c r="L52" s="588">
        <f t="shared" si="15"/>
        <v>0</v>
      </c>
      <c r="M52" s="588">
        <f t="shared" si="16"/>
        <v>0</v>
      </c>
      <c r="N52" s="586">
        <f>スコア入力!AC52</f>
        <v>0</v>
      </c>
      <c r="O52" s="586">
        <f>スコア入力!AE52</f>
        <v>0</v>
      </c>
      <c r="P52" s="588">
        <f t="shared" si="17"/>
        <v>0</v>
      </c>
      <c r="Q52" s="588">
        <f t="shared" si="18"/>
        <v>0</v>
      </c>
      <c r="R52" s="586">
        <f>スコア入力!AJ52</f>
        <v>0</v>
      </c>
      <c r="S52" s="586">
        <f>スコア入力!AL52</f>
        <v>0</v>
      </c>
      <c r="T52" s="581"/>
      <c r="U52" s="581"/>
      <c r="W52" s="254">
        <f t="shared" si="11"/>
        <v>0</v>
      </c>
      <c r="X52" s="254">
        <f t="shared" si="12"/>
        <v>0</v>
      </c>
      <c r="Y52" s="253">
        <f>スコア入力!AA52</f>
        <v>0.25</v>
      </c>
      <c r="Z52" s="253">
        <f>スコア入力!AB52</f>
        <v>0.30000000000000004</v>
      </c>
      <c r="AA52" s="254">
        <f t="shared" si="13"/>
        <v>3</v>
      </c>
      <c r="AB52" s="254">
        <f t="shared" si="14"/>
        <v>3</v>
      </c>
      <c r="AC52" s="253">
        <f>スコア入力!AH52</f>
        <v>0</v>
      </c>
      <c r="AD52" s="253">
        <f>スコア入力!AI52</f>
        <v>0</v>
      </c>
      <c r="AE52" s="6"/>
      <c r="AF52" s="589">
        <f>スコア入力!N52</f>
        <v>0</v>
      </c>
      <c r="AG52" s="589">
        <f>スコア入力!P52</f>
        <v>0</v>
      </c>
      <c r="AH52" s="586">
        <f>スコア入力!AC52</f>
        <v>0</v>
      </c>
      <c r="AI52" s="586">
        <f>スコア入力!AE52</f>
        <v>0</v>
      </c>
      <c r="AJ52" s="589">
        <f>スコア入力!U52</f>
        <v>3</v>
      </c>
      <c r="AK52" s="589">
        <f>スコア入力!W52</f>
        <v>3</v>
      </c>
      <c r="AL52" s="586">
        <f>スコア入力!AJ52</f>
        <v>0</v>
      </c>
      <c r="AM52" s="586">
        <f>スコア入力!AL52</f>
        <v>0</v>
      </c>
      <c r="AN52" s="581"/>
      <c r="AO52" s="581"/>
    </row>
    <row r="53" spans="2:41" ht="14.25" thickBot="1">
      <c r="B53" s="348"/>
      <c r="C53" s="306">
        <v>4.2</v>
      </c>
      <c r="D53" s="343" t="s">
        <v>693</v>
      </c>
      <c r="E53" s="384"/>
      <c r="F53" s="337"/>
      <c r="G53" s="337"/>
      <c r="H53" s="2836"/>
      <c r="I53" s="2837"/>
      <c r="J53" s="2837"/>
      <c r="K53" s="2839"/>
      <c r="L53" s="590">
        <f t="shared" si="15"/>
        <v>3</v>
      </c>
      <c r="M53" s="599">
        <f t="shared" si="16"/>
        <v>3</v>
      </c>
      <c r="N53" s="580">
        <f>スコア入力!AC53</f>
        <v>0.3</v>
      </c>
      <c r="O53" s="580">
        <f>スコア入力!AE53</f>
        <v>0.32727272727272727</v>
      </c>
      <c r="P53" s="599">
        <f t="shared" si="17"/>
        <v>0</v>
      </c>
      <c r="Q53" s="599">
        <f t="shared" si="18"/>
        <v>0</v>
      </c>
      <c r="R53" s="580">
        <f>スコア入力!AJ53</f>
        <v>0</v>
      </c>
      <c r="S53" s="580">
        <f>スコア入力!AL53</f>
        <v>0</v>
      </c>
      <c r="T53" s="581"/>
      <c r="U53" s="581"/>
      <c r="W53" s="570">
        <f t="shared" si="11"/>
        <v>3</v>
      </c>
      <c r="X53" s="570">
        <f t="shared" si="12"/>
        <v>3</v>
      </c>
      <c r="Y53" s="253">
        <f>スコア入力!AA53</f>
        <v>0.3</v>
      </c>
      <c r="Z53" s="253">
        <f>スコア入力!AB53</f>
        <v>0.32727272727272722</v>
      </c>
      <c r="AA53" s="570">
        <f t="shared" si="13"/>
        <v>0</v>
      </c>
      <c r="AB53" s="570">
        <f t="shared" si="14"/>
        <v>0</v>
      </c>
      <c r="AC53" s="253">
        <f>スコア入力!AH53</f>
        <v>0</v>
      </c>
      <c r="AD53" s="253">
        <f>スコア入力!AI53</f>
        <v>0</v>
      </c>
      <c r="AE53" s="6"/>
      <c r="AF53" s="599">
        <f>SUMPRODUCT(AF54:AF57,AH54:AH57)</f>
        <v>3</v>
      </c>
      <c r="AG53" s="599">
        <f>SUMPRODUCT(AG54:AG57,AI54:AI57)</f>
        <v>3</v>
      </c>
      <c r="AH53" s="580">
        <f>スコア入力!AC53</f>
        <v>0.3</v>
      </c>
      <c r="AI53" s="580">
        <f>スコア入力!AE53</f>
        <v>0.32727272727272727</v>
      </c>
      <c r="AJ53" s="599">
        <f>SUMPRODUCT(AJ54:AJ57,AL54:AL57)</f>
        <v>0</v>
      </c>
      <c r="AK53" s="599">
        <f>SUMPRODUCT(AK54:AK57,AM54:AM57)</f>
        <v>0</v>
      </c>
      <c r="AL53" s="580">
        <f>スコア入力!AJ53</f>
        <v>0</v>
      </c>
      <c r="AM53" s="580">
        <f>スコア入力!AL53</f>
        <v>0</v>
      </c>
      <c r="AN53" s="581"/>
      <c r="AO53" s="581"/>
    </row>
    <row r="54" spans="2:41" ht="13.5">
      <c r="B54" s="348"/>
      <c r="C54" s="2401"/>
      <c r="D54" s="314">
        <v>1</v>
      </c>
      <c r="E54" s="334" t="s">
        <v>696</v>
      </c>
      <c r="F54" s="603"/>
      <c r="G54" s="603"/>
      <c r="H54" s="2836"/>
      <c r="I54" s="2837"/>
      <c r="J54" s="2837"/>
      <c r="K54" s="2838"/>
      <c r="L54" s="585">
        <f t="shared" si="15"/>
        <v>3</v>
      </c>
      <c r="M54" s="585">
        <f t="shared" si="16"/>
        <v>3</v>
      </c>
      <c r="N54" s="586">
        <f>スコア入力!AC54</f>
        <v>0.33333333333333331</v>
      </c>
      <c r="O54" s="586">
        <f>スコア入力!AE54</f>
        <v>0.37931034482758619</v>
      </c>
      <c r="P54" s="585">
        <f t="shared" si="17"/>
        <v>0</v>
      </c>
      <c r="Q54" s="585">
        <f t="shared" si="18"/>
        <v>0</v>
      </c>
      <c r="R54" s="586">
        <f>スコア入力!AJ54</f>
        <v>0</v>
      </c>
      <c r="S54" s="586">
        <f>スコア入力!AL54</f>
        <v>0</v>
      </c>
      <c r="T54" s="581"/>
      <c r="U54" s="581"/>
      <c r="W54" s="254">
        <f t="shared" si="11"/>
        <v>3</v>
      </c>
      <c r="X54" s="254">
        <f t="shared" si="12"/>
        <v>3</v>
      </c>
      <c r="Y54" s="253">
        <f>スコア入力!AA54</f>
        <v>0.25</v>
      </c>
      <c r="Z54" s="253">
        <f>スコア入力!AB54</f>
        <v>0.27500000000000002</v>
      </c>
      <c r="AA54" s="254">
        <f t="shared" si="13"/>
        <v>3</v>
      </c>
      <c r="AB54" s="254">
        <f t="shared" si="14"/>
        <v>3</v>
      </c>
      <c r="AC54" s="253">
        <f>スコア入力!AH54</f>
        <v>0</v>
      </c>
      <c r="AD54" s="253">
        <f>スコア入力!AI54</f>
        <v>0</v>
      </c>
      <c r="AE54" s="6"/>
      <c r="AF54" s="587">
        <f>スコア入力!N54</f>
        <v>3</v>
      </c>
      <c r="AG54" s="587">
        <f>スコア入力!P54</f>
        <v>3</v>
      </c>
      <c r="AH54" s="586">
        <f>スコア入力!AC54</f>
        <v>0.33333333333333331</v>
      </c>
      <c r="AI54" s="586">
        <f>スコア入力!AE54</f>
        <v>0.37931034482758619</v>
      </c>
      <c r="AJ54" s="587">
        <f>スコア入力!U54</f>
        <v>3</v>
      </c>
      <c r="AK54" s="587">
        <f>スコア入力!W54</f>
        <v>3</v>
      </c>
      <c r="AL54" s="586">
        <f>スコア入力!AJ54</f>
        <v>0</v>
      </c>
      <c r="AM54" s="586">
        <f>スコア入力!AL54</f>
        <v>0</v>
      </c>
      <c r="AN54" s="581"/>
      <c r="AO54" s="581"/>
    </row>
    <row r="55" spans="2:41" ht="13.5">
      <c r="B55" s="348"/>
      <c r="C55" s="2401"/>
      <c r="D55" s="314">
        <v>2</v>
      </c>
      <c r="E55" s="334" t="s">
        <v>697</v>
      </c>
      <c r="F55" s="337"/>
      <c r="G55" s="337"/>
      <c r="H55" s="2836"/>
      <c r="I55" s="2837"/>
      <c r="J55" s="2837"/>
      <c r="K55" s="2838"/>
      <c r="L55" s="591">
        <f t="shared" si="15"/>
        <v>3</v>
      </c>
      <c r="M55" s="591">
        <f t="shared" si="16"/>
        <v>3</v>
      </c>
      <c r="N55" s="586">
        <f>スコア入力!AC55</f>
        <v>0.33333333333333331</v>
      </c>
      <c r="O55" s="586">
        <f>スコア入力!AE55</f>
        <v>0.24137931034482762</v>
      </c>
      <c r="P55" s="591">
        <f t="shared" si="17"/>
        <v>0</v>
      </c>
      <c r="Q55" s="591">
        <f t="shared" si="18"/>
        <v>0</v>
      </c>
      <c r="R55" s="586">
        <f>スコア入力!AJ55</f>
        <v>0</v>
      </c>
      <c r="S55" s="586">
        <f>スコア入力!AL55</f>
        <v>0</v>
      </c>
      <c r="T55" s="581"/>
      <c r="U55" s="581"/>
      <c r="W55" s="254">
        <f t="shared" si="11"/>
        <v>3</v>
      </c>
      <c r="X55" s="254">
        <f t="shared" si="12"/>
        <v>3</v>
      </c>
      <c r="Y55" s="253">
        <f>スコア入力!AA55</f>
        <v>0.25</v>
      </c>
      <c r="Z55" s="253">
        <f>スコア入力!AB55</f>
        <v>0.17500000000000004</v>
      </c>
      <c r="AA55" s="254">
        <f t="shared" si="13"/>
        <v>3</v>
      </c>
      <c r="AB55" s="254">
        <f t="shared" si="14"/>
        <v>3</v>
      </c>
      <c r="AC55" s="253">
        <f>スコア入力!AH55</f>
        <v>0</v>
      </c>
      <c r="AD55" s="253">
        <f>スコア入力!AI55</f>
        <v>0</v>
      </c>
      <c r="AE55" s="6"/>
      <c r="AF55" s="427">
        <f>スコア入力!N55</f>
        <v>3</v>
      </c>
      <c r="AG55" s="427">
        <f>スコア入力!P55</f>
        <v>3</v>
      </c>
      <c r="AH55" s="586">
        <f>スコア入力!AC55</f>
        <v>0.33333333333333331</v>
      </c>
      <c r="AI55" s="586">
        <f>スコア入力!AE55</f>
        <v>0.24137931034482762</v>
      </c>
      <c r="AJ55" s="427">
        <f>スコア入力!U55</f>
        <v>3</v>
      </c>
      <c r="AK55" s="427">
        <f>スコア入力!W55</f>
        <v>3</v>
      </c>
      <c r="AL55" s="586">
        <f>スコア入力!AJ55</f>
        <v>0</v>
      </c>
      <c r="AM55" s="586">
        <f>スコア入力!AL55</f>
        <v>0</v>
      </c>
      <c r="AN55" s="581"/>
      <c r="AO55" s="581"/>
    </row>
    <row r="56" spans="2:41" ht="14.25" thickBot="1">
      <c r="B56" s="348"/>
      <c r="C56" s="2401"/>
      <c r="D56" s="314">
        <v>3</v>
      </c>
      <c r="E56" s="334" t="s">
        <v>698</v>
      </c>
      <c r="F56" s="337"/>
      <c r="G56" s="337"/>
      <c r="H56" s="2836"/>
      <c r="I56" s="2837"/>
      <c r="J56" s="2837"/>
      <c r="K56" s="2838"/>
      <c r="L56" s="588">
        <f t="shared" si="15"/>
        <v>3</v>
      </c>
      <c r="M56" s="588">
        <f t="shared" si="16"/>
        <v>3</v>
      </c>
      <c r="N56" s="586">
        <f>スコア入力!AC56</f>
        <v>0.33333333333333331</v>
      </c>
      <c r="O56" s="586">
        <f>スコア入力!AE56</f>
        <v>0.37931034482758619</v>
      </c>
      <c r="P56" s="588">
        <f t="shared" si="17"/>
        <v>0</v>
      </c>
      <c r="Q56" s="588">
        <f t="shared" si="18"/>
        <v>0</v>
      </c>
      <c r="R56" s="586">
        <f>スコア入力!AJ56</f>
        <v>0</v>
      </c>
      <c r="S56" s="586">
        <f>スコア入力!AL56</f>
        <v>0</v>
      </c>
      <c r="T56" s="581"/>
      <c r="U56" s="581"/>
      <c r="W56" s="254">
        <f t="shared" si="11"/>
        <v>3</v>
      </c>
      <c r="X56" s="254">
        <f t="shared" si="12"/>
        <v>3</v>
      </c>
      <c r="Y56" s="253">
        <f>スコア入力!AA56</f>
        <v>0.25</v>
      </c>
      <c r="Z56" s="253">
        <f>スコア入力!AB56</f>
        <v>0.27500000000000002</v>
      </c>
      <c r="AA56" s="254">
        <f t="shared" si="13"/>
        <v>3</v>
      </c>
      <c r="AB56" s="254">
        <f t="shared" si="14"/>
        <v>3</v>
      </c>
      <c r="AC56" s="253">
        <f>スコア入力!AH56</f>
        <v>0</v>
      </c>
      <c r="AD56" s="253">
        <f>スコア入力!AI56</f>
        <v>0</v>
      </c>
      <c r="AE56" s="6"/>
      <c r="AF56" s="427">
        <f>スコア入力!N56</f>
        <v>3</v>
      </c>
      <c r="AG56" s="427">
        <f>スコア入力!P56</f>
        <v>3</v>
      </c>
      <c r="AH56" s="586">
        <f>スコア入力!AC56</f>
        <v>0.33333333333333331</v>
      </c>
      <c r="AI56" s="586">
        <f>スコア入力!AE56</f>
        <v>0.37931034482758619</v>
      </c>
      <c r="AJ56" s="427">
        <f>スコア入力!U56</f>
        <v>3</v>
      </c>
      <c r="AK56" s="427">
        <f>スコア入力!W56</f>
        <v>3</v>
      </c>
      <c r="AL56" s="586">
        <f>スコア入力!AJ56</f>
        <v>0</v>
      </c>
      <c r="AM56" s="586">
        <f>スコア入力!AL56</f>
        <v>0</v>
      </c>
      <c r="AN56" s="581"/>
      <c r="AO56" s="581"/>
    </row>
    <row r="57" spans="2:41" ht="14.25" hidden="1" thickBot="1">
      <c r="B57" s="348"/>
      <c r="C57" s="2402"/>
      <c r="D57" s="2109">
        <v>4</v>
      </c>
      <c r="E57" s="2085" t="s">
        <v>699</v>
      </c>
      <c r="F57" s="337"/>
      <c r="G57" s="337"/>
      <c r="H57" s="2836"/>
      <c r="I57" s="2837"/>
      <c r="J57" s="2837"/>
      <c r="K57" s="2838"/>
      <c r="L57" s="588">
        <f t="shared" si="15"/>
        <v>0</v>
      </c>
      <c r="M57" s="588">
        <f t="shared" si="16"/>
        <v>0</v>
      </c>
      <c r="N57" s="586">
        <f>スコア入力!AC57</f>
        <v>0</v>
      </c>
      <c r="O57" s="586">
        <f>スコア入力!AE57</f>
        <v>0</v>
      </c>
      <c r="P57" s="588">
        <f t="shared" si="17"/>
        <v>0</v>
      </c>
      <c r="Q57" s="588">
        <f t="shared" si="18"/>
        <v>0</v>
      </c>
      <c r="R57" s="586">
        <f>スコア入力!AJ57</f>
        <v>0</v>
      </c>
      <c r="S57" s="586">
        <f>スコア入力!AL57</f>
        <v>0</v>
      </c>
      <c r="T57" s="581"/>
      <c r="U57" s="581"/>
      <c r="W57" s="254">
        <f t="shared" si="11"/>
        <v>0</v>
      </c>
      <c r="X57" s="254">
        <f t="shared" si="12"/>
        <v>0</v>
      </c>
      <c r="Y57" s="253">
        <f>スコア入力!AA57</f>
        <v>0.25</v>
      </c>
      <c r="Z57" s="253">
        <f>スコア入力!AB57</f>
        <v>0.27500000000000002</v>
      </c>
      <c r="AA57" s="254">
        <f t="shared" si="13"/>
        <v>0</v>
      </c>
      <c r="AB57" s="254">
        <f t="shared" si="14"/>
        <v>0</v>
      </c>
      <c r="AC57" s="253">
        <f>スコア入力!AH57</f>
        <v>0</v>
      </c>
      <c r="AD57" s="253">
        <f>スコア入力!AI57</f>
        <v>0</v>
      </c>
      <c r="AE57" s="6"/>
      <c r="AF57" s="589">
        <f>スコア入力!N57</f>
        <v>0</v>
      </c>
      <c r="AG57" s="589">
        <f>スコア入力!P57</f>
        <v>0</v>
      </c>
      <c r="AH57" s="586">
        <f>スコア入力!AC57</f>
        <v>0</v>
      </c>
      <c r="AI57" s="586">
        <f>スコア入力!AE57</f>
        <v>0</v>
      </c>
      <c r="AJ57" s="589">
        <f>スコア入力!U57</f>
        <v>0</v>
      </c>
      <c r="AK57" s="589">
        <f>スコア入力!W57</f>
        <v>0</v>
      </c>
      <c r="AL57" s="586">
        <f>スコア入力!AJ57</f>
        <v>0</v>
      </c>
      <c r="AM57" s="586">
        <f>スコア入力!AL57</f>
        <v>0</v>
      </c>
      <c r="AN57" s="581"/>
      <c r="AO57" s="581"/>
    </row>
    <row r="58" spans="2:41" ht="14.25" thickBot="1">
      <c r="B58" s="348"/>
      <c r="C58" s="306">
        <v>4.3</v>
      </c>
      <c r="D58" s="343" t="s">
        <v>701</v>
      </c>
      <c r="E58" s="384"/>
      <c r="F58" s="384"/>
      <c r="G58" s="384"/>
      <c r="H58" s="2836"/>
      <c r="I58" s="2837"/>
      <c r="J58" s="2837"/>
      <c r="K58" s="2839"/>
      <c r="L58" s="590">
        <f t="shared" si="15"/>
        <v>3</v>
      </c>
      <c r="M58" s="599">
        <f t="shared" si="16"/>
        <v>3</v>
      </c>
      <c r="N58" s="580">
        <f>スコア入力!AC58</f>
        <v>0.2</v>
      </c>
      <c r="O58" s="580">
        <f>スコア入力!AE58</f>
        <v>0.2181818181818182</v>
      </c>
      <c r="P58" s="599">
        <f t="shared" si="17"/>
        <v>0</v>
      </c>
      <c r="Q58" s="599">
        <f t="shared" si="18"/>
        <v>0</v>
      </c>
      <c r="R58" s="580">
        <f>スコア入力!AJ58</f>
        <v>0</v>
      </c>
      <c r="S58" s="580">
        <f>スコア入力!AL58</f>
        <v>0</v>
      </c>
      <c r="T58" s="581"/>
      <c r="U58" s="581"/>
      <c r="W58" s="570">
        <f t="shared" si="11"/>
        <v>3</v>
      </c>
      <c r="X58" s="570">
        <f t="shared" si="12"/>
        <v>3</v>
      </c>
      <c r="Y58" s="253">
        <f>スコア入力!AA58</f>
        <v>0.2</v>
      </c>
      <c r="Z58" s="253">
        <f>スコア入力!AB58</f>
        <v>0.21818181818181817</v>
      </c>
      <c r="AA58" s="570">
        <f t="shared" si="13"/>
        <v>0</v>
      </c>
      <c r="AB58" s="570">
        <f t="shared" si="14"/>
        <v>0</v>
      </c>
      <c r="AC58" s="253">
        <f>スコア入力!AH58</f>
        <v>0</v>
      </c>
      <c r="AD58" s="253">
        <f>スコア入力!AI58</f>
        <v>0</v>
      </c>
      <c r="AE58" s="6"/>
      <c r="AF58" s="599">
        <f>SUMPRODUCT(AF59:AF60,AH59:AH60)</f>
        <v>3</v>
      </c>
      <c r="AG58" s="599">
        <f>SUMPRODUCT(AG59:AG60,AI59:AI60)</f>
        <v>3</v>
      </c>
      <c r="AH58" s="580">
        <f>スコア入力!AC58</f>
        <v>0.2</v>
      </c>
      <c r="AI58" s="580">
        <f>スコア入力!AE58</f>
        <v>0.2181818181818182</v>
      </c>
      <c r="AJ58" s="599">
        <f>SUMPRODUCT(AJ59:AJ60,AL59:AL60)</f>
        <v>0</v>
      </c>
      <c r="AK58" s="599">
        <f>SUMPRODUCT(AK59:AK60,AM59:AM60)</f>
        <v>0</v>
      </c>
      <c r="AL58" s="580">
        <f>スコア入力!AJ58</f>
        <v>0</v>
      </c>
      <c r="AM58" s="580">
        <f>スコア入力!AL58</f>
        <v>0</v>
      </c>
      <c r="AN58" s="581"/>
      <c r="AO58" s="581"/>
    </row>
    <row r="59" spans="2:41" ht="13.5">
      <c r="B59" s="348"/>
      <c r="C59" s="2401"/>
      <c r="D59" s="314">
        <v>1</v>
      </c>
      <c r="E59" s="334" t="s">
        <v>704</v>
      </c>
      <c r="F59" s="337"/>
      <c r="G59" s="337"/>
      <c r="H59" s="2836"/>
      <c r="I59" s="2837"/>
      <c r="J59" s="2837"/>
      <c r="K59" s="2838"/>
      <c r="L59" s="585">
        <f t="shared" si="15"/>
        <v>3</v>
      </c>
      <c r="M59" s="585">
        <f t="shared" si="16"/>
        <v>3</v>
      </c>
      <c r="N59" s="586">
        <f>スコア入力!AC59</f>
        <v>0.5</v>
      </c>
      <c r="O59" s="586">
        <f>スコア入力!AE59</f>
        <v>0.5</v>
      </c>
      <c r="P59" s="585">
        <f t="shared" si="17"/>
        <v>0</v>
      </c>
      <c r="Q59" s="585">
        <f t="shared" si="18"/>
        <v>0</v>
      </c>
      <c r="R59" s="586">
        <f>スコア入力!AJ59</f>
        <v>0</v>
      </c>
      <c r="S59" s="586">
        <f>スコア入力!AL59</f>
        <v>0</v>
      </c>
      <c r="T59" s="581"/>
      <c r="U59" s="581"/>
      <c r="W59" s="254">
        <f t="shared" si="11"/>
        <v>3</v>
      </c>
      <c r="X59" s="254">
        <f t="shared" si="12"/>
        <v>3</v>
      </c>
      <c r="Y59" s="253">
        <f>スコア入力!AA59</f>
        <v>0.5</v>
      </c>
      <c r="Z59" s="253">
        <f>スコア入力!AB59</f>
        <v>0.5</v>
      </c>
      <c r="AA59" s="254">
        <f t="shared" si="13"/>
        <v>3</v>
      </c>
      <c r="AB59" s="254">
        <f t="shared" si="14"/>
        <v>3</v>
      </c>
      <c r="AC59" s="253">
        <f>スコア入力!AH59</f>
        <v>0</v>
      </c>
      <c r="AD59" s="253">
        <f>スコア入力!AI59</f>
        <v>0</v>
      </c>
      <c r="AE59" s="6"/>
      <c r="AF59" s="587">
        <f>スコア入力!N59</f>
        <v>3</v>
      </c>
      <c r="AG59" s="587">
        <f>スコア入力!P59</f>
        <v>3</v>
      </c>
      <c r="AH59" s="586">
        <f>スコア入力!AC59</f>
        <v>0.5</v>
      </c>
      <c r="AI59" s="586">
        <f>スコア入力!AE59</f>
        <v>0.5</v>
      </c>
      <c r="AJ59" s="587">
        <f>スコア入力!U59</f>
        <v>3</v>
      </c>
      <c r="AK59" s="587">
        <f>スコア入力!W59</f>
        <v>3</v>
      </c>
      <c r="AL59" s="586">
        <f>スコア入力!AJ59</f>
        <v>0</v>
      </c>
      <c r="AM59" s="586">
        <f>スコア入力!AL59</f>
        <v>0</v>
      </c>
      <c r="AN59" s="581"/>
      <c r="AO59" s="581"/>
    </row>
    <row r="60" spans="2:41" ht="14.25" thickBot="1">
      <c r="B60" s="348"/>
      <c r="C60" s="2401"/>
      <c r="D60" s="403">
        <v>2</v>
      </c>
      <c r="E60" s="307" t="s">
        <v>705</v>
      </c>
      <c r="F60" s="604"/>
      <c r="G60" s="604"/>
      <c r="H60" s="2849"/>
      <c r="I60" s="2850"/>
      <c r="J60" s="2850"/>
      <c r="K60" s="2851"/>
      <c r="L60" s="588">
        <f t="shared" si="15"/>
        <v>3</v>
      </c>
      <c r="M60" s="588">
        <f t="shared" si="16"/>
        <v>3</v>
      </c>
      <c r="N60" s="605">
        <f>スコア入力!AC60</f>
        <v>0.5</v>
      </c>
      <c r="O60" s="605">
        <f>スコア入力!AE60</f>
        <v>0.5</v>
      </c>
      <c r="P60" s="588">
        <f t="shared" si="17"/>
        <v>0</v>
      </c>
      <c r="Q60" s="588">
        <f t="shared" si="18"/>
        <v>0</v>
      </c>
      <c r="R60" s="605">
        <f>スコア入力!AJ60</f>
        <v>0</v>
      </c>
      <c r="S60" s="605">
        <f>スコア入力!AL60</f>
        <v>0</v>
      </c>
      <c r="T60" s="606"/>
      <c r="U60" s="606"/>
      <c r="W60" s="254">
        <f t="shared" si="11"/>
        <v>3</v>
      </c>
      <c r="X60" s="254">
        <f t="shared" si="12"/>
        <v>3</v>
      </c>
      <c r="Y60" s="253">
        <f>スコア入力!AA60</f>
        <v>0.5</v>
      </c>
      <c r="Z60" s="253">
        <f>スコア入力!AB60</f>
        <v>0.5</v>
      </c>
      <c r="AA60" s="254">
        <f t="shared" si="13"/>
        <v>3</v>
      </c>
      <c r="AB60" s="254">
        <f t="shared" si="14"/>
        <v>3</v>
      </c>
      <c r="AC60" s="253">
        <f>スコア入力!AH60</f>
        <v>0</v>
      </c>
      <c r="AD60" s="253">
        <f>スコア入力!AI60</f>
        <v>0</v>
      </c>
      <c r="AE60" s="6"/>
      <c r="AF60" s="589">
        <f>スコア入力!N60</f>
        <v>3</v>
      </c>
      <c r="AG60" s="589">
        <f>スコア入力!P60</f>
        <v>3</v>
      </c>
      <c r="AH60" s="605">
        <f>スコア入力!AC60</f>
        <v>0.5</v>
      </c>
      <c r="AI60" s="605">
        <f>スコア入力!AE60</f>
        <v>0.5</v>
      </c>
      <c r="AJ60" s="589">
        <f>スコア入力!U60</f>
        <v>3</v>
      </c>
      <c r="AK60" s="589">
        <f>スコア入力!W60</f>
        <v>3</v>
      </c>
      <c r="AL60" s="605">
        <f>スコア入力!AJ60</f>
        <v>0</v>
      </c>
      <c r="AM60" s="605">
        <f>スコア入力!AL60</f>
        <v>0</v>
      </c>
      <c r="AN60" s="606"/>
      <c r="AO60" s="606"/>
    </row>
    <row r="61" spans="2:41" ht="15.75" thickBot="1">
      <c r="B61" s="369" t="s">
        <v>707</v>
      </c>
      <c r="C61" s="370"/>
      <c r="D61" s="370" t="s">
        <v>708</v>
      </c>
      <c r="E61" s="370"/>
      <c r="F61" s="607"/>
      <c r="G61" s="607"/>
      <c r="H61" s="2852"/>
      <c r="I61" s="2853"/>
      <c r="J61" s="2853"/>
      <c r="K61" s="2854"/>
      <c r="L61" s="608"/>
      <c r="M61" s="608"/>
      <c r="N61" s="573">
        <f>スコア入力!AC61</f>
        <v>0.3</v>
      </c>
      <c r="O61" s="573">
        <f>スコア入力!AE61</f>
        <v>0.3</v>
      </c>
      <c r="P61" s="608"/>
      <c r="Q61" s="608"/>
      <c r="R61" s="573"/>
      <c r="S61" s="573"/>
      <c r="T61" s="609">
        <f>ROUNDDOWN(AN61,1)</f>
        <v>3</v>
      </c>
      <c r="U61" s="609">
        <f>ROUNDDOWN(AO61,1)</f>
        <v>3</v>
      </c>
      <c r="W61" s="570">
        <f>$AN61</f>
        <v>3.0562499999999999</v>
      </c>
      <c r="X61" s="570">
        <f>$AO61</f>
        <v>3.0000000000000009</v>
      </c>
      <c r="Y61" s="253">
        <f>スコア入力!AA61</f>
        <v>0.3</v>
      </c>
      <c r="Z61" s="253">
        <f>スコア入力!AB61</f>
        <v>0.3</v>
      </c>
      <c r="AA61" s="570">
        <f t="shared" si="13"/>
        <v>0</v>
      </c>
      <c r="AB61" s="570">
        <f t="shared" si="14"/>
        <v>0</v>
      </c>
      <c r="AC61" s="253">
        <f>スコア入力!AH61</f>
        <v>0</v>
      </c>
      <c r="AD61" s="253">
        <f>スコア入力!AI61</f>
        <v>0</v>
      </c>
      <c r="AE61" s="6"/>
      <c r="AF61" s="608"/>
      <c r="AG61" s="608"/>
      <c r="AH61" s="573">
        <f>スコア入力!AC61</f>
        <v>0.3</v>
      </c>
      <c r="AI61" s="573">
        <f>スコア入力!AE61</f>
        <v>0.3</v>
      </c>
      <c r="AJ61" s="608"/>
      <c r="AK61" s="608"/>
      <c r="AL61" s="573">
        <f>スコア入力!AJ61</f>
        <v>0</v>
      </c>
      <c r="AM61" s="573">
        <f>スコア入力!AL61</f>
        <v>0</v>
      </c>
      <c r="AN61" s="609">
        <f>AN62*AH62+AN75*AH75+AN97*AH97</f>
        <v>3.0562499999999999</v>
      </c>
      <c r="AO61" s="609">
        <f>AO62*AI62+AO75*AI75+AO97*AI97</f>
        <v>3.0000000000000009</v>
      </c>
    </row>
    <row r="62" spans="2:41" ht="13.5">
      <c r="B62" s="293">
        <v>1</v>
      </c>
      <c r="C62" s="376" t="s">
        <v>709</v>
      </c>
      <c r="D62" s="377"/>
      <c r="E62" s="579"/>
      <c r="F62" s="579"/>
      <c r="G62" s="579"/>
      <c r="H62" s="2833"/>
      <c r="I62" s="2834"/>
      <c r="J62" s="2834"/>
      <c r="K62" s="2835"/>
      <c r="L62" s="610">
        <f t="shared" ref="L62:L108" si="19">IF(Y62=0,0,ROUNDDOWN(AF62,1))</f>
        <v>3</v>
      </c>
      <c r="M62" s="595">
        <f t="shared" ref="M62:M108" si="20">IF(Z62=0,0,ROUNDDOWN(AG62,1))</f>
        <v>3</v>
      </c>
      <c r="N62" s="611">
        <f>スコア入力!AC62</f>
        <v>0.4</v>
      </c>
      <c r="O62" s="611">
        <f>スコア入力!AE62</f>
        <v>0.39999999999999991</v>
      </c>
      <c r="P62" s="595">
        <f t="shared" ref="P62:P108" si="21">IF(AC62=0,0,ROUNDDOWN(AJ62,1))</f>
        <v>0</v>
      </c>
      <c r="Q62" s="595">
        <f t="shared" ref="Q62:Q108" si="22">IF(AD62=0,0,ROUNDDOWN(AK62,1))</f>
        <v>0</v>
      </c>
      <c r="R62" s="611"/>
      <c r="S62" s="611"/>
      <c r="T62" s="612">
        <f>ROUNDDOWN(AN62,1)</f>
        <v>3</v>
      </c>
      <c r="U62" s="612">
        <f>ROUNDDOWN(AO62,1)</f>
        <v>3</v>
      </c>
      <c r="W62" s="570">
        <f t="shared" ref="W62:W108" si="23">AF62</f>
        <v>3</v>
      </c>
      <c r="X62" s="570">
        <f t="shared" ref="X62:X108" si="24">AG62</f>
        <v>3.0000000000000009</v>
      </c>
      <c r="Y62" s="253">
        <f>スコア入力!AA62</f>
        <v>0.4</v>
      </c>
      <c r="Z62" s="253">
        <f>スコア入力!AB62</f>
        <v>0.39999999999999991</v>
      </c>
      <c r="AA62" s="570">
        <f t="shared" si="13"/>
        <v>0</v>
      </c>
      <c r="AB62" s="570">
        <f t="shared" si="14"/>
        <v>0</v>
      </c>
      <c r="AC62" s="253">
        <f>スコア入力!AH62</f>
        <v>1</v>
      </c>
      <c r="AD62" s="253">
        <f>スコア入力!AI62</f>
        <v>0</v>
      </c>
      <c r="AE62" s="6"/>
      <c r="AF62" s="595">
        <f>AF63*AH63+AF67*AH67+AF71*AH71</f>
        <v>3</v>
      </c>
      <c r="AG62" s="595">
        <f>AG63*AI63+AG67*AI67+AG71*AI71</f>
        <v>3.0000000000000009</v>
      </c>
      <c r="AH62" s="611">
        <f>スコア入力!AC62</f>
        <v>0.4</v>
      </c>
      <c r="AI62" s="611">
        <f>スコア入力!AE62</f>
        <v>0.39999999999999991</v>
      </c>
      <c r="AJ62" s="595">
        <f>AJ63*AL63+AJ67*AL67+AJ71*AL71</f>
        <v>0</v>
      </c>
      <c r="AK62" s="595">
        <f>AK63*AM63+AK67*AM67+AK71*AM71</f>
        <v>0</v>
      </c>
      <c r="AL62" s="611">
        <f>スコア入力!AJ62</f>
        <v>0</v>
      </c>
      <c r="AM62" s="611">
        <f>スコア入力!AL62</f>
        <v>0</v>
      </c>
      <c r="AN62" s="612">
        <f>IF(AJ62=0,AF62,IF(AF62=0,AJ62,AF62*AH$6+AJ62*AL$6))</f>
        <v>3</v>
      </c>
      <c r="AO62" s="612">
        <f>IF(AK62=0,AG62,IF(AG62=0,AK62,AG62*AI$6+AK62*AM$6))</f>
        <v>3.0000000000000009</v>
      </c>
    </row>
    <row r="63" spans="2:41" ht="14.25" thickBot="1">
      <c r="B63" s="348"/>
      <c r="C63" s="325">
        <v>1.1000000000000001</v>
      </c>
      <c r="D63" s="307" t="s">
        <v>710</v>
      </c>
      <c r="E63" s="384"/>
      <c r="F63" s="384"/>
      <c r="G63" s="384"/>
      <c r="H63" s="2836"/>
      <c r="I63" s="2837"/>
      <c r="J63" s="2837"/>
      <c r="K63" s="2837"/>
      <c r="L63" s="601">
        <f t="shared" si="19"/>
        <v>3</v>
      </c>
      <c r="M63" s="599">
        <f t="shared" si="20"/>
        <v>3</v>
      </c>
      <c r="N63" s="580">
        <f>スコア入力!AC63</f>
        <v>0.4</v>
      </c>
      <c r="O63" s="580">
        <f>スコア入力!AE63</f>
        <v>0.4</v>
      </c>
      <c r="P63" s="599">
        <f t="shared" si="21"/>
        <v>0</v>
      </c>
      <c r="Q63" s="599">
        <f t="shared" si="22"/>
        <v>0</v>
      </c>
      <c r="R63" s="580">
        <f>スコア入力!AJ63</f>
        <v>0</v>
      </c>
      <c r="S63" s="580">
        <f>スコア入力!AL63</f>
        <v>0</v>
      </c>
      <c r="T63" s="581"/>
      <c r="U63" s="581"/>
      <c r="W63" s="570">
        <f t="shared" si="23"/>
        <v>3</v>
      </c>
      <c r="X63" s="570">
        <f t="shared" si="24"/>
        <v>3</v>
      </c>
      <c r="Y63" s="253">
        <f>スコア入力!AA63</f>
        <v>0.4</v>
      </c>
      <c r="Z63" s="253">
        <f>スコア入力!AB63</f>
        <v>0.4</v>
      </c>
      <c r="AA63" s="570">
        <f t="shared" si="13"/>
        <v>0</v>
      </c>
      <c r="AB63" s="570">
        <f t="shared" si="14"/>
        <v>0</v>
      </c>
      <c r="AC63" s="253">
        <f>スコア入力!AH63</f>
        <v>0</v>
      </c>
      <c r="AD63" s="253">
        <f>スコア入力!AI63</f>
        <v>0</v>
      </c>
      <c r="AE63" s="6"/>
      <c r="AF63" s="599">
        <f>SUMPRODUCT(AF64:AF66,AH64:AH66)</f>
        <v>3</v>
      </c>
      <c r="AG63" s="599">
        <f>SUMPRODUCT(AG64:AG66,AI64:AI66)</f>
        <v>3</v>
      </c>
      <c r="AH63" s="580">
        <f>スコア入力!AC63</f>
        <v>0.4</v>
      </c>
      <c r="AI63" s="580">
        <f>スコア入力!AE63</f>
        <v>0.4</v>
      </c>
      <c r="AJ63" s="599">
        <f>SUMPRODUCT(AJ64:AJ66,AL64:AL66)</f>
        <v>0</v>
      </c>
      <c r="AK63" s="599">
        <f>SUMPRODUCT(AK64:AK66,AM64:AM66)</f>
        <v>0</v>
      </c>
      <c r="AL63" s="580">
        <f>スコア入力!AJ63</f>
        <v>0</v>
      </c>
      <c r="AM63" s="580">
        <f>スコア入力!AL63</f>
        <v>0</v>
      </c>
      <c r="AN63" s="581"/>
      <c r="AO63" s="581"/>
    </row>
    <row r="64" spans="2:41" ht="13.5">
      <c r="B64" s="348"/>
      <c r="C64" s="313"/>
      <c r="D64" s="314">
        <v>1</v>
      </c>
      <c r="E64" s="334" t="s">
        <v>712</v>
      </c>
      <c r="F64" s="337"/>
      <c r="G64" s="337"/>
      <c r="H64" s="2836"/>
      <c r="I64" s="2837"/>
      <c r="J64" s="2837"/>
      <c r="K64" s="2838"/>
      <c r="L64" s="585">
        <f t="shared" si="19"/>
        <v>3</v>
      </c>
      <c r="M64" s="585">
        <f t="shared" si="20"/>
        <v>3</v>
      </c>
      <c r="N64" s="586">
        <f>スコア入力!AC64</f>
        <v>0.33333333333333331</v>
      </c>
      <c r="O64" s="586">
        <f>スコア入力!AE64</f>
        <v>0.23333333333333331</v>
      </c>
      <c r="P64" s="585">
        <f t="shared" si="21"/>
        <v>0</v>
      </c>
      <c r="Q64" s="585">
        <f t="shared" si="22"/>
        <v>0</v>
      </c>
      <c r="R64" s="586">
        <f>スコア入力!AJ64</f>
        <v>0</v>
      </c>
      <c r="S64" s="586">
        <f>スコア入力!AL64</f>
        <v>0</v>
      </c>
      <c r="T64" s="581"/>
      <c r="U64" s="581"/>
      <c r="W64" s="254">
        <f t="shared" si="23"/>
        <v>3</v>
      </c>
      <c r="X64" s="254">
        <f t="shared" si="24"/>
        <v>3</v>
      </c>
      <c r="Y64" s="253">
        <f>スコア入力!AA64</f>
        <v>0.33333333333333331</v>
      </c>
      <c r="Z64" s="253">
        <f>スコア入力!AB64</f>
        <v>0.23333333333333331</v>
      </c>
      <c r="AA64" s="254">
        <f t="shared" si="13"/>
        <v>3</v>
      </c>
      <c r="AB64" s="254">
        <f t="shared" si="14"/>
        <v>3</v>
      </c>
      <c r="AC64" s="253">
        <f>スコア入力!AH64</f>
        <v>0</v>
      </c>
      <c r="AD64" s="253">
        <f>スコア入力!AI64</f>
        <v>0</v>
      </c>
      <c r="AE64" s="6"/>
      <c r="AF64" s="587">
        <f>スコア入力!N64</f>
        <v>3</v>
      </c>
      <c r="AG64" s="587">
        <f>スコア入力!P64</f>
        <v>3</v>
      </c>
      <c r="AH64" s="586">
        <f>スコア入力!AC64</f>
        <v>0.33333333333333331</v>
      </c>
      <c r="AI64" s="586">
        <f>スコア入力!AE64</f>
        <v>0.23333333333333331</v>
      </c>
      <c r="AJ64" s="587">
        <f>スコア入力!U64</f>
        <v>3</v>
      </c>
      <c r="AK64" s="587">
        <f>スコア入力!W64</f>
        <v>3</v>
      </c>
      <c r="AL64" s="586">
        <f>スコア入力!AJ64</f>
        <v>0</v>
      </c>
      <c r="AM64" s="586">
        <f>スコア入力!AL64</f>
        <v>0</v>
      </c>
      <c r="AN64" s="581"/>
      <c r="AO64" s="581"/>
    </row>
    <row r="65" spans="2:41" ht="13.5">
      <c r="B65" s="348"/>
      <c r="C65" s="313"/>
      <c r="D65" s="314">
        <v>2</v>
      </c>
      <c r="E65" s="334" t="s">
        <v>713</v>
      </c>
      <c r="F65" s="337"/>
      <c r="G65" s="337"/>
      <c r="H65" s="2836"/>
      <c r="I65" s="2837"/>
      <c r="J65" s="2837"/>
      <c r="K65" s="2838"/>
      <c r="L65" s="591">
        <f t="shared" si="19"/>
        <v>3</v>
      </c>
      <c r="M65" s="591">
        <f t="shared" si="20"/>
        <v>3</v>
      </c>
      <c r="N65" s="586">
        <f>スコア入力!AC65</f>
        <v>0.33333333333333331</v>
      </c>
      <c r="O65" s="586">
        <f>スコア入力!AE65</f>
        <v>0.23333333333333331</v>
      </c>
      <c r="P65" s="591">
        <f t="shared" si="21"/>
        <v>0</v>
      </c>
      <c r="Q65" s="591">
        <f t="shared" si="22"/>
        <v>0</v>
      </c>
      <c r="R65" s="586">
        <f>スコア入力!AJ65</f>
        <v>0</v>
      </c>
      <c r="S65" s="586">
        <f>スコア入力!AL65</f>
        <v>0</v>
      </c>
      <c r="T65" s="581"/>
      <c r="U65" s="581"/>
      <c r="W65" s="254">
        <f t="shared" si="23"/>
        <v>3</v>
      </c>
      <c r="X65" s="254">
        <f t="shared" si="24"/>
        <v>3</v>
      </c>
      <c r="Y65" s="253">
        <f>スコア入力!AA65</f>
        <v>0.33333333333333331</v>
      </c>
      <c r="Z65" s="253">
        <f>スコア入力!AB65</f>
        <v>0.23333333333333331</v>
      </c>
      <c r="AA65" s="254">
        <f t="shared" si="13"/>
        <v>0</v>
      </c>
      <c r="AB65" s="254">
        <f t="shared" si="14"/>
        <v>0</v>
      </c>
      <c r="AC65" s="253">
        <f>スコア入力!AH65</f>
        <v>0</v>
      </c>
      <c r="AD65" s="253">
        <f>スコア入力!AI65</f>
        <v>0</v>
      </c>
      <c r="AE65" s="6"/>
      <c r="AF65" s="427">
        <f>スコア入力!N65</f>
        <v>3</v>
      </c>
      <c r="AG65" s="427">
        <f>スコア入力!P65</f>
        <v>3</v>
      </c>
      <c r="AH65" s="586">
        <f>スコア入力!AC65</f>
        <v>0.33333333333333331</v>
      </c>
      <c r="AI65" s="586">
        <f>スコア入力!AE65</f>
        <v>0.23333333333333331</v>
      </c>
      <c r="AJ65" s="427">
        <f>スコア入力!U65</f>
        <v>0</v>
      </c>
      <c r="AK65" s="427">
        <f>スコア入力!W65</f>
        <v>0</v>
      </c>
      <c r="AL65" s="586">
        <f>スコア入力!AJ65</f>
        <v>0</v>
      </c>
      <c r="AM65" s="586">
        <f>スコア入力!AL65</f>
        <v>0</v>
      </c>
      <c r="AN65" s="581"/>
      <c r="AO65" s="581"/>
    </row>
    <row r="66" spans="2:41" ht="14.25" thickBot="1">
      <c r="B66" s="348"/>
      <c r="C66" s="320"/>
      <c r="D66" s="314">
        <v>3</v>
      </c>
      <c r="E66" s="334" t="s">
        <v>714</v>
      </c>
      <c r="F66" s="337"/>
      <c r="G66" s="337"/>
      <c r="H66" s="2836"/>
      <c r="I66" s="2837"/>
      <c r="J66" s="2837"/>
      <c r="K66" s="2838"/>
      <c r="L66" s="588">
        <f t="shared" si="19"/>
        <v>3</v>
      </c>
      <c r="M66" s="588">
        <f t="shared" si="20"/>
        <v>3</v>
      </c>
      <c r="N66" s="586">
        <f>スコア入力!AC66</f>
        <v>0.33333333333333331</v>
      </c>
      <c r="O66" s="586">
        <f>スコア入力!AE66</f>
        <v>0.53333333333333333</v>
      </c>
      <c r="P66" s="588">
        <f t="shared" si="21"/>
        <v>0</v>
      </c>
      <c r="Q66" s="588">
        <f t="shared" si="22"/>
        <v>0</v>
      </c>
      <c r="R66" s="586">
        <f>スコア入力!AJ66</f>
        <v>0</v>
      </c>
      <c r="S66" s="586">
        <f>スコア入力!AL66</f>
        <v>0</v>
      </c>
      <c r="T66" s="581"/>
      <c r="U66" s="581"/>
      <c r="W66" s="254">
        <f t="shared" si="23"/>
        <v>3</v>
      </c>
      <c r="X66" s="254">
        <f t="shared" si="24"/>
        <v>3</v>
      </c>
      <c r="Y66" s="253">
        <f>スコア入力!AA66</f>
        <v>0.33333333333333331</v>
      </c>
      <c r="Z66" s="253">
        <f>スコア入力!AB66</f>
        <v>0.53333333333333333</v>
      </c>
      <c r="AA66" s="254">
        <f t="shared" si="13"/>
        <v>0</v>
      </c>
      <c r="AB66" s="254">
        <f t="shared" si="14"/>
        <v>0</v>
      </c>
      <c r="AC66" s="253">
        <f>スコア入力!AH66</f>
        <v>0</v>
      </c>
      <c r="AD66" s="253">
        <f>スコア入力!AI66</f>
        <v>0</v>
      </c>
      <c r="AE66" s="6"/>
      <c r="AF66" s="589">
        <f>スコア入力!N66</f>
        <v>3</v>
      </c>
      <c r="AG66" s="589">
        <f>スコア入力!P66</f>
        <v>3</v>
      </c>
      <c r="AH66" s="586">
        <f>スコア入力!AC66</f>
        <v>0.33333333333333331</v>
      </c>
      <c r="AI66" s="586">
        <f>スコア入力!AE66</f>
        <v>0.53333333333333333</v>
      </c>
      <c r="AJ66" s="589">
        <f>スコア入力!U66</f>
        <v>0</v>
      </c>
      <c r="AK66" s="589">
        <f>スコア入力!W66</f>
        <v>0</v>
      </c>
      <c r="AL66" s="586">
        <f>スコア入力!AJ66</f>
        <v>0</v>
      </c>
      <c r="AM66" s="586">
        <f>スコア入力!AL66</f>
        <v>0</v>
      </c>
      <c r="AN66" s="581"/>
      <c r="AO66" s="581"/>
    </row>
    <row r="67" spans="2:41" ht="14.25" thickBot="1">
      <c r="B67" s="348"/>
      <c r="C67" s="306">
        <v>1.2</v>
      </c>
      <c r="D67" s="307" t="s">
        <v>715</v>
      </c>
      <c r="E67" s="384"/>
      <c r="F67" s="384"/>
      <c r="G67" s="384"/>
      <c r="H67" s="2836"/>
      <c r="I67" s="2837"/>
      <c r="J67" s="2837"/>
      <c r="K67" s="2837"/>
      <c r="L67" s="590">
        <f t="shared" si="19"/>
        <v>3</v>
      </c>
      <c r="M67" s="599">
        <f t="shared" si="20"/>
        <v>3</v>
      </c>
      <c r="N67" s="580">
        <f>スコア入力!AC67</f>
        <v>0.3</v>
      </c>
      <c r="O67" s="580">
        <f>スコア入力!AE67</f>
        <v>0.30000000000000004</v>
      </c>
      <c r="P67" s="599">
        <f t="shared" si="21"/>
        <v>0</v>
      </c>
      <c r="Q67" s="599">
        <f t="shared" si="22"/>
        <v>0</v>
      </c>
      <c r="R67" s="580">
        <f>スコア入力!AJ67</f>
        <v>0</v>
      </c>
      <c r="S67" s="580">
        <f>スコア入力!AL67</f>
        <v>0</v>
      </c>
      <c r="T67" s="581"/>
      <c r="U67" s="581"/>
      <c r="W67" s="570">
        <f t="shared" si="23"/>
        <v>3</v>
      </c>
      <c r="X67" s="570">
        <f t="shared" si="24"/>
        <v>3</v>
      </c>
      <c r="Y67" s="253">
        <f>スコア入力!AA67</f>
        <v>0.3</v>
      </c>
      <c r="Z67" s="253">
        <f>スコア入力!AB67</f>
        <v>0.30000000000000004</v>
      </c>
      <c r="AA67" s="570">
        <f t="shared" si="13"/>
        <v>0</v>
      </c>
      <c r="AB67" s="570">
        <f t="shared" si="14"/>
        <v>0</v>
      </c>
      <c r="AC67" s="253">
        <f>スコア入力!AH67</f>
        <v>0</v>
      </c>
      <c r="AD67" s="253">
        <f>スコア入力!AI67</f>
        <v>0</v>
      </c>
      <c r="AE67" s="6"/>
      <c r="AF67" s="599">
        <f>SUMPRODUCT(AF68:AF70,AH68:AH70)</f>
        <v>3</v>
      </c>
      <c r="AG67" s="599">
        <f>SUMPRODUCT(AG68:AG70,AI68:AI70)</f>
        <v>3</v>
      </c>
      <c r="AH67" s="580">
        <f>スコア入力!AC67</f>
        <v>0.3</v>
      </c>
      <c r="AI67" s="580">
        <f>スコア入力!AE67</f>
        <v>0.30000000000000004</v>
      </c>
      <c r="AJ67" s="599">
        <f>SUMPRODUCT(AJ68:AJ70,AL68:AL70)</f>
        <v>0</v>
      </c>
      <c r="AK67" s="599">
        <f>SUMPRODUCT(AK68:AK70,AM68:AM70)</f>
        <v>0</v>
      </c>
      <c r="AL67" s="580">
        <f>スコア入力!AJ67</f>
        <v>0</v>
      </c>
      <c r="AM67" s="580">
        <f>スコア入力!AL67</f>
        <v>0</v>
      </c>
      <c r="AN67" s="581"/>
      <c r="AO67" s="581"/>
    </row>
    <row r="68" spans="2:41" ht="13.5">
      <c r="B68" s="348"/>
      <c r="C68" s="313"/>
      <c r="D68" s="314">
        <v>1</v>
      </c>
      <c r="E68" s="334" t="s">
        <v>718</v>
      </c>
      <c r="F68" s="337"/>
      <c r="G68" s="337"/>
      <c r="H68" s="2836"/>
      <c r="I68" s="2837"/>
      <c r="J68" s="2837"/>
      <c r="K68" s="2838"/>
      <c r="L68" s="585">
        <f t="shared" si="19"/>
        <v>3</v>
      </c>
      <c r="M68" s="585">
        <f t="shared" si="20"/>
        <v>3</v>
      </c>
      <c r="N68" s="586">
        <f>スコア入力!AC68</f>
        <v>0.33333333333333331</v>
      </c>
      <c r="O68" s="586">
        <f>スコア入力!AE68</f>
        <v>0.33333333333333331</v>
      </c>
      <c r="P68" s="585">
        <f t="shared" si="21"/>
        <v>0</v>
      </c>
      <c r="Q68" s="585">
        <f t="shared" si="22"/>
        <v>0</v>
      </c>
      <c r="R68" s="586">
        <f>スコア入力!AJ68</f>
        <v>0</v>
      </c>
      <c r="S68" s="586">
        <f>スコア入力!AL68</f>
        <v>0</v>
      </c>
      <c r="T68" s="581"/>
      <c r="U68" s="581"/>
      <c r="W68" s="254">
        <f t="shared" si="23"/>
        <v>3</v>
      </c>
      <c r="X68" s="254">
        <f t="shared" si="24"/>
        <v>3</v>
      </c>
      <c r="Y68" s="253">
        <f>スコア入力!AA68</f>
        <v>0.33333333333333331</v>
      </c>
      <c r="Z68" s="253">
        <f>スコア入力!AB68</f>
        <v>0.33333333333333331</v>
      </c>
      <c r="AA68" s="254">
        <f t="shared" si="13"/>
        <v>3</v>
      </c>
      <c r="AB68" s="254">
        <f t="shared" si="14"/>
        <v>3</v>
      </c>
      <c r="AC68" s="253">
        <f>スコア入力!AH68</f>
        <v>0</v>
      </c>
      <c r="AD68" s="253">
        <f>スコア入力!AI68</f>
        <v>0</v>
      </c>
      <c r="AE68" s="6"/>
      <c r="AF68" s="587">
        <f>スコア入力!N68</f>
        <v>3</v>
      </c>
      <c r="AG68" s="587">
        <f>スコア入力!P68</f>
        <v>3</v>
      </c>
      <c r="AH68" s="586">
        <f>スコア入力!AC68</f>
        <v>0.33333333333333331</v>
      </c>
      <c r="AI68" s="586">
        <f>スコア入力!AE68</f>
        <v>0.33333333333333331</v>
      </c>
      <c r="AJ68" s="587">
        <f>スコア入力!U68</f>
        <v>3</v>
      </c>
      <c r="AK68" s="587">
        <f>スコア入力!W68</f>
        <v>3</v>
      </c>
      <c r="AL68" s="586">
        <f>スコア入力!AJ68</f>
        <v>0</v>
      </c>
      <c r="AM68" s="586">
        <f>スコア入力!AL68</f>
        <v>0</v>
      </c>
      <c r="AN68" s="581"/>
      <c r="AO68" s="581"/>
    </row>
    <row r="69" spans="2:41" ht="13.5">
      <c r="B69" s="348"/>
      <c r="C69" s="313"/>
      <c r="D69" s="314">
        <v>2</v>
      </c>
      <c r="E69" s="334" t="s">
        <v>719</v>
      </c>
      <c r="F69" s="337"/>
      <c r="G69" s="337"/>
      <c r="H69" s="2836"/>
      <c r="I69" s="2837"/>
      <c r="J69" s="2837"/>
      <c r="K69" s="2838"/>
      <c r="L69" s="591">
        <f t="shared" si="19"/>
        <v>3</v>
      </c>
      <c r="M69" s="591">
        <f t="shared" si="20"/>
        <v>3</v>
      </c>
      <c r="N69" s="586">
        <f>スコア入力!AC69</f>
        <v>0.33333333333333331</v>
      </c>
      <c r="O69" s="586">
        <f>スコア入力!AE69</f>
        <v>0.33333333333333331</v>
      </c>
      <c r="P69" s="591">
        <f t="shared" si="21"/>
        <v>0</v>
      </c>
      <c r="Q69" s="591">
        <f t="shared" si="22"/>
        <v>0</v>
      </c>
      <c r="R69" s="586">
        <f>スコア入力!AJ69</f>
        <v>0</v>
      </c>
      <c r="S69" s="586">
        <f>スコア入力!AL69</f>
        <v>0</v>
      </c>
      <c r="T69" s="581"/>
      <c r="U69" s="581"/>
      <c r="W69" s="254">
        <f t="shared" si="23"/>
        <v>3</v>
      </c>
      <c r="X69" s="254">
        <f t="shared" si="24"/>
        <v>3</v>
      </c>
      <c r="Y69" s="253">
        <f>スコア入力!AA69</f>
        <v>0.33333333333333331</v>
      </c>
      <c r="Z69" s="253">
        <f>スコア入力!AB69</f>
        <v>0.33333333333333331</v>
      </c>
      <c r="AA69" s="254">
        <f t="shared" si="13"/>
        <v>3</v>
      </c>
      <c r="AB69" s="254">
        <f t="shared" si="14"/>
        <v>3</v>
      </c>
      <c r="AC69" s="253">
        <f>スコア入力!AH69</f>
        <v>0</v>
      </c>
      <c r="AD69" s="253">
        <f>スコア入力!AI69</f>
        <v>0</v>
      </c>
      <c r="AE69" s="6"/>
      <c r="AF69" s="427">
        <f>スコア入力!N69</f>
        <v>3</v>
      </c>
      <c r="AG69" s="427">
        <f>スコア入力!P69</f>
        <v>3</v>
      </c>
      <c r="AH69" s="586">
        <f>スコア入力!AC69</f>
        <v>0.33333333333333331</v>
      </c>
      <c r="AI69" s="586">
        <f>スコア入力!AE69</f>
        <v>0.33333333333333331</v>
      </c>
      <c r="AJ69" s="427">
        <f>スコア入力!U69</f>
        <v>3</v>
      </c>
      <c r="AK69" s="427">
        <f>スコア入力!W69</f>
        <v>3</v>
      </c>
      <c r="AL69" s="586">
        <f>スコア入力!AJ69</f>
        <v>0</v>
      </c>
      <c r="AM69" s="586">
        <f>スコア入力!AL69</f>
        <v>0</v>
      </c>
      <c r="AN69" s="581"/>
      <c r="AO69" s="581"/>
    </row>
    <row r="70" spans="2:41" ht="14.25" thickBot="1">
      <c r="B70" s="348"/>
      <c r="C70" s="320"/>
      <c r="D70" s="314">
        <v>3</v>
      </c>
      <c r="E70" s="334" t="s">
        <v>720</v>
      </c>
      <c r="F70" s="337"/>
      <c r="G70" s="337"/>
      <c r="H70" s="2836"/>
      <c r="I70" s="2837"/>
      <c r="J70" s="2837"/>
      <c r="K70" s="2838"/>
      <c r="L70" s="588">
        <f t="shared" si="19"/>
        <v>3</v>
      </c>
      <c r="M70" s="588">
        <f t="shared" si="20"/>
        <v>3</v>
      </c>
      <c r="N70" s="586">
        <f>スコア入力!AC70</f>
        <v>0.33333333333333331</v>
      </c>
      <c r="O70" s="586">
        <f>スコア入力!AE70</f>
        <v>0.33333333333333331</v>
      </c>
      <c r="P70" s="588">
        <f t="shared" si="21"/>
        <v>0</v>
      </c>
      <c r="Q70" s="588">
        <f t="shared" si="22"/>
        <v>0</v>
      </c>
      <c r="R70" s="586">
        <f>スコア入力!AJ70</f>
        <v>0</v>
      </c>
      <c r="S70" s="586">
        <f>スコア入力!AL70</f>
        <v>0</v>
      </c>
      <c r="T70" s="581"/>
      <c r="U70" s="581"/>
      <c r="W70" s="254">
        <f t="shared" si="23"/>
        <v>3</v>
      </c>
      <c r="X70" s="254">
        <f t="shared" si="24"/>
        <v>3</v>
      </c>
      <c r="Y70" s="253">
        <f>スコア入力!AA70</f>
        <v>0.33333333333333331</v>
      </c>
      <c r="Z70" s="253">
        <f>スコア入力!AB70</f>
        <v>0.33333333333333331</v>
      </c>
      <c r="AA70" s="254">
        <f t="shared" si="13"/>
        <v>3</v>
      </c>
      <c r="AB70" s="254">
        <f t="shared" si="14"/>
        <v>3</v>
      </c>
      <c r="AC70" s="253">
        <f>スコア入力!AH70</f>
        <v>0</v>
      </c>
      <c r="AD70" s="253">
        <f>スコア入力!AI70</f>
        <v>0</v>
      </c>
      <c r="AE70" s="6"/>
      <c r="AF70" s="589">
        <f>スコア入力!N70</f>
        <v>3</v>
      </c>
      <c r="AG70" s="589">
        <f>スコア入力!P70</f>
        <v>3</v>
      </c>
      <c r="AH70" s="586">
        <f>スコア入力!AC70</f>
        <v>0.33333333333333331</v>
      </c>
      <c r="AI70" s="586">
        <f>スコア入力!AE70</f>
        <v>0.33333333333333331</v>
      </c>
      <c r="AJ70" s="589">
        <f>スコア入力!U70</f>
        <v>3</v>
      </c>
      <c r="AK70" s="589">
        <f>スコア入力!W70</f>
        <v>3</v>
      </c>
      <c r="AL70" s="586">
        <f>スコア入力!AJ70</f>
        <v>0</v>
      </c>
      <c r="AM70" s="586">
        <f>スコア入力!AL70</f>
        <v>0</v>
      </c>
      <c r="AN70" s="581"/>
      <c r="AO70" s="581"/>
    </row>
    <row r="71" spans="2:41" ht="14.25" thickBot="1">
      <c r="B71" s="348"/>
      <c r="C71" s="306">
        <v>1.3</v>
      </c>
      <c r="D71" s="307" t="s">
        <v>721</v>
      </c>
      <c r="E71" s="384"/>
      <c r="F71" s="384"/>
      <c r="G71" s="384"/>
      <c r="H71" s="2836"/>
      <c r="I71" s="2837"/>
      <c r="J71" s="2837"/>
      <c r="K71" s="2837"/>
      <c r="L71" s="590">
        <f t="shared" si="19"/>
        <v>3</v>
      </c>
      <c r="M71" s="599">
        <f t="shared" si="20"/>
        <v>3</v>
      </c>
      <c r="N71" s="580">
        <f>スコア入力!AC71</f>
        <v>0.3</v>
      </c>
      <c r="O71" s="580">
        <f>スコア入力!AE71</f>
        <v>0.30000000000000004</v>
      </c>
      <c r="P71" s="599">
        <f t="shared" si="21"/>
        <v>0</v>
      </c>
      <c r="Q71" s="599">
        <f t="shared" si="22"/>
        <v>0</v>
      </c>
      <c r="R71" s="580">
        <f>スコア入力!AJ71</f>
        <v>0</v>
      </c>
      <c r="S71" s="580">
        <f>スコア入力!AL71</f>
        <v>0</v>
      </c>
      <c r="T71" s="581"/>
      <c r="U71" s="581"/>
      <c r="W71" s="570">
        <f t="shared" si="23"/>
        <v>3</v>
      </c>
      <c r="X71" s="570">
        <f t="shared" si="24"/>
        <v>3</v>
      </c>
      <c r="Y71" s="253">
        <f>スコア入力!AA71</f>
        <v>0.3</v>
      </c>
      <c r="Z71" s="253">
        <f>スコア入力!AB71</f>
        <v>0.30000000000000004</v>
      </c>
      <c r="AA71" s="570">
        <f t="shared" si="13"/>
        <v>0</v>
      </c>
      <c r="AB71" s="570">
        <f t="shared" si="14"/>
        <v>0</v>
      </c>
      <c r="AC71" s="253">
        <f>スコア入力!AH71</f>
        <v>0</v>
      </c>
      <c r="AD71" s="253">
        <f>スコア入力!AI71</f>
        <v>0</v>
      </c>
      <c r="AE71" s="6"/>
      <c r="AF71" s="599">
        <f>SUMPRODUCT(AF72:AF74,AH72:AH74)</f>
        <v>3</v>
      </c>
      <c r="AG71" s="599">
        <f>SUMPRODUCT(AG72:AG74,AI72:AI74)</f>
        <v>3</v>
      </c>
      <c r="AH71" s="580">
        <f>スコア入力!AC71</f>
        <v>0.3</v>
      </c>
      <c r="AI71" s="580">
        <f>スコア入力!AE71</f>
        <v>0.30000000000000004</v>
      </c>
      <c r="AJ71" s="599">
        <f>SUMPRODUCT(AJ72:AJ74,AL72:AL74)</f>
        <v>0</v>
      </c>
      <c r="AK71" s="599">
        <f>SUMPRODUCT(AK72:AK74,AM72:AM74)</f>
        <v>0</v>
      </c>
      <c r="AL71" s="580">
        <f>スコア入力!AJ71</f>
        <v>0</v>
      </c>
      <c r="AM71" s="580">
        <f>スコア入力!AL71</f>
        <v>0</v>
      </c>
      <c r="AN71" s="581"/>
      <c r="AO71" s="581"/>
    </row>
    <row r="72" spans="2:41" ht="13.5">
      <c r="B72" s="348"/>
      <c r="C72" s="313"/>
      <c r="D72" s="314">
        <v>1</v>
      </c>
      <c r="E72" s="2886" t="s">
        <v>226</v>
      </c>
      <c r="F72" s="2887"/>
      <c r="G72" s="337"/>
      <c r="H72" s="2836"/>
      <c r="I72" s="2837"/>
      <c r="J72" s="2837"/>
      <c r="K72" s="2838"/>
      <c r="L72" s="585">
        <f t="shared" si="19"/>
        <v>3</v>
      </c>
      <c r="M72" s="585">
        <f t="shared" si="20"/>
        <v>3</v>
      </c>
      <c r="N72" s="586">
        <f>スコア入力!AC72</f>
        <v>0.5</v>
      </c>
      <c r="O72" s="586">
        <f>スコア入力!AE72</f>
        <v>0.5</v>
      </c>
      <c r="P72" s="585">
        <f t="shared" si="21"/>
        <v>0</v>
      </c>
      <c r="Q72" s="585">
        <f t="shared" si="22"/>
        <v>0</v>
      </c>
      <c r="R72" s="586">
        <f>スコア入力!AJ72</f>
        <v>0</v>
      </c>
      <c r="S72" s="586">
        <f>スコア入力!AL72</f>
        <v>0</v>
      </c>
      <c r="T72" s="581"/>
      <c r="U72" s="581"/>
      <c r="W72" s="254">
        <f t="shared" si="23"/>
        <v>3</v>
      </c>
      <c r="X72" s="254">
        <f t="shared" si="24"/>
        <v>3</v>
      </c>
      <c r="Y72" s="253">
        <f>スコア入力!AA72</f>
        <v>0.5</v>
      </c>
      <c r="Z72" s="253">
        <f>スコア入力!AB72</f>
        <v>0.5</v>
      </c>
      <c r="AA72" s="254">
        <f t="shared" si="13"/>
        <v>0</v>
      </c>
      <c r="AB72" s="254">
        <f t="shared" si="14"/>
        <v>0</v>
      </c>
      <c r="AC72" s="253">
        <f>スコア入力!AH72</f>
        <v>0</v>
      </c>
      <c r="AD72" s="253">
        <f>スコア入力!AI72</f>
        <v>0</v>
      </c>
      <c r="AE72" s="6"/>
      <c r="AF72" s="587">
        <f>スコア入力!N72</f>
        <v>3</v>
      </c>
      <c r="AG72" s="587">
        <f>スコア入力!P72</f>
        <v>3</v>
      </c>
      <c r="AH72" s="586">
        <f>スコア入力!AC72</f>
        <v>0.5</v>
      </c>
      <c r="AI72" s="586">
        <f>スコア入力!AE72</f>
        <v>0.5</v>
      </c>
      <c r="AJ72" s="587">
        <f>スコア入力!U72</f>
        <v>0</v>
      </c>
      <c r="AK72" s="587">
        <f>スコア入力!W72</f>
        <v>0</v>
      </c>
      <c r="AL72" s="586">
        <f>スコア入力!AJ72</f>
        <v>0</v>
      </c>
      <c r="AM72" s="586">
        <f>スコア入力!AL72</f>
        <v>0</v>
      </c>
      <c r="AN72" s="581"/>
      <c r="AO72" s="581"/>
    </row>
    <row r="73" spans="2:41" ht="13.5">
      <c r="B73" s="348"/>
      <c r="C73" s="313"/>
      <c r="D73" s="314">
        <v>2</v>
      </c>
      <c r="E73" s="2886" t="s">
        <v>723</v>
      </c>
      <c r="F73" s="2887"/>
      <c r="G73" s="337"/>
      <c r="H73" s="2836"/>
      <c r="I73" s="2837"/>
      <c r="J73" s="2837"/>
      <c r="K73" s="2838"/>
      <c r="L73" s="591">
        <f t="shared" si="19"/>
        <v>3</v>
      </c>
      <c r="M73" s="591">
        <f t="shared" si="20"/>
        <v>3</v>
      </c>
      <c r="N73" s="586">
        <f>スコア入力!AC73</f>
        <v>0.3</v>
      </c>
      <c r="O73" s="586">
        <f>スコア入力!AE73</f>
        <v>0.5</v>
      </c>
      <c r="P73" s="591">
        <f t="shared" si="21"/>
        <v>0</v>
      </c>
      <c r="Q73" s="591">
        <f t="shared" si="22"/>
        <v>0</v>
      </c>
      <c r="R73" s="586">
        <f>スコア入力!AJ73</f>
        <v>0</v>
      </c>
      <c r="S73" s="586">
        <f>スコア入力!AL73</f>
        <v>0</v>
      </c>
      <c r="T73" s="581"/>
      <c r="U73" s="581"/>
      <c r="W73" s="254">
        <f t="shared" si="23"/>
        <v>3</v>
      </c>
      <c r="X73" s="254">
        <f t="shared" si="24"/>
        <v>3</v>
      </c>
      <c r="Y73" s="253">
        <f>スコア入力!AA73</f>
        <v>0.3</v>
      </c>
      <c r="Z73" s="253">
        <f>スコア入力!AB73</f>
        <v>0.5</v>
      </c>
      <c r="AA73" s="254">
        <f t="shared" si="13"/>
        <v>0</v>
      </c>
      <c r="AB73" s="254">
        <f t="shared" si="14"/>
        <v>0</v>
      </c>
      <c r="AC73" s="253">
        <f>スコア入力!AH73</f>
        <v>0</v>
      </c>
      <c r="AD73" s="253">
        <f>スコア入力!AI73</f>
        <v>0</v>
      </c>
      <c r="AE73" s="6"/>
      <c r="AF73" s="427">
        <f>スコア入力!N73</f>
        <v>3</v>
      </c>
      <c r="AG73" s="427">
        <f>スコア入力!P73</f>
        <v>3</v>
      </c>
      <c r="AH73" s="586">
        <f>スコア入力!AC73</f>
        <v>0.3</v>
      </c>
      <c r="AI73" s="586">
        <f>スコア入力!AE73</f>
        <v>0.5</v>
      </c>
      <c r="AJ73" s="427">
        <f>スコア入力!U73</f>
        <v>0</v>
      </c>
      <c r="AK73" s="427">
        <f>スコア入力!W73</f>
        <v>0</v>
      </c>
      <c r="AL73" s="586">
        <f>スコア入力!AJ73</f>
        <v>0</v>
      </c>
      <c r="AM73" s="586">
        <f>スコア入力!AL73</f>
        <v>0</v>
      </c>
      <c r="AN73" s="581"/>
      <c r="AO73" s="581"/>
    </row>
    <row r="74" spans="2:41" ht="14.25" thickBot="1">
      <c r="B74" s="387"/>
      <c r="C74" s="320"/>
      <c r="D74" s="314">
        <v>3</v>
      </c>
      <c r="E74" s="2888" t="s">
        <v>724</v>
      </c>
      <c r="F74" s="2887"/>
      <c r="G74" s="337"/>
      <c r="H74" s="2836"/>
      <c r="I74" s="2837"/>
      <c r="J74" s="2837"/>
      <c r="K74" s="2838"/>
      <c r="L74" s="588">
        <f t="shared" si="19"/>
        <v>3</v>
      </c>
      <c r="M74" s="588">
        <f t="shared" si="20"/>
        <v>0</v>
      </c>
      <c r="N74" s="586">
        <f>スコア入力!AC74</f>
        <v>0.2</v>
      </c>
      <c r="O74" s="586">
        <f>スコア入力!AE74</f>
        <v>0</v>
      </c>
      <c r="P74" s="588">
        <f t="shared" si="21"/>
        <v>0</v>
      </c>
      <c r="Q74" s="588">
        <f t="shared" si="22"/>
        <v>0</v>
      </c>
      <c r="R74" s="586">
        <f>スコア入力!AJ74</f>
        <v>0</v>
      </c>
      <c r="S74" s="586">
        <f>スコア入力!AL74</f>
        <v>0</v>
      </c>
      <c r="T74" s="581"/>
      <c r="U74" s="581"/>
      <c r="W74" s="254">
        <f t="shared" si="23"/>
        <v>3</v>
      </c>
      <c r="X74" s="254">
        <f t="shared" si="24"/>
        <v>3</v>
      </c>
      <c r="Y74" s="253">
        <f>スコア入力!AA74</f>
        <v>0.2</v>
      </c>
      <c r="Z74" s="253">
        <f>スコア入力!AB74</f>
        <v>0</v>
      </c>
      <c r="AA74" s="254">
        <f t="shared" ref="AA74:AA105" si="25">AJ74</f>
        <v>0</v>
      </c>
      <c r="AB74" s="254">
        <f t="shared" ref="AB74:AB105" si="26">AK74</f>
        <v>0</v>
      </c>
      <c r="AC74" s="253">
        <f>スコア入力!AH74</f>
        <v>0</v>
      </c>
      <c r="AD74" s="253">
        <f>スコア入力!AI74</f>
        <v>0</v>
      </c>
      <c r="AE74" s="6"/>
      <c r="AF74" s="589">
        <f>スコア入力!N74</f>
        <v>3</v>
      </c>
      <c r="AG74" s="589">
        <f>スコア入力!P74</f>
        <v>3</v>
      </c>
      <c r="AH74" s="586">
        <f>スコア入力!AC74</f>
        <v>0.2</v>
      </c>
      <c r="AI74" s="586">
        <f>スコア入力!AE74</f>
        <v>0</v>
      </c>
      <c r="AJ74" s="589">
        <f>スコア入力!U74</f>
        <v>0</v>
      </c>
      <c r="AK74" s="589">
        <f>スコア入力!W74</f>
        <v>0</v>
      </c>
      <c r="AL74" s="586">
        <f>スコア入力!AJ74</f>
        <v>0</v>
      </c>
      <c r="AM74" s="586">
        <f>スコア入力!AL74</f>
        <v>0</v>
      </c>
      <c r="AN74" s="581"/>
      <c r="AO74" s="581"/>
    </row>
    <row r="75" spans="2:41" ht="13.5">
      <c r="B75" s="293">
        <v>2</v>
      </c>
      <c r="C75" s="336" t="s">
        <v>725</v>
      </c>
      <c r="D75" s="295"/>
      <c r="E75" s="295"/>
      <c r="F75" s="579"/>
      <c r="G75" s="579"/>
      <c r="H75" s="2855"/>
      <c r="I75" s="2856"/>
      <c r="J75" s="2856"/>
      <c r="K75" s="2857"/>
      <c r="L75" s="592">
        <f t="shared" si="19"/>
        <v>3.1</v>
      </c>
      <c r="M75" s="595">
        <f t="shared" si="20"/>
        <v>3</v>
      </c>
      <c r="N75" s="594">
        <f>スコア入力!AC75</f>
        <v>0.3</v>
      </c>
      <c r="O75" s="594">
        <f>スコア入力!AE75</f>
        <v>0.3</v>
      </c>
      <c r="P75" s="595">
        <f t="shared" si="21"/>
        <v>0</v>
      </c>
      <c r="Q75" s="595">
        <f t="shared" si="22"/>
        <v>0</v>
      </c>
      <c r="R75" s="594"/>
      <c r="S75" s="594"/>
      <c r="T75" s="596">
        <f>ROUNDDOWN(AN75,1)</f>
        <v>3.1</v>
      </c>
      <c r="U75" s="596">
        <f>ROUNDDOWN(AO75,1)</f>
        <v>3</v>
      </c>
      <c r="W75" s="570">
        <f t="shared" si="23"/>
        <v>3.1875</v>
      </c>
      <c r="X75" s="570">
        <f t="shared" si="24"/>
        <v>3.0000000000000004</v>
      </c>
      <c r="Y75" s="253">
        <f>スコア入力!AA75</f>
        <v>0.3</v>
      </c>
      <c r="Z75" s="253">
        <f>スコア入力!AB75</f>
        <v>0.3</v>
      </c>
      <c r="AA75" s="570">
        <f t="shared" si="25"/>
        <v>0</v>
      </c>
      <c r="AB75" s="570">
        <f t="shared" si="26"/>
        <v>0</v>
      </c>
      <c r="AC75" s="253">
        <f>スコア入力!AH75</f>
        <v>1</v>
      </c>
      <c r="AD75" s="253">
        <f>スコア入力!AI75</f>
        <v>0</v>
      </c>
      <c r="AE75" s="6"/>
      <c r="AF75" s="595">
        <f>AF76*AH76+AF79*AH79+AF90*AH90+AF86*AH86</f>
        <v>3.1875</v>
      </c>
      <c r="AG75" s="595">
        <f>AG76*AI76+AG79*AI79+AG90*AI90+AG86*AI86</f>
        <v>3.0000000000000004</v>
      </c>
      <c r="AH75" s="594">
        <f>スコア入力!AC75</f>
        <v>0.3</v>
      </c>
      <c r="AI75" s="594">
        <f>スコア入力!AE75</f>
        <v>0.3</v>
      </c>
      <c r="AJ75" s="595">
        <f>AJ76*AL76+AJ79*AL79+AJ90*AL90+AJ86*AL86</f>
        <v>0</v>
      </c>
      <c r="AK75" s="595">
        <f>AK76*AM76+AK79*AM79+AK90*AM90+AK86*AM86</f>
        <v>0</v>
      </c>
      <c r="AL75" s="594">
        <f>スコア入力!AJ75</f>
        <v>0</v>
      </c>
      <c r="AM75" s="594">
        <f>スコア入力!AL75</f>
        <v>0</v>
      </c>
      <c r="AN75" s="596">
        <f>IF(AJ75=0,AF75,IF(AF75=0,AJ75,AF75*AH$6+AJ75*AL$6))</f>
        <v>3.1875</v>
      </c>
      <c r="AO75" s="596">
        <f>IF(AK75=0,AG75,IF(AG75=0,AK75,AG75*AI$6+AK75*AM$6))</f>
        <v>3.0000000000000004</v>
      </c>
    </row>
    <row r="76" spans="2:41" ht="14.25" thickBot="1">
      <c r="B76" s="348"/>
      <c r="C76" s="306">
        <v>2.1</v>
      </c>
      <c r="D76" s="343" t="s">
        <v>728</v>
      </c>
      <c r="E76" s="384"/>
      <c r="F76" s="384"/>
      <c r="G76" s="384"/>
      <c r="H76" s="2836"/>
      <c r="I76" s="2837"/>
      <c r="J76" s="2837"/>
      <c r="K76" s="2837"/>
      <c r="L76" s="601">
        <f t="shared" si="19"/>
        <v>3</v>
      </c>
      <c r="M76" s="599">
        <f t="shared" si="20"/>
        <v>3</v>
      </c>
      <c r="N76" s="580">
        <f>スコア入力!AC76</f>
        <v>0.25</v>
      </c>
      <c r="O76" s="580">
        <f>スコア入力!AE76</f>
        <v>0.5</v>
      </c>
      <c r="P76" s="599">
        <f t="shared" si="21"/>
        <v>0</v>
      </c>
      <c r="Q76" s="599">
        <f t="shared" si="22"/>
        <v>0</v>
      </c>
      <c r="R76" s="580">
        <f>スコア入力!AJ76</f>
        <v>0</v>
      </c>
      <c r="S76" s="580">
        <f>スコア入力!AL76</f>
        <v>0</v>
      </c>
      <c r="T76" s="581"/>
      <c r="U76" s="581"/>
      <c r="W76" s="570">
        <f t="shared" si="23"/>
        <v>3.0000000000000004</v>
      </c>
      <c r="X76" s="570">
        <f t="shared" si="24"/>
        <v>3.0000000000000004</v>
      </c>
      <c r="Y76" s="253">
        <f>スコア入力!AA76</f>
        <v>0.25</v>
      </c>
      <c r="Z76" s="253">
        <f>スコア入力!AB76</f>
        <v>0.49999999999999989</v>
      </c>
      <c r="AA76" s="570">
        <f t="shared" si="25"/>
        <v>0</v>
      </c>
      <c r="AB76" s="570">
        <f t="shared" si="26"/>
        <v>0</v>
      </c>
      <c r="AC76" s="253">
        <f>スコア入力!AH76</f>
        <v>0</v>
      </c>
      <c r="AD76" s="253">
        <f>スコア入力!AI76</f>
        <v>0</v>
      </c>
      <c r="AE76" s="6"/>
      <c r="AF76" s="599">
        <f>SUMPRODUCT(AF77:AF78,AH77:AH78)</f>
        <v>3.0000000000000004</v>
      </c>
      <c r="AG76" s="599">
        <f>SUMPRODUCT(AG77:AG78,AI77:AI78)</f>
        <v>3.0000000000000004</v>
      </c>
      <c r="AH76" s="580">
        <f>スコア入力!AC76</f>
        <v>0.25</v>
      </c>
      <c r="AI76" s="580">
        <f>スコア入力!AE76</f>
        <v>0.5</v>
      </c>
      <c r="AJ76" s="599">
        <f>SUMPRODUCT(AJ77:AJ78,AL77:AL78)</f>
        <v>0</v>
      </c>
      <c r="AK76" s="599">
        <f>SUMPRODUCT(AK77:AK78,AM77:AM78)</f>
        <v>0</v>
      </c>
      <c r="AL76" s="580">
        <f>スコア入力!AJ76</f>
        <v>0</v>
      </c>
      <c r="AM76" s="580">
        <f>スコア入力!AL76</f>
        <v>0</v>
      </c>
      <c r="AN76" s="581"/>
      <c r="AO76" s="581"/>
    </row>
    <row r="77" spans="2:41" ht="13.5">
      <c r="B77" s="348"/>
      <c r="C77" s="347"/>
      <c r="D77" s="314">
        <v>1</v>
      </c>
      <c r="E77" s="334" t="s">
        <v>731</v>
      </c>
      <c r="F77" s="337"/>
      <c r="G77" s="337"/>
      <c r="H77" s="2836"/>
      <c r="I77" s="2837"/>
      <c r="J77" s="2837"/>
      <c r="K77" s="2838"/>
      <c r="L77" s="585">
        <f t="shared" si="19"/>
        <v>3</v>
      </c>
      <c r="M77" s="585">
        <f t="shared" si="20"/>
        <v>3</v>
      </c>
      <c r="N77" s="580">
        <f>スコア入力!AC77</f>
        <v>0.8</v>
      </c>
      <c r="O77" s="580">
        <f>スコア入力!AE77</f>
        <v>0.8</v>
      </c>
      <c r="P77" s="585">
        <f t="shared" si="21"/>
        <v>0</v>
      </c>
      <c r="Q77" s="585">
        <f t="shared" si="22"/>
        <v>0</v>
      </c>
      <c r="R77" s="580">
        <f>スコア入力!AJ77</f>
        <v>0</v>
      </c>
      <c r="S77" s="580">
        <f>スコア入力!AL77</f>
        <v>0</v>
      </c>
      <c r="T77" s="581"/>
      <c r="U77" s="581"/>
      <c r="W77" s="254">
        <f t="shared" si="23"/>
        <v>3</v>
      </c>
      <c r="X77" s="254">
        <f t="shared" si="24"/>
        <v>3</v>
      </c>
      <c r="Y77" s="253">
        <f>スコア入力!AA77</f>
        <v>0.8</v>
      </c>
      <c r="Z77" s="253">
        <f>スコア入力!AB77</f>
        <v>0.8</v>
      </c>
      <c r="AA77" s="254">
        <f t="shared" si="25"/>
        <v>0</v>
      </c>
      <c r="AB77" s="254">
        <f t="shared" si="26"/>
        <v>0</v>
      </c>
      <c r="AC77" s="253">
        <f>スコア入力!AH77</f>
        <v>0</v>
      </c>
      <c r="AD77" s="253">
        <f>スコア入力!AI77</f>
        <v>0</v>
      </c>
      <c r="AE77" s="6"/>
      <c r="AF77" s="587">
        <f>スコア入力!N77</f>
        <v>3</v>
      </c>
      <c r="AG77" s="587">
        <f>スコア入力!P77</f>
        <v>3</v>
      </c>
      <c r="AH77" s="580">
        <f>スコア入力!AC77</f>
        <v>0.8</v>
      </c>
      <c r="AI77" s="580">
        <f>スコア入力!AE77</f>
        <v>0.8</v>
      </c>
      <c r="AJ77" s="587">
        <f>スコア入力!U77</f>
        <v>0</v>
      </c>
      <c r="AK77" s="587">
        <f>スコア入力!W77</f>
        <v>0</v>
      </c>
      <c r="AL77" s="580">
        <f>スコア入力!AJ77</f>
        <v>0</v>
      </c>
      <c r="AM77" s="580">
        <f>スコア入力!AL77</f>
        <v>0</v>
      </c>
      <c r="AN77" s="581"/>
      <c r="AO77" s="581"/>
    </row>
    <row r="78" spans="2:41" ht="14.25" thickBot="1">
      <c r="B78" s="348"/>
      <c r="C78" s="356"/>
      <c r="D78" s="314">
        <v>2</v>
      </c>
      <c r="E78" s="334" t="s">
        <v>732</v>
      </c>
      <c r="F78" s="337"/>
      <c r="G78" s="337"/>
      <c r="H78" s="2836"/>
      <c r="I78" s="2837"/>
      <c r="J78" s="2837"/>
      <c r="K78" s="2838"/>
      <c r="L78" s="588">
        <f t="shared" si="19"/>
        <v>3</v>
      </c>
      <c r="M78" s="588">
        <f t="shared" si="20"/>
        <v>3</v>
      </c>
      <c r="N78" s="580">
        <f>スコア入力!AC78</f>
        <v>0.2</v>
      </c>
      <c r="O78" s="580">
        <f>スコア入力!AE78</f>
        <v>0.2</v>
      </c>
      <c r="P78" s="588">
        <f t="shared" si="21"/>
        <v>0</v>
      </c>
      <c r="Q78" s="588">
        <f t="shared" si="22"/>
        <v>0</v>
      </c>
      <c r="R78" s="580">
        <f>スコア入力!AJ78</f>
        <v>0</v>
      </c>
      <c r="S78" s="580">
        <f>スコア入力!AL78</f>
        <v>0</v>
      </c>
      <c r="T78" s="581"/>
      <c r="U78" s="581"/>
      <c r="W78" s="254">
        <f t="shared" si="23"/>
        <v>3</v>
      </c>
      <c r="X78" s="254">
        <f t="shared" si="24"/>
        <v>3</v>
      </c>
      <c r="Y78" s="253">
        <f>スコア入力!AA78</f>
        <v>0.2</v>
      </c>
      <c r="Z78" s="253">
        <f>スコア入力!AB78</f>
        <v>0.2</v>
      </c>
      <c r="AA78" s="254">
        <f t="shared" si="25"/>
        <v>0</v>
      </c>
      <c r="AB78" s="254">
        <f t="shared" si="26"/>
        <v>0</v>
      </c>
      <c r="AC78" s="253">
        <f>スコア入力!AH78</f>
        <v>0</v>
      </c>
      <c r="AD78" s="253">
        <f>スコア入力!AI78</f>
        <v>0</v>
      </c>
      <c r="AE78" s="6"/>
      <c r="AF78" s="589">
        <f>スコア入力!N78</f>
        <v>3</v>
      </c>
      <c r="AG78" s="589">
        <f>スコア入力!P78</f>
        <v>3</v>
      </c>
      <c r="AH78" s="580">
        <f>スコア入力!AC78</f>
        <v>0.2</v>
      </c>
      <c r="AI78" s="580">
        <f>スコア入力!AE78</f>
        <v>0.2</v>
      </c>
      <c r="AJ78" s="589">
        <f>スコア入力!U78</f>
        <v>0</v>
      </c>
      <c r="AK78" s="589">
        <f>スコア入力!W78</f>
        <v>0</v>
      </c>
      <c r="AL78" s="580">
        <f>スコア入力!AJ78</f>
        <v>0</v>
      </c>
      <c r="AM78" s="580">
        <f>スコア入力!AL78</f>
        <v>0</v>
      </c>
      <c r="AN78" s="581"/>
      <c r="AO78" s="581"/>
    </row>
    <row r="79" spans="2:41" ht="14.25" thickBot="1">
      <c r="B79" s="348"/>
      <c r="C79" s="325">
        <v>2.2000000000000002</v>
      </c>
      <c r="D79" s="343" t="s">
        <v>734</v>
      </c>
      <c r="E79" s="384"/>
      <c r="F79" s="384"/>
      <c r="G79" s="384"/>
      <c r="H79" s="2836"/>
      <c r="I79" s="2837"/>
      <c r="J79" s="2837"/>
      <c r="K79" s="2837"/>
      <c r="L79" s="590">
        <f t="shared" si="19"/>
        <v>3</v>
      </c>
      <c r="M79" s="599">
        <f t="shared" si="20"/>
        <v>3</v>
      </c>
      <c r="N79" s="580">
        <f>スコア入力!AC79</f>
        <v>0.25</v>
      </c>
      <c r="O79" s="580">
        <f>スコア入力!AE79</f>
        <v>0.30000000000000004</v>
      </c>
      <c r="P79" s="599">
        <f t="shared" si="21"/>
        <v>0</v>
      </c>
      <c r="Q79" s="599">
        <f t="shared" si="22"/>
        <v>0</v>
      </c>
      <c r="R79" s="580">
        <f>スコア入力!AJ79</f>
        <v>0</v>
      </c>
      <c r="S79" s="580">
        <f>スコア入力!AL79</f>
        <v>0</v>
      </c>
      <c r="T79" s="581"/>
      <c r="U79" s="581"/>
      <c r="W79" s="570">
        <f t="shared" si="23"/>
        <v>3</v>
      </c>
      <c r="X79" s="570">
        <f t="shared" si="24"/>
        <v>3.0000000000000004</v>
      </c>
      <c r="Y79" s="253">
        <f>スコア入力!AA79</f>
        <v>0.25</v>
      </c>
      <c r="Z79" s="253">
        <f>スコア入力!AB79</f>
        <v>0.3</v>
      </c>
      <c r="AA79" s="570">
        <f t="shared" si="25"/>
        <v>0</v>
      </c>
      <c r="AB79" s="570">
        <f t="shared" si="26"/>
        <v>0</v>
      </c>
      <c r="AC79" s="253">
        <f>スコア入力!AH79</f>
        <v>0</v>
      </c>
      <c r="AD79" s="253">
        <f>スコア入力!AI79</f>
        <v>0</v>
      </c>
      <c r="AE79" s="6"/>
      <c r="AF79" s="599">
        <f>SUMPRODUCT(AF80:AF85,AH80:AH85)</f>
        <v>3</v>
      </c>
      <c r="AG79" s="599">
        <f>SUMPRODUCT(AG80:AG85,AI80:AI85)</f>
        <v>3.0000000000000004</v>
      </c>
      <c r="AH79" s="580">
        <f>スコア入力!AC79</f>
        <v>0.25</v>
      </c>
      <c r="AI79" s="580">
        <f>スコア入力!AE79</f>
        <v>0.30000000000000004</v>
      </c>
      <c r="AJ79" s="599">
        <f>SUMPRODUCT(AJ80:AJ85,AL80:AL85)</f>
        <v>0</v>
      </c>
      <c r="AK79" s="599">
        <f>SUMPRODUCT(AK80:AK85,AM80:AM85)</f>
        <v>0</v>
      </c>
      <c r="AL79" s="580">
        <f>スコア入力!AJ79</f>
        <v>0</v>
      </c>
      <c r="AM79" s="580">
        <f>スコア入力!AL79</f>
        <v>0</v>
      </c>
      <c r="AN79" s="581"/>
      <c r="AO79" s="581"/>
    </row>
    <row r="80" spans="2:41" ht="13.5">
      <c r="B80" s="348"/>
      <c r="C80" s="347"/>
      <c r="D80" s="314">
        <v>1</v>
      </c>
      <c r="E80" s="334" t="s">
        <v>736</v>
      </c>
      <c r="F80" s="337"/>
      <c r="G80" s="337"/>
      <c r="H80" s="2836"/>
      <c r="I80" s="2837"/>
      <c r="J80" s="2837"/>
      <c r="K80" s="2838"/>
      <c r="L80" s="585">
        <f t="shared" si="19"/>
        <v>3</v>
      </c>
      <c r="M80" s="585">
        <f t="shared" si="20"/>
        <v>3</v>
      </c>
      <c r="N80" s="580">
        <f>スコア入力!AC80</f>
        <v>0.25</v>
      </c>
      <c r="O80" s="580">
        <f>スコア入力!AE80</f>
        <v>0.2</v>
      </c>
      <c r="P80" s="585">
        <f t="shared" si="21"/>
        <v>0</v>
      </c>
      <c r="Q80" s="585">
        <f t="shared" si="22"/>
        <v>0</v>
      </c>
      <c r="R80" s="580">
        <f>スコア入力!AJ80</f>
        <v>0</v>
      </c>
      <c r="S80" s="580">
        <f>スコア入力!AL80</f>
        <v>0</v>
      </c>
      <c r="T80" s="581"/>
      <c r="U80" s="581"/>
      <c r="W80" s="254">
        <f t="shared" si="23"/>
        <v>3</v>
      </c>
      <c r="X80" s="254">
        <f t="shared" si="24"/>
        <v>3</v>
      </c>
      <c r="Y80" s="253">
        <f>スコア入力!AA80</f>
        <v>0.2</v>
      </c>
      <c r="Z80" s="253">
        <f>スコア入力!AB80</f>
        <v>0.19999999999999998</v>
      </c>
      <c r="AA80" s="254">
        <f t="shared" si="25"/>
        <v>0</v>
      </c>
      <c r="AB80" s="254">
        <f t="shared" si="26"/>
        <v>0</v>
      </c>
      <c r="AC80" s="253">
        <f>スコア入力!AH80</f>
        <v>0</v>
      </c>
      <c r="AD80" s="253">
        <f>スコア入力!AI80</f>
        <v>0</v>
      </c>
      <c r="AE80" s="6"/>
      <c r="AF80" s="587">
        <f>スコア入力!N80</f>
        <v>3</v>
      </c>
      <c r="AG80" s="587">
        <f>スコア入力!P80</f>
        <v>3</v>
      </c>
      <c r="AH80" s="580">
        <f>スコア入力!AC80</f>
        <v>0.25</v>
      </c>
      <c r="AI80" s="580">
        <f>スコア入力!AE80</f>
        <v>0.2</v>
      </c>
      <c r="AJ80" s="587">
        <f>スコア入力!U80</f>
        <v>0</v>
      </c>
      <c r="AK80" s="587">
        <f>スコア入力!W80</f>
        <v>0</v>
      </c>
      <c r="AL80" s="580">
        <f>スコア入力!AJ80</f>
        <v>0</v>
      </c>
      <c r="AM80" s="580">
        <f>スコア入力!AL80</f>
        <v>0</v>
      </c>
      <c r="AN80" s="581"/>
      <c r="AO80" s="581"/>
    </row>
    <row r="81" spans="2:41" ht="13.5">
      <c r="B81" s="348"/>
      <c r="C81" s="347"/>
      <c r="D81" s="314">
        <v>2</v>
      </c>
      <c r="E81" s="334" t="s">
        <v>739</v>
      </c>
      <c r="F81" s="337"/>
      <c r="G81" s="337"/>
      <c r="H81" s="2836"/>
      <c r="I81" s="2837"/>
      <c r="J81" s="2837"/>
      <c r="K81" s="2838"/>
      <c r="L81" s="591">
        <f t="shared" si="19"/>
        <v>3</v>
      </c>
      <c r="M81" s="591">
        <f t="shared" si="20"/>
        <v>3</v>
      </c>
      <c r="N81" s="580">
        <f>スコア入力!AC81</f>
        <v>0.25</v>
      </c>
      <c r="O81" s="580">
        <f>スコア入力!AE81</f>
        <v>0.2</v>
      </c>
      <c r="P81" s="591">
        <f t="shared" si="21"/>
        <v>0</v>
      </c>
      <c r="Q81" s="591">
        <f t="shared" si="22"/>
        <v>0</v>
      </c>
      <c r="R81" s="580">
        <f>スコア入力!AJ81</f>
        <v>0</v>
      </c>
      <c r="S81" s="580">
        <f>スコア入力!AL81</f>
        <v>0</v>
      </c>
      <c r="T81" s="581"/>
      <c r="U81" s="581"/>
      <c r="W81" s="254">
        <f t="shared" si="23"/>
        <v>3</v>
      </c>
      <c r="X81" s="254">
        <f t="shared" si="24"/>
        <v>3</v>
      </c>
      <c r="Y81" s="253">
        <f>スコア入力!AA81</f>
        <v>0.2</v>
      </c>
      <c r="Z81" s="253">
        <f>スコア入力!AB81</f>
        <v>0.19999999999999998</v>
      </c>
      <c r="AA81" s="254">
        <f t="shared" si="25"/>
        <v>0</v>
      </c>
      <c r="AB81" s="254">
        <f t="shared" si="26"/>
        <v>0</v>
      </c>
      <c r="AC81" s="253">
        <f>スコア入力!AH81</f>
        <v>0</v>
      </c>
      <c r="AD81" s="253">
        <f>スコア入力!AI81</f>
        <v>0</v>
      </c>
      <c r="AE81" s="6"/>
      <c r="AF81" s="427">
        <f>スコア入力!N81</f>
        <v>3</v>
      </c>
      <c r="AG81" s="427">
        <f>スコア入力!P81</f>
        <v>3</v>
      </c>
      <c r="AH81" s="580">
        <f>スコア入力!AC81</f>
        <v>0.25</v>
      </c>
      <c r="AI81" s="580">
        <f>スコア入力!AE81</f>
        <v>0.2</v>
      </c>
      <c r="AJ81" s="427">
        <f>スコア入力!U81</f>
        <v>0</v>
      </c>
      <c r="AK81" s="427">
        <f>スコア入力!W81</f>
        <v>0</v>
      </c>
      <c r="AL81" s="580">
        <f>スコア入力!AJ81</f>
        <v>0</v>
      </c>
      <c r="AM81" s="580">
        <f>スコア入力!AL81</f>
        <v>0</v>
      </c>
      <c r="AN81" s="581"/>
      <c r="AO81" s="581"/>
    </row>
    <row r="82" spans="2:41" ht="13.5">
      <c r="B82" s="348"/>
      <c r="C82" s="347"/>
      <c r="D82" s="314">
        <v>3</v>
      </c>
      <c r="E82" s="334" t="s">
        <v>740</v>
      </c>
      <c r="F82" s="337"/>
      <c r="G82" s="337"/>
      <c r="H82" s="2836"/>
      <c r="I82" s="2837"/>
      <c r="J82" s="2837"/>
      <c r="K82" s="2838"/>
      <c r="L82" s="591">
        <f t="shared" si="19"/>
        <v>0</v>
      </c>
      <c r="M82" s="591">
        <f t="shared" si="20"/>
        <v>3</v>
      </c>
      <c r="N82" s="580">
        <f>スコア入力!AC82</f>
        <v>0</v>
      </c>
      <c r="O82" s="580">
        <f>スコア入力!AE82</f>
        <v>0.1</v>
      </c>
      <c r="P82" s="591">
        <f t="shared" si="21"/>
        <v>0</v>
      </c>
      <c r="Q82" s="591">
        <f t="shared" si="22"/>
        <v>0</v>
      </c>
      <c r="R82" s="580">
        <f>スコア入力!AJ82</f>
        <v>0</v>
      </c>
      <c r="S82" s="580">
        <f>スコア入力!AL82</f>
        <v>0</v>
      </c>
      <c r="T82" s="581"/>
      <c r="U82" s="581"/>
      <c r="W82" s="254">
        <f t="shared" si="23"/>
        <v>0</v>
      </c>
      <c r="X82" s="254">
        <f t="shared" si="24"/>
        <v>3</v>
      </c>
      <c r="Y82" s="253">
        <f>スコア入力!AA82</f>
        <v>0</v>
      </c>
      <c r="Z82" s="253">
        <f>スコア入力!AB82</f>
        <v>9.9999999999999992E-2</v>
      </c>
      <c r="AA82" s="254">
        <f t="shared" si="25"/>
        <v>0</v>
      </c>
      <c r="AB82" s="254">
        <f t="shared" si="26"/>
        <v>0</v>
      </c>
      <c r="AC82" s="253">
        <f>スコア入力!AH82</f>
        <v>0</v>
      </c>
      <c r="AD82" s="253">
        <f>スコア入力!AI82</f>
        <v>0</v>
      </c>
      <c r="AE82" s="6"/>
      <c r="AF82" s="427">
        <f>スコア入力!N82</f>
        <v>0</v>
      </c>
      <c r="AG82" s="427">
        <f>スコア入力!P82</f>
        <v>3</v>
      </c>
      <c r="AH82" s="580">
        <f>スコア入力!AC82</f>
        <v>0</v>
      </c>
      <c r="AI82" s="580">
        <f>スコア入力!AE82</f>
        <v>0.1</v>
      </c>
      <c r="AJ82" s="427">
        <f>スコア入力!U82</f>
        <v>0</v>
      </c>
      <c r="AK82" s="427">
        <f>スコア入力!W82</f>
        <v>0</v>
      </c>
      <c r="AL82" s="580">
        <f>スコア入力!AJ82</f>
        <v>0</v>
      </c>
      <c r="AM82" s="580">
        <f>スコア入力!AL82</f>
        <v>0</v>
      </c>
      <c r="AN82" s="581"/>
      <c r="AO82" s="581"/>
    </row>
    <row r="83" spans="2:41" ht="13.5">
      <c r="B83" s="348"/>
      <c r="C83" s="347"/>
      <c r="D83" s="314">
        <v>4</v>
      </c>
      <c r="E83" s="334" t="s">
        <v>741</v>
      </c>
      <c r="F83" s="337"/>
      <c r="G83" s="337"/>
      <c r="H83" s="2836"/>
      <c r="I83" s="2837"/>
      <c r="J83" s="2837"/>
      <c r="K83" s="2838"/>
      <c r="L83" s="591">
        <f t="shared" si="19"/>
        <v>3</v>
      </c>
      <c r="M83" s="591">
        <f t="shared" si="20"/>
        <v>3</v>
      </c>
      <c r="N83" s="580">
        <f>スコア入力!AC83</f>
        <v>0.125</v>
      </c>
      <c r="O83" s="580">
        <f>スコア入力!AE83</f>
        <v>0.1</v>
      </c>
      <c r="P83" s="591">
        <f t="shared" si="21"/>
        <v>0</v>
      </c>
      <c r="Q83" s="591">
        <f t="shared" si="22"/>
        <v>0</v>
      </c>
      <c r="R83" s="580">
        <f>スコア入力!AJ83</f>
        <v>0</v>
      </c>
      <c r="S83" s="580">
        <f>スコア入力!AL83</f>
        <v>0</v>
      </c>
      <c r="T83" s="581"/>
      <c r="U83" s="581"/>
      <c r="W83" s="254">
        <f t="shared" si="23"/>
        <v>3</v>
      </c>
      <c r="X83" s="254">
        <f t="shared" si="24"/>
        <v>3</v>
      </c>
      <c r="Y83" s="253">
        <f>スコア入力!AA83</f>
        <v>0.1</v>
      </c>
      <c r="Z83" s="253">
        <f>スコア入力!AB83</f>
        <v>9.9999999999999992E-2</v>
      </c>
      <c r="AA83" s="254">
        <f t="shared" si="25"/>
        <v>0</v>
      </c>
      <c r="AB83" s="254">
        <f t="shared" si="26"/>
        <v>0</v>
      </c>
      <c r="AC83" s="253">
        <f>スコア入力!AH83</f>
        <v>0</v>
      </c>
      <c r="AD83" s="253">
        <f>スコア入力!AI83</f>
        <v>0</v>
      </c>
      <c r="AE83" s="6"/>
      <c r="AF83" s="427">
        <f>スコア入力!N83</f>
        <v>3</v>
      </c>
      <c r="AG83" s="427">
        <f>スコア入力!P83</f>
        <v>3</v>
      </c>
      <c r="AH83" s="580">
        <f>スコア入力!AC83</f>
        <v>0.125</v>
      </c>
      <c r="AI83" s="580">
        <f>スコア入力!AE83</f>
        <v>0.1</v>
      </c>
      <c r="AJ83" s="427">
        <f>スコア入力!U83</f>
        <v>0</v>
      </c>
      <c r="AK83" s="427">
        <f>スコア入力!W83</f>
        <v>0</v>
      </c>
      <c r="AL83" s="580">
        <f>スコア入力!AJ83</f>
        <v>0</v>
      </c>
      <c r="AM83" s="580">
        <f>スコア入力!AL83</f>
        <v>0</v>
      </c>
      <c r="AN83" s="581"/>
      <c r="AO83" s="581"/>
    </row>
    <row r="84" spans="2:41" ht="13.5">
      <c r="B84" s="348"/>
      <c r="C84" s="347"/>
      <c r="D84" s="314">
        <v>5</v>
      </c>
      <c r="E84" s="334" t="s">
        <v>742</v>
      </c>
      <c r="F84" s="337"/>
      <c r="G84" s="337"/>
      <c r="H84" s="2836"/>
      <c r="I84" s="2837"/>
      <c r="J84" s="2837"/>
      <c r="K84" s="2838"/>
      <c r="L84" s="591">
        <f t="shared" si="19"/>
        <v>3</v>
      </c>
      <c r="M84" s="591">
        <f t="shared" si="20"/>
        <v>3</v>
      </c>
      <c r="N84" s="580">
        <f>スコア入力!AC84</f>
        <v>0.125</v>
      </c>
      <c r="O84" s="580">
        <f>スコア入力!AE84</f>
        <v>0.2</v>
      </c>
      <c r="P84" s="591">
        <f t="shared" si="21"/>
        <v>0</v>
      </c>
      <c r="Q84" s="591">
        <f t="shared" si="22"/>
        <v>0</v>
      </c>
      <c r="R84" s="580">
        <f>スコア入力!AJ84</f>
        <v>0</v>
      </c>
      <c r="S84" s="580">
        <f>スコア入力!AL84</f>
        <v>0</v>
      </c>
      <c r="T84" s="581"/>
      <c r="U84" s="581"/>
      <c r="W84" s="254">
        <f t="shared" si="23"/>
        <v>3</v>
      </c>
      <c r="X84" s="254">
        <f t="shared" si="24"/>
        <v>3</v>
      </c>
      <c r="Y84" s="253">
        <f>スコア入力!AA84</f>
        <v>0.1</v>
      </c>
      <c r="Z84" s="253">
        <f>スコア入力!AB84</f>
        <v>0.19999999999999998</v>
      </c>
      <c r="AA84" s="254">
        <f t="shared" si="25"/>
        <v>0</v>
      </c>
      <c r="AB84" s="254">
        <f t="shared" si="26"/>
        <v>0</v>
      </c>
      <c r="AC84" s="253">
        <f>スコア入力!AH84</f>
        <v>0</v>
      </c>
      <c r="AD84" s="253">
        <f>スコア入力!AI84</f>
        <v>0</v>
      </c>
      <c r="AE84" s="6"/>
      <c r="AF84" s="427">
        <f>スコア入力!N84</f>
        <v>3</v>
      </c>
      <c r="AG84" s="427">
        <f>スコア入力!P84</f>
        <v>3</v>
      </c>
      <c r="AH84" s="580">
        <f>スコア入力!AC84</f>
        <v>0.125</v>
      </c>
      <c r="AI84" s="580">
        <f>スコア入力!AE84</f>
        <v>0.2</v>
      </c>
      <c r="AJ84" s="427">
        <f>スコア入力!U84</f>
        <v>0</v>
      </c>
      <c r="AK84" s="427">
        <f>スコア入力!W84</f>
        <v>0</v>
      </c>
      <c r="AL84" s="580">
        <f>スコア入力!AJ84</f>
        <v>0</v>
      </c>
      <c r="AM84" s="580">
        <f>スコア入力!AL84</f>
        <v>0</v>
      </c>
      <c r="AN84" s="581"/>
      <c r="AO84" s="581"/>
    </row>
    <row r="85" spans="2:41" ht="14.25" thickBot="1">
      <c r="B85" s="348"/>
      <c r="C85" s="356"/>
      <c r="D85" s="314">
        <v>6</v>
      </c>
      <c r="E85" s="334" t="s">
        <v>743</v>
      </c>
      <c r="F85" s="337"/>
      <c r="G85" s="337"/>
      <c r="H85" s="2836"/>
      <c r="I85" s="2837"/>
      <c r="J85" s="2837"/>
      <c r="K85" s="2838"/>
      <c r="L85" s="588">
        <f t="shared" si="19"/>
        <v>3</v>
      </c>
      <c r="M85" s="588">
        <f t="shared" si="20"/>
        <v>3</v>
      </c>
      <c r="N85" s="2438">
        <f>スコア入力!AC85</f>
        <v>0.25</v>
      </c>
      <c r="O85" s="580">
        <f>スコア入力!AE85</f>
        <v>0.2</v>
      </c>
      <c r="P85" s="588">
        <f t="shared" si="21"/>
        <v>0</v>
      </c>
      <c r="Q85" s="588">
        <f t="shared" si="22"/>
        <v>0</v>
      </c>
      <c r="R85" s="580">
        <f>スコア入力!AJ85</f>
        <v>0</v>
      </c>
      <c r="S85" s="580">
        <f>スコア入力!AL85</f>
        <v>0</v>
      </c>
      <c r="T85" s="581"/>
      <c r="U85" s="581"/>
      <c r="W85" s="254">
        <f t="shared" si="23"/>
        <v>3</v>
      </c>
      <c r="X85" s="254">
        <f t="shared" si="24"/>
        <v>3</v>
      </c>
      <c r="Y85" s="253">
        <f>スコア入力!AA85</f>
        <v>0.2</v>
      </c>
      <c r="Z85" s="253">
        <f>スコア入力!AB85</f>
        <v>0.19999999999999998</v>
      </c>
      <c r="AA85" s="254">
        <f t="shared" si="25"/>
        <v>0</v>
      </c>
      <c r="AB85" s="254">
        <f t="shared" si="26"/>
        <v>0</v>
      </c>
      <c r="AC85" s="253">
        <f>スコア入力!AH85</f>
        <v>0</v>
      </c>
      <c r="AD85" s="253">
        <f>スコア入力!AI85</f>
        <v>0</v>
      </c>
      <c r="AE85" s="6"/>
      <c r="AF85" s="589">
        <f>スコア入力!N85</f>
        <v>3</v>
      </c>
      <c r="AG85" s="589">
        <f>スコア入力!P85</f>
        <v>3</v>
      </c>
      <c r="AH85" s="580">
        <f>スコア入力!AC85</f>
        <v>0.25</v>
      </c>
      <c r="AI85" s="580">
        <f>スコア入力!AE85</f>
        <v>0.2</v>
      </c>
      <c r="AJ85" s="589">
        <f>スコア入力!U85</f>
        <v>0</v>
      </c>
      <c r="AK85" s="589">
        <f>スコア入力!W85</f>
        <v>0</v>
      </c>
      <c r="AL85" s="580">
        <f>スコア入力!AJ85</f>
        <v>0</v>
      </c>
      <c r="AM85" s="580">
        <f>スコア入力!AL85</f>
        <v>0</v>
      </c>
      <c r="AN85" s="581"/>
      <c r="AO85" s="581"/>
    </row>
    <row r="86" spans="2:41" ht="14.25" thickBot="1">
      <c r="B86" s="348"/>
      <c r="C86" s="306">
        <v>2.2999999999999998</v>
      </c>
      <c r="D86" s="307" t="s">
        <v>744</v>
      </c>
      <c r="E86" s="613"/>
      <c r="F86" s="614"/>
      <c r="G86" s="614"/>
      <c r="H86" s="2836"/>
      <c r="I86" s="2837"/>
      <c r="J86" s="2837"/>
      <c r="K86" s="2838"/>
      <c r="L86" s="590">
        <f t="shared" si="19"/>
        <v>3.7</v>
      </c>
      <c r="M86" s="615">
        <f t="shared" si="20"/>
        <v>0</v>
      </c>
      <c r="N86" s="580">
        <f>スコア入力!AC86</f>
        <v>0.25</v>
      </c>
      <c r="O86" s="580">
        <f>スコア入力!AE86</f>
        <v>0</v>
      </c>
      <c r="P86" s="2436">
        <f t="shared" si="21"/>
        <v>0</v>
      </c>
      <c r="Q86" s="2437">
        <f t="shared" si="22"/>
        <v>0</v>
      </c>
      <c r="R86" s="580">
        <f>スコア入力!AJ86</f>
        <v>0</v>
      </c>
      <c r="S86" s="580">
        <f>スコア入力!AL86</f>
        <v>0</v>
      </c>
      <c r="T86" s="581"/>
      <c r="U86" s="581"/>
      <c r="W86" s="570">
        <f t="shared" si="23"/>
        <v>3.75</v>
      </c>
      <c r="X86" s="570">
        <f t="shared" si="24"/>
        <v>0</v>
      </c>
      <c r="Y86" s="253">
        <f>スコア入力!AA86</f>
        <v>0.25</v>
      </c>
      <c r="Z86" s="253">
        <f>スコア入力!AB86</f>
        <v>0</v>
      </c>
      <c r="AA86" s="570">
        <f t="shared" si="25"/>
        <v>0</v>
      </c>
      <c r="AB86" s="570">
        <f t="shared" si="26"/>
        <v>0</v>
      </c>
      <c r="AC86" s="253">
        <f>スコア入力!AH86</f>
        <v>0</v>
      </c>
      <c r="AD86" s="253">
        <f>スコア入力!AI86</f>
        <v>0</v>
      </c>
      <c r="AE86" s="6"/>
      <c r="AF86" s="599">
        <f>SUMPRODUCT(AF87:AF89,AH87:AH89)</f>
        <v>3.75</v>
      </c>
      <c r="AG86" s="599">
        <f>SUMPRODUCT(AG87:AG89,AI87:AI89)</f>
        <v>0</v>
      </c>
      <c r="AH86" s="580">
        <f>スコア入力!AC86</f>
        <v>0.25</v>
      </c>
      <c r="AI86" s="580">
        <f>スコア入力!AE86</f>
        <v>0</v>
      </c>
      <c r="AJ86" s="599">
        <f>SUMPRODUCT(AJ87:AJ89,AL87:AL89)</f>
        <v>0</v>
      </c>
      <c r="AK86" s="599">
        <f>SUMPRODUCT(AK87:AK89,AM87:AM89)</f>
        <v>0</v>
      </c>
      <c r="AL86" s="580">
        <f>スコア入力!AJ86</f>
        <v>0</v>
      </c>
      <c r="AM86" s="580">
        <f>スコア入力!AL86</f>
        <v>0</v>
      </c>
      <c r="AN86" s="581"/>
      <c r="AO86" s="581"/>
    </row>
    <row r="87" spans="2:41" ht="13.5">
      <c r="B87" s="348"/>
      <c r="C87" s="616"/>
      <c r="D87" s="617">
        <v>1</v>
      </c>
      <c r="E87" s="618" t="s">
        <v>745</v>
      </c>
      <c r="F87" s="614"/>
      <c r="G87" s="614"/>
      <c r="H87" s="2836"/>
      <c r="I87" s="2837"/>
      <c r="J87" s="2837"/>
      <c r="K87" s="2838"/>
      <c r="L87" s="585">
        <f t="shared" si="19"/>
        <v>3</v>
      </c>
      <c r="M87" s="585">
        <f t="shared" si="20"/>
        <v>0</v>
      </c>
      <c r="N87" s="580">
        <f>スコア入力!AC87</f>
        <v>0.41666666666666663</v>
      </c>
      <c r="O87" s="580">
        <f>スコア入力!AE87</f>
        <v>0</v>
      </c>
      <c r="P87" s="585">
        <f t="shared" si="21"/>
        <v>0</v>
      </c>
      <c r="Q87" s="585">
        <f t="shared" si="22"/>
        <v>0</v>
      </c>
      <c r="R87" s="580">
        <f>スコア入力!AJ87</f>
        <v>0</v>
      </c>
      <c r="S87" s="580">
        <f>スコア入力!AL87</f>
        <v>0</v>
      </c>
      <c r="T87" s="581"/>
      <c r="U87" s="581"/>
      <c r="W87" s="254">
        <f t="shared" si="23"/>
        <v>3</v>
      </c>
      <c r="X87" s="254">
        <f t="shared" si="24"/>
        <v>3</v>
      </c>
      <c r="Y87" s="253">
        <f>スコア入力!AA87</f>
        <v>0.33333333333333331</v>
      </c>
      <c r="Z87" s="253">
        <f>スコア入力!AB87</f>
        <v>0</v>
      </c>
      <c r="AA87" s="254">
        <f t="shared" si="25"/>
        <v>0</v>
      </c>
      <c r="AB87" s="254">
        <f t="shared" si="26"/>
        <v>0</v>
      </c>
      <c r="AC87" s="253">
        <f>スコア入力!AH87</f>
        <v>0</v>
      </c>
      <c r="AD87" s="253">
        <f>スコア入力!AI87</f>
        <v>0</v>
      </c>
      <c r="AE87" s="6"/>
      <c r="AF87" s="587">
        <f>スコア入力!N87</f>
        <v>3</v>
      </c>
      <c r="AG87" s="587">
        <f>スコア入力!P87</f>
        <v>3</v>
      </c>
      <c r="AH87" s="580">
        <f>スコア入力!AC87</f>
        <v>0.41666666666666663</v>
      </c>
      <c r="AI87" s="580">
        <f>スコア入力!AE87</f>
        <v>0</v>
      </c>
      <c r="AJ87" s="587">
        <f>スコア入力!U87</f>
        <v>0</v>
      </c>
      <c r="AK87" s="587">
        <f>スコア入力!W87</f>
        <v>0</v>
      </c>
      <c r="AL87" s="580">
        <f>スコア入力!AJ87</f>
        <v>0</v>
      </c>
      <c r="AM87" s="580">
        <f>スコア入力!AL87</f>
        <v>0</v>
      </c>
      <c r="AN87" s="581"/>
      <c r="AO87" s="581"/>
    </row>
    <row r="88" spans="2:41" ht="13.5">
      <c r="B88" s="348"/>
      <c r="C88" s="616"/>
      <c r="D88" s="617">
        <v>2</v>
      </c>
      <c r="E88" s="618" t="s">
        <v>746</v>
      </c>
      <c r="F88" s="614"/>
      <c r="G88" s="614"/>
      <c r="H88" s="2836"/>
      <c r="I88" s="2837"/>
      <c r="J88" s="2837"/>
      <c r="K88" s="2838"/>
      <c r="L88" s="591">
        <f t="shared" si="19"/>
        <v>3</v>
      </c>
      <c r="M88" s="591">
        <f t="shared" si="20"/>
        <v>0</v>
      </c>
      <c r="N88" s="580">
        <f>スコア入力!AC88</f>
        <v>0.41666666666666663</v>
      </c>
      <c r="O88" s="580">
        <f>スコア入力!AE88</f>
        <v>0</v>
      </c>
      <c r="P88" s="591">
        <f t="shared" si="21"/>
        <v>0</v>
      </c>
      <c r="Q88" s="591">
        <f t="shared" si="22"/>
        <v>0</v>
      </c>
      <c r="R88" s="580">
        <f>スコア入力!AJ88</f>
        <v>0</v>
      </c>
      <c r="S88" s="580">
        <f>スコア入力!AL88</f>
        <v>0</v>
      </c>
      <c r="T88" s="581"/>
      <c r="U88" s="581"/>
      <c r="W88" s="254">
        <f t="shared" si="23"/>
        <v>3</v>
      </c>
      <c r="X88" s="254">
        <f t="shared" si="24"/>
        <v>3</v>
      </c>
      <c r="Y88" s="253">
        <f>スコア入力!AA88</f>
        <v>0.33333333333333331</v>
      </c>
      <c r="Z88" s="253">
        <f>スコア入力!AB88</f>
        <v>0</v>
      </c>
      <c r="AA88" s="254">
        <f t="shared" si="25"/>
        <v>0</v>
      </c>
      <c r="AB88" s="254">
        <f t="shared" si="26"/>
        <v>0</v>
      </c>
      <c r="AC88" s="253">
        <f>スコア入力!AH88</f>
        <v>0</v>
      </c>
      <c r="AD88" s="253">
        <f>スコア入力!AI88</f>
        <v>0</v>
      </c>
      <c r="AE88" s="6"/>
      <c r="AF88" s="427">
        <f>スコア入力!N88</f>
        <v>3</v>
      </c>
      <c r="AG88" s="427">
        <f>スコア入力!P88</f>
        <v>3</v>
      </c>
      <c r="AH88" s="580">
        <f>スコア入力!AC88</f>
        <v>0.41666666666666663</v>
      </c>
      <c r="AI88" s="580">
        <f>スコア入力!AE88</f>
        <v>0</v>
      </c>
      <c r="AJ88" s="427">
        <f>スコア入力!U88</f>
        <v>0</v>
      </c>
      <c r="AK88" s="427">
        <f>スコア入力!W88</f>
        <v>0</v>
      </c>
      <c r="AL88" s="580">
        <f>スコア入力!AJ88</f>
        <v>0</v>
      </c>
      <c r="AM88" s="580">
        <f>スコア入力!AL88</f>
        <v>0</v>
      </c>
      <c r="AN88" s="581"/>
      <c r="AO88" s="581"/>
    </row>
    <row r="89" spans="2:41" ht="14.25" thickBot="1">
      <c r="B89" s="348"/>
      <c r="C89" s="616"/>
      <c r="D89" s="617">
        <v>3</v>
      </c>
      <c r="E89" s="618" t="s">
        <v>747</v>
      </c>
      <c r="F89" s="614"/>
      <c r="G89" s="614"/>
      <c r="H89" s="2836"/>
      <c r="I89" s="2837"/>
      <c r="J89" s="2837"/>
      <c r="K89" s="2838"/>
      <c r="L89" s="588">
        <f t="shared" si="19"/>
        <v>3</v>
      </c>
      <c r="M89" s="588">
        <f t="shared" si="20"/>
        <v>0</v>
      </c>
      <c r="N89" s="580">
        <f>スコア入力!AC89</f>
        <v>0.41666666666666663</v>
      </c>
      <c r="O89" s="580">
        <f>スコア入力!AE89</f>
        <v>0</v>
      </c>
      <c r="P89" s="588">
        <f t="shared" si="21"/>
        <v>0</v>
      </c>
      <c r="Q89" s="588">
        <f t="shared" si="22"/>
        <v>0</v>
      </c>
      <c r="R89" s="580">
        <f>スコア入力!AJ89</f>
        <v>0</v>
      </c>
      <c r="S89" s="580">
        <f>スコア入力!AL89</f>
        <v>0</v>
      </c>
      <c r="T89" s="581"/>
      <c r="U89" s="581"/>
      <c r="W89" s="254">
        <f t="shared" si="23"/>
        <v>3</v>
      </c>
      <c r="X89" s="254">
        <f t="shared" si="24"/>
        <v>3</v>
      </c>
      <c r="Y89" s="253">
        <f>スコア入力!AA89</f>
        <v>0.33333333333333331</v>
      </c>
      <c r="Z89" s="253">
        <f>スコア入力!AB89</f>
        <v>0</v>
      </c>
      <c r="AA89" s="254">
        <f t="shared" si="25"/>
        <v>0</v>
      </c>
      <c r="AB89" s="254">
        <f t="shared" si="26"/>
        <v>0</v>
      </c>
      <c r="AC89" s="253">
        <f>スコア入力!AH89</f>
        <v>0</v>
      </c>
      <c r="AD89" s="253">
        <f>スコア入力!AI89</f>
        <v>0</v>
      </c>
      <c r="AE89" s="6"/>
      <c r="AF89" s="589">
        <f>スコア入力!N89</f>
        <v>3</v>
      </c>
      <c r="AG89" s="589">
        <f>スコア入力!P89</f>
        <v>3</v>
      </c>
      <c r="AH89" s="580">
        <f>スコア入力!AC89</f>
        <v>0.41666666666666663</v>
      </c>
      <c r="AI89" s="580">
        <f>スコア入力!AE89</f>
        <v>0</v>
      </c>
      <c r="AJ89" s="589">
        <f>スコア入力!U89</f>
        <v>0</v>
      </c>
      <c r="AK89" s="589">
        <f>スコア入力!W89</f>
        <v>0</v>
      </c>
      <c r="AL89" s="580">
        <f>スコア入力!AJ89</f>
        <v>0</v>
      </c>
      <c r="AM89" s="580">
        <f>スコア入力!AL89</f>
        <v>0</v>
      </c>
      <c r="AN89" s="581"/>
      <c r="AO89" s="581"/>
    </row>
    <row r="90" spans="2:41" ht="14.25" thickBot="1">
      <c r="B90" s="348"/>
      <c r="C90" s="306">
        <v>2.4</v>
      </c>
      <c r="D90" s="619" t="s">
        <v>748</v>
      </c>
      <c r="E90" s="334"/>
      <c r="F90" s="384"/>
      <c r="G90" s="384"/>
      <c r="H90" s="2836"/>
      <c r="I90" s="2837"/>
      <c r="J90" s="2837"/>
      <c r="K90" s="2838"/>
      <c r="L90" s="590">
        <f t="shared" si="19"/>
        <v>3</v>
      </c>
      <c r="M90" s="599">
        <f t="shared" si="20"/>
        <v>3</v>
      </c>
      <c r="N90" s="580">
        <f>スコア入力!AC90</f>
        <v>0.25</v>
      </c>
      <c r="O90" s="580">
        <f>スコア入力!AE90</f>
        <v>0.2</v>
      </c>
      <c r="P90" s="620">
        <f t="shared" si="21"/>
        <v>0</v>
      </c>
      <c r="Q90" s="599">
        <f t="shared" si="22"/>
        <v>0</v>
      </c>
      <c r="R90" s="580">
        <f>スコア入力!AJ90</f>
        <v>0</v>
      </c>
      <c r="S90" s="580">
        <f>スコア入力!AL90</f>
        <v>0</v>
      </c>
      <c r="T90" s="581"/>
      <c r="U90" s="581"/>
      <c r="W90" s="570">
        <f t="shared" si="23"/>
        <v>3.0000000000000004</v>
      </c>
      <c r="X90" s="570">
        <f t="shared" si="24"/>
        <v>3.0000000000000004</v>
      </c>
      <c r="Y90" s="253">
        <f>スコア入力!AA90</f>
        <v>0.25</v>
      </c>
      <c r="Z90" s="253">
        <f>スコア入力!AB90</f>
        <v>0.19999999999999996</v>
      </c>
      <c r="AA90" s="570">
        <f t="shared" si="25"/>
        <v>0</v>
      </c>
      <c r="AB90" s="570">
        <f t="shared" si="26"/>
        <v>0</v>
      </c>
      <c r="AC90" s="253">
        <f>スコア入力!AH90</f>
        <v>0</v>
      </c>
      <c r="AD90" s="253">
        <f>スコア入力!AI90</f>
        <v>0</v>
      </c>
      <c r="AE90" s="6"/>
      <c r="AF90" s="599">
        <f>SUMPRODUCT(AF91:AF95,AH91:AH95)</f>
        <v>3.0000000000000004</v>
      </c>
      <c r="AG90" s="599">
        <f>SUMPRODUCT(AG91:AG95,AI91:AI95)</f>
        <v>3.0000000000000004</v>
      </c>
      <c r="AH90" s="580">
        <f>スコア入力!AC90</f>
        <v>0.25</v>
      </c>
      <c r="AI90" s="580">
        <f>スコア入力!AE90</f>
        <v>0.2</v>
      </c>
      <c r="AJ90" s="599">
        <f>SUMPRODUCT(AJ91:AJ95,AL91:AL95)</f>
        <v>0</v>
      </c>
      <c r="AK90" s="599">
        <f>SUMPRODUCT(AK91:AK95,AM91:AM95)</f>
        <v>0</v>
      </c>
      <c r="AL90" s="580">
        <f>スコア入力!AJ90</f>
        <v>0</v>
      </c>
      <c r="AM90" s="580">
        <f>スコア入力!AL90</f>
        <v>0</v>
      </c>
      <c r="AN90" s="581"/>
      <c r="AO90" s="581"/>
    </row>
    <row r="91" spans="2:41" ht="13.5">
      <c r="B91" s="348"/>
      <c r="C91" s="347"/>
      <c r="D91" s="314">
        <v>1</v>
      </c>
      <c r="E91" s="334" t="s">
        <v>749</v>
      </c>
      <c r="F91" s="337"/>
      <c r="G91" s="337"/>
      <c r="H91" s="2836"/>
      <c r="I91" s="2837"/>
      <c r="J91" s="2837"/>
      <c r="K91" s="2838"/>
      <c r="L91" s="585">
        <f t="shared" si="19"/>
        <v>3</v>
      </c>
      <c r="M91" s="585">
        <f t="shared" si="20"/>
        <v>3</v>
      </c>
      <c r="N91" s="580">
        <f>スコア入力!AC91</f>
        <v>0.2</v>
      </c>
      <c r="O91" s="580">
        <f>スコア入力!AE91</f>
        <v>0.2</v>
      </c>
      <c r="P91" s="585">
        <f t="shared" si="21"/>
        <v>0</v>
      </c>
      <c r="Q91" s="585">
        <f t="shared" si="22"/>
        <v>0</v>
      </c>
      <c r="R91" s="580">
        <f>スコア入力!AJ91</f>
        <v>0</v>
      </c>
      <c r="S91" s="580">
        <f>スコア入力!AL91</f>
        <v>0</v>
      </c>
      <c r="T91" s="581"/>
      <c r="U91" s="581"/>
      <c r="W91" s="254">
        <f t="shared" si="23"/>
        <v>3</v>
      </c>
      <c r="X91" s="254">
        <f t="shared" si="24"/>
        <v>3</v>
      </c>
      <c r="Y91" s="253">
        <f>スコア入力!AA91</f>
        <v>0.2</v>
      </c>
      <c r="Z91" s="253">
        <f>スコア入力!AB91</f>
        <v>0.2</v>
      </c>
      <c r="AA91" s="254">
        <f t="shared" si="25"/>
        <v>0</v>
      </c>
      <c r="AB91" s="254">
        <f t="shared" si="26"/>
        <v>0</v>
      </c>
      <c r="AC91" s="253">
        <f>スコア入力!AH91</f>
        <v>0</v>
      </c>
      <c r="AD91" s="253">
        <f>スコア入力!AI91</f>
        <v>0</v>
      </c>
      <c r="AE91" s="6"/>
      <c r="AF91" s="587">
        <f>スコア入力!N91</f>
        <v>3</v>
      </c>
      <c r="AG91" s="587">
        <f>スコア入力!P91</f>
        <v>3</v>
      </c>
      <c r="AH91" s="580">
        <f>スコア入力!AC91</f>
        <v>0.2</v>
      </c>
      <c r="AI91" s="580">
        <f>スコア入力!AE91</f>
        <v>0.2</v>
      </c>
      <c r="AJ91" s="587">
        <f>スコア入力!U91</f>
        <v>0</v>
      </c>
      <c r="AK91" s="587">
        <f>スコア入力!W91</f>
        <v>0</v>
      </c>
      <c r="AL91" s="580">
        <f>スコア入力!AJ91</f>
        <v>0</v>
      </c>
      <c r="AM91" s="580">
        <f>スコア入力!AL91</f>
        <v>0</v>
      </c>
      <c r="AN91" s="581"/>
      <c r="AO91" s="581"/>
    </row>
    <row r="92" spans="2:41" ht="13.5">
      <c r="B92" s="305"/>
      <c r="C92" s="347"/>
      <c r="D92" s="314">
        <v>2</v>
      </c>
      <c r="E92" s="334" t="s">
        <v>750</v>
      </c>
      <c r="F92" s="337"/>
      <c r="G92" s="337"/>
      <c r="H92" s="2836"/>
      <c r="I92" s="2837"/>
      <c r="J92" s="2837"/>
      <c r="K92" s="2838"/>
      <c r="L92" s="591">
        <f t="shared" si="19"/>
        <v>3</v>
      </c>
      <c r="M92" s="591">
        <f t="shared" si="20"/>
        <v>3</v>
      </c>
      <c r="N92" s="580">
        <f>スコア入力!AC92</f>
        <v>0.2</v>
      </c>
      <c r="O92" s="580">
        <f>スコア入力!AE92</f>
        <v>0.2</v>
      </c>
      <c r="P92" s="591">
        <f t="shared" si="21"/>
        <v>0</v>
      </c>
      <c r="Q92" s="591">
        <f t="shared" si="22"/>
        <v>0</v>
      </c>
      <c r="R92" s="580">
        <f>スコア入力!AJ92</f>
        <v>0</v>
      </c>
      <c r="S92" s="580">
        <f>スコア入力!AL92</f>
        <v>0</v>
      </c>
      <c r="T92" s="581"/>
      <c r="U92" s="581"/>
      <c r="W92" s="254">
        <f t="shared" si="23"/>
        <v>3</v>
      </c>
      <c r="X92" s="254">
        <f t="shared" si="24"/>
        <v>3</v>
      </c>
      <c r="Y92" s="253">
        <f>スコア入力!AA92</f>
        <v>0.2</v>
      </c>
      <c r="Z92" s="253">
        <f>スコア入力!AB92</f>
        <v>0.2</v>
      </c>
      <c r="AA92" s="254">
        <f t="shared" si="25"/>
        <v>0</v>
      </c>
      <c r="AB92" s="254">
        <f t="shared" si="26"/>
        <v>0</v>
      </c>
      <c r="AC92" s="253">
        <f>スコア入力!AH92</f>
        <v>0</v>
      </c>
      <c r="AD92" s="253">
        <f>スコア入力!AI92</f>
        <v>0</v>
      </c>
      <c r="AE92" s="6"/>
      <c r="AF92" s="427">
        <f>スコア入力!N92</f>
        <v>3</v>
      </c>
      <c r="AG92" s="427">
        <f>スコア入力!P92</f>
        <v>3</v>
      </c>
      <c r="AH92" s="580">
        <f>スコア入力!AC92</f>
        <v>0.2</v>
      </c>
      <c r="AI92" s="580">
        <f>スコア入力!AE92</f>
        <v>0.2</v>
      </c>
      <c r="AJ92" s="427">
        <f>スコア入力!U92</f>
        <v>0</v>
      </c>
      <c r="AK92" s="427">
        <f>スコア入力!W92</f>
        <v>0</v>
      </c>
      <c r="AL92" s="580">
        <f>スコア入力!AJ92</f>
        <v>0</v>
      </c>
      <c r="AM92" s="580">
        <f>スコア入力!AL92</f>
        <v>0</v>
      </c>
      <c r="AN92" s="581"/>
      <c r="AO92" s="581"/>
    </row>
    <row r="93" spans="2:41" ht="13.5">
      <c r="B93" s="305"/>
      <c r="C93" s="347"/>
      <c r="D93" s="314">
        <v>3</v>
      </c>
      <c r="E93" s="334" t="s">
        <v>751</v>
      </c>
      <c r="F93" s="337"/>
      <c r="G93" s="337"/>
      <c r="H93" s="2836"/>
      <c r="I93" s="2837"/>
      <c r="J93" s="2837"/>
      <c r="K93" s="2838"/>
      <c r="L93" s="591">
        <f t="shared" si="19"/>
        <v>3</v>
      </c>
      <c r="M93" s="591">
        <f t="shared" si="20"/>
        <v>3</v>
      </c>
      <c r="N93" s="580">
        <f>スコア入力!AC93</f>
        <v>0.2</v>
      </c>
      <c r="O93" s="580">
        <f>スコア入力!AE93</f>
        <v>0.2</v>
      </c>
      <c r="P93" s="591">
        <f t="shared" si="21"/>
        <v>0</v>
      </c>
      <c r="Q93" s="591">
        <f t="shared" si="22"/>
        <v>0</v>
      </c>
      <c r="R93" s="580">
        <f>スコア入力!AJ93</f>
        <v>0</v>
      </c>
      <c r="S93" s="580">
        <f>スコア入力!AL93</f>
        <v>0</v>
      </c>
      <c r="T93" s="581"/>
      <c r="U93" s="581"/>
      <c r="W93" s="254">
        <f t="shared" si="23"/>
        <v>3</v>
      </c>
      <c r="X93" s="254">
        <f t="shared" si="24"/>
        <v>3</v>
      </c>
      <c r="Y93" s="253">
        <f>スコア入力!AA93</f>
        <v>0.2</v>
      </c>
      <c r="Z93" s="253">
        <f>スコア入力!AB93</f>
        <v>0.2</v>
      </c>
      <c r="AA93" s="254">
        <f t="shared" si="25"/>
        <v>0</v>
      </c>
      <c r="AB93" s="254">
        <f t="shared" si="26"/>
        <v>0</v>
      </c>
      <c r="AC93" s="253">
        <f>スコア入力!AH93</f>
        <v>0</v>
      </c>
      <c r="AD93" s="253">
        <f>スコア入力!AI93</f>
        <v>0</v>
      </c>
      <c r="AE93" s="6"/>
      <c r="AF93" s="427">
        <f>スコア入力!N93</f>
        <v>3</v>
      </c>
      <c r="AG93" s="427">
        <f>スコア入力!P93</f>
        <v>3</v>
      </c>
      <c r="AH93" s="580">
        <f>スコア入力!AC93</f>
        <v>0.2</v>
      </c>
      <c r="AI93" s="580">
        <f>スコア入力!AE93</f>
        <v>0.2</v>
      </c>
      <c r="AJ93" s="427">
        <f>スコア入力!U93</f>
        <v>0</v>
      </c>
      <c r="AK93" s="427">
        <f>スコア入力!W93</f>
        <v>0</v>
      </c>
      <c r="AL93" s="580">
        <f>スコア入力!AJ93</f>
        <v>0</v>
      </c>
      <c r="AM93" s="580">
        <f>スコア入力!AL93</f>
        <v>0</v>
      </c>
      <c r="AN93" s="581"/>
      <c r="AO93" s="581"/>
    </row>
    <row r="94" spans="2:41" ht="13.5">
      <c r="B94" s="305"/>
      <c r="C94" s="347"/>
      <c r="D94" s="314">
        <v>4</v>
      </c>
      <c r="E94" s="334" t="s">
        <v>752</v>
      </c>
      <c r="F94" s="337"/>
      <c r="G94" s="337"/>
      <c r="H94" s="2836"/>
      <c r="I94" s="2837"/>
      <c r="J94" s="2837"/>
      <c r="K94" s="2838"/>
      <c r="L94" s="591">
        <f t="shared" si="19"/>
        <v>3</v>
      </c>
      <c r="M94" s="591">
        <f t="shared" si="20"/>
        <v>3</v>
      </c>
      <c r="N94" s="580">
        <f>スコア入力!AC94</f>
        <v>0.2</v>
      </c>
      <c r="O94" s="580">
        <f>スコア入力!AE94</f>
        <v>0.2</v>
      </c>
      <c r="P94" s="591">
        <f t="shared" si="21"/>
        <v>0</v>
      </c>
      <c r="Q94" s="591">
        <f t="shared" si="22"/>
        <v>0</v>
      </c>
      <c r="R94" s="580">
        <f>スコア入力!AJ94</f>
        <v>0</v>
      </c>
      <c r="S94" s="580">
        <f>スコア入力!AL94</f>
        <v>0</v>
      </c>
      <c r="T94" s="581"/>
      <c r="U94" s="581"/>
      <c r="W94" s="254">
        <f t="shared" si="23"/>
        <v>3</v>
      </c>
      <c r="X94" s="254">
        <f t="shared" si="24"/>
        <v>3</v>
      </c>
      <c r="Y94" s="253">
        <f>スコア入力!AA94</f>
        <v>0.2</v>
      </c>
      <c r="Z94" s="253">
        <f>スコア入力!AB94</f>
        <v>0.2</v>
      </c>
      <c r="AA94" s="254">
        <f t="shared" si="25"/>
        <v>0</v>
      </c>
      <c r="AB94" s="254">
        <f t="shared" si="26"/>
        <v>0</v>
      </c>
      <c r="AC94" s="253">
        <f>スコア入力!AH94</f>
        <v>0</v>
      </c>
      <c r="AD94" s="253">
        <f>スコア入力!AI94</f>
        <v>0</v>
      </c>
      <c r="AE94" s="6"/>
      <c r="AF94" s="427">
        <f>スコア入力!N94</f>
        <v>3</v>
      </c>
      <c r="AG94" s="427">
        <f>スコア入力!P94</f>
        <v>3</v>
      </c>
      <c r="AH94" s="580">
        <f>スコア入力!AC94</f>
        <v>0.2</v>
      </c>
      <c r="AI94" s="580">
        <f>スコア入力!AE94</f>
        <v>0.2</v>
      </c>
      <c r="AJ94" s="427">
        <f>スコア入力!U94</f>
        <v>0</v>
      </c>
      <c r="AK94" s="427">
        <f>スコア入力!W94</f>
        <v>0</v>
      </c>
      <c r="AL94" s="580">
        <f>スコア入力!AJ94</f>
        <v>0</v>
      </c>
      <c r="AM94" s="580">
        <f>スコア入力!AL94</f>
        <v>0</v>
      </c>
      <c r="AN94" s="581"/>
      <c r="AO94" s="581"/>
    </row>
    <row r="95" spans="2:41" ht="14.25" thickBot="1">
      <c r="B95" s="395"/>
      <c r="C95" s="356"/>
      <c r="D95" s="314">
        <v>5</v>
      </c>
      <c r="E95" s="334" t="s">
        <v>753</v>
      </c>
      <c r="F95" s="337"/>
      <c r="G95" s="337"/>
      <c r="H95" s="2836"/>
      <c r="I95" s="2837"/>
      <c r="J95" s="2837"/>
      <c r="K95" s="2838"/>
      <c r="L95" s="588">
        <f t="shared" si="19"/>
        <v>3</v>
      </c>
      <c r="M95" s="588">
        <f t="shared" si="20"/>
        <v>3</v>
      </c>
      <c r="N95" s="611">
        <f>スコア入力!AC95</f>
        <v>0.2</v>
      </c>
      <c r="O95" s="611">
        <f>スコア入力!AE95</f>
        <v>0.2</v>
      </c>
      <c r="P95" s="588">
        <f t="shared" si="21"/>
        <v>0</v>
      </c>
      <c r="Q95" s="588">
        <f t="shared" si="22"/>
        <v>0</v>
      </c>
      <c r="R95" s="611">
        <f>スコア入力!AJ95</f>
        <v>0</v>
      </c>
      <c r="S95" s="611">
        <f>スコア入力!AL95</f>
        <v>0</v>
      </c>
      <c r="T95" s="612"/>
      <c r="U95" s="612"/>
      <c r="W95" s="254">
        <f t="shared" si="23"/>
        <v>3</v>
      </c>
      <c r="X95" s="254">
        <f t="shared" si="24"/>
        <v>3</v>
      </c>
      <c r="Y95" s="253">
        <f>スコア入力!AA95</f>
        <v>0.2</v>
      </c>
      <c r="Z95" s="253">
        <f>スコア入力!AB95</f>
        <v>0.2</v>
      </c>
      <c r="AA95" s="254">
        <f t="shared" si="25"/>
        <v>0</v>
      </c>
      <c r="AB95" s="254">
        <f t="shared" si="26"/>
        <v>0</v>
      </c>
      <c r="AC95" s="253">
        <f>スコア入力!AH95</f>
        <v>0</v>
      </c>
      <c r="AD95" s="253">
        <f>スコア入力!AI95</f>
        <v>0</v>
      </c>
      <c r="AE95" s="6"/>
      <c r="AF95" s="589">
        <f>スコア入力!N95</f>
        <v>3</v>
      </c>
      <c r="AG95" s="589">
        <f>スコア入力!P95</f>
        <v>3</v>
      </c>
      <c r="AH95" s="611">
        <f>スコア入力!AC95</f>
        <v>0.2</v>
      </c>
      <c r="AI95" s="611">
        <f>スコア入力!AE95</f>
        <v>0.2</v>
      </c>
      <c r="AJ95" s="589">
        <f>スコア入力!U95</f>
        <v>0</v>
      </c>
      <c r="AK95" s="589">
        <f>スコア入力!W95</f>
        <v>0</v>
      </c>
      <c r="AL95" s="611">
        <f>スコア入力!AJ95</f>
        <v>0</v>
      </c>
      <c r="AM95" s="611">
        <f>スコア入力!AL95</f>
        <v>0</v>
      </c>
      <c r="AN95" s="612"/>
      <c r="AO95" s="612"/>
    </row>
    <row r="96" spans="2:41" ht="13.5" hidden="1">
      <c r="B96" s="1792"/>
      <c r="C96" s="1793"/>
      <c r="D96" s="1794"/>
      <c r="E96" s="1795"/>
      <c r="F96" s="621"/>
      <c r="G96" s="621"/>
      <c r="H96" s="2891"/>
      <c r="I96" s="2892"/>
      <c r="J96" s="2892"/>
      <c r="K96" s="2893"/>
      <c r="L96" s="622">
        <f t="shared" si="19"/>
        <v>0</v>
      </c>
      <c r="M96" s="622">
        <f t="shared" si="20"/>
        <v>0</v>
      </c>
      <c r="N96" s="623">
        <f>スコア入力!AC96</f>
        <v>0</v>
      </c>
      <c r="O96" s="623">
        <f>スコア入力!AE96</f>
        <v>0</v>
      </c>
      <c r="P96" s="624">
        <f t="shared" si="21"/>
        <v>0</v>
      </c>
      <c r="Q96" s="624">
        <f t="shared" si="22"/>
        <v>0</v>
      </c>
      <c r="R96" s="623">
        <f>スコア入力!AJ96</f>
        <v>0</v>
      </c>
      <c r="S96" s="623">
        <f>スコア入力!AL96</f>
        <v>0</v>
      </c>
      <c r="T96" s="625"/>
      <c r="U96" s="625"/>
      <c r="W96" s="626">
        <f t="shared" si="23"/>
        <v>0</v>
      </c>
      <c r="X96" s="626">
        <f t="shared" si="24"/>
        <v>0</v>
      </c>
      <c r="Y96" s="253">
        <f>スコア入力!AA96</f>
        <v>0</v>
      </c>
      <c r="Z96" s="253">
        <f>スコア入力!AB96</f>
        <v>0</v>
      </c>
      <c r="AA96" s="626">
        <f t="shared" si="25"/>
        <v>0</v>
      </c>
      <c r="AB96" s="626">
        <f t="shared" si="26"/>
        <v>0</v>
      </c>
      <c r="AC96" s="253">
        <f>スコア入力!AH96</f>
        <v>0</v>
      </c>
      <c r="AD96" s="253">
        <f>スコア入力!AI96</f>
        <v>0</v>
      </c>
      <c r="AE96" s="6"/>
      <c r="AF96" s="627"/>
      <c r="AG96" s="627"/>
      <c r="AH96" s="623">
        <f>スコア入力!AC96</f>
        <v>0</v>
      </c>
      <c r="AI96" s="623">
        <f>スコア入力!AE96</f>
        <v>0</v>
      </c>
      <c r="AJ96" s="627"/>
      <c r="AK96" s="627"/>
      <c r="AL96" s="623">
        <f>スコア入力!AJ96</f>
        <v>0</v>
      </c>
      <c r="AM96" s="623">
        <f>スコア入力!AL96</f>
        <v>0</v>
      </c>
      <c r="AN96" s="625"/>
      <c r="AO96" s="625"/>
    </row>
    <row r="97" spans="1:41" ht="13.5">
      <c r="B97" s="400">
        <v>3</v>
      </c>
      <c r="C97" s="401" t="s">
        <v>754</v>
      </c>
      <c r="D97" s="401"/>
      <c r="E97" s="401"/>
      <c r="F97" s="384"/>
      <c r="G97" s="384"/>
      <c r="H97" s="2855"/>
      <c r="I97" s="2856"/>
      <c r="J97" s="2856"/>
      <c r="K97" s="2857"/>
      <c r="L97" s="628">
        <f t="shared" si="19"/>
        <v>3</v>
      </c>
      <c r="M97" s="593">
        <f t="shared" si="20"/>
        <v>3</v>
      </c>
      <c r="N97" s="594">
        <f>スコア入力!AC97</f>
        <v>0.3</v>
      </c>
      <c r="O97" s="594">
        <f>スコア入力!AE97</f>
        <v>0.30000000000000004</v>
      </c>
      <c r="P97" s="593">
        <f t="shared" si="21"/>
        <v>0</v>
      </c>
      <c r="Q97" s="593">
        <f t="shared" si="22"/>
        <v>0</v>
      </c>
      <c r="R97" s="594"/>
      <c r="S97" s="594"/>
      <c r="T97" s="596">
        <f>ROUNDDOWN(AN97,1)</f>
        <v>3</v>
      </c>
      <c r="U97" s="596">
        <f>ROUNDDOWN(AO97,1)</f>
        <v>3</v>
      </c>
      <c r="W97" s="570">
        <f t="shared" si="23"/>
        <v>3</v>
      </c>
      <c r="X97" s="570">
        <f t="shared" si="24"/>
        <v>3</v>
      </c>
      <c r="Y97" s="253">
        <f>スコア入力!AA97</f>
        <v>0.3</v>
      </c>
      <c r="Z97" s="253">
        <f>スコア入力!AB97</f>
        <v>0.30000000000000004</v>
      </c>
      <c r="AA97" s="570">
        <f t="shared" si="25"/>
        <v>0</v>
      </c>
      <c r="AB97" s="570">
        <f t="shared" si="26"/>
        <v>0</v>
      </c>
      <c r="AC97" s="253">
        <f>スコア入力!AH97</f>
        <v>1</v>
      </c>
      <c r="AD97" s="253">
        <f>スコア入力!AI97</f>
        <v>0</v>
      </c>
      <c r="AE97" s="6"/>
      <c r="AF97" s="593">
        <f>AF98*AH98+AF101*AH101+AF102*AH102</f>
        <v>3</v>
      </c>
      <c r="AG97" s="593">
        <f>AG98*AI98+AG101*AI101+AG102*AI102</f>
        <v>3</v>
      </c>
      <c r="AH97" s="594">
        <f>スコア入力!AC97</f>
        <v>0.3</v>
      </c>
      <c r="AI97" s="594">
        <f>スコア入力!AE97</f>
        <v>0.30000000000000004</v>
      </c>
      <c r="AJ97" s="593">
        <f>AJ98*AL98+AJ101*AL101+AJ102*AL102</f>
        <v>0</v>
      </c>
      <c r="AK97" s="593">
        <f>AK98*AM98+AK101*AM101+AK102*AM102</f>
        <v>0</v>
      </c>
      <c r="AL97" s="594">
        <f>スコア入力!AJ97</f>
        <v>0</v>
      </c>
      <c r="AM97" s="594">
        <f>スコア入力!AL97</f>
        <v>0</v>
      </c>
      <c r="AN97" s="596">
        <f>IF(AJ97=0,AF97,IF(AF97=0,AJ97,AF97*AH$6+AJ97*AL$6))</f>
        <v>3</v>
      </c>
      <c r="AO97" s="596">
        <f>IF(AK97=0,AG97,IF(AG97=0,AK97,AG97*AI$6+AK97*AM$6))</f>
        <v>3</v>
      </c>
    </row>
    <row r="98" spans="1:41" ht="14.25" thickBot="1">
      <c r="B98" s="348"/>
      <c r="C98" s="306">
        <v>3.1</v>
      </c>
      <c r="D98" s="343" t="s">
        <v>757</v>
      </c>
      <c r="E98" s="307"/>
      <c r="F98" s="384"/>
      <c r="G98" s="384"/>
      <c r="H98" s="2836"/>
      <c r="I98" s="2837"/>
      <c r="J98" s="2837"/>
      <c r="K98" s="2837"/>
      <c r="L98" s="620">
        <f t="shared" si="19"/>
        <v>3</v>
      </c>
      <c r="M98" s="599">
        <f t="shared" si="20"/>
        <v>3</v>
      </c>
      <c r="N98" s="580">
        <f>スコア入力!AC98</f>
        <v>0.3</v>
      </c>
      <c r="O98" s="580">
        <f>スコア入力!AE98</f>
        <v>0.3</v>
      </c>
      <c r="P98" s="599">
        <f t="shared" si="21"/>
        <v>0</v>
      </c>
      <c r="Q98" s="599">
        <f t="shared" si="22"/>
        <v>0</v>
      </c>
      <c r="R98" s="580">
        <f>スコア入力!AJ98</f>
        <v>0</v>
      </c>
      <c r="S98" s="580">
        <f>スコア入力!AL98</f>
        <v>0</v>
      </c>
      <c r="T98" s="581"/>
      <c r="U98" s="581"/>
      <c r="W98" s="570">
        <f t="shared" si="23"/>
        <v>3</v>
      </c>
      <c r="X98" s="570">
        <f t="shared" si="24"/>
        <v>3</v>
      </c>
      <c r="Y98" s="253">
        <f>スコア入力!AA98</f>
        <v>0.3</v>
      </c>
      <c r="Z98" s="253">
        <f>スコア入力!AB98</f>
        <v>0.29999999999999993</v>
      </c>
      <c r="AA98" s="570">
        <f t="shared" si="25"/>
        <v>0</v>
      </c>
      <c r="AB98" s="570">
        <f t="shared" si="26"/>
        <v>0</v>
      </c>
      <c r="AC98" s="253">
        <f>スコア入力!AH98</f>
        <v>0</v>
      </c>
      <c r="AD98" s="253">
        <f>スコア入力!AI98</f>
        <v>0</v>
      </c>
      <c r="AE98" s="6"/>
      <c r="AF98" s="599">
        <f>SUMPRODUCT(AF99:AF100,AH99:AH100)</f>
        <v>3</v>
      </c>
      <c r="AG98" s="599">
        <f>SUMPRODUCT(AG99:AG100,AI99:AI100)</f>
        <v>3</v>
      </c>
      <c r="AH98" s="580">
        <f>スコア入力!AC98</f>
        <v>0.3</v>
      </c>
      <c r="AI98" s="580">
        <f>スコア入力!AE98</f>
        <v>0.3</v>
      </c>
      <c r="AJ98" s="599">
        <f>SUMPRODUCT(AJ99:AJ100,AL99:AL100)</f>
        <v>0</v>
      </c>
      <c r="AK98" s="599">
        <f>SUMPRODUCT(AK99:AK100,AM99:AM100)</f>
        <v>0</v>
      </c>
      <c r="AL98" s="580">
        <f>スコア入力!AJ98</f>
        <v>0</v>
      </c>
      <c r="AM98" s="580">
        <f>スコア入力!AL98</f>
        <v>0</v>
      </c>
      <c r="AN98" s="581"/>
      <c r="AO98" s="581"/>
    </row>
    <row r="99" spans="1:41" ht="13.5">
      <c r="B99" s="348"/>
      <c r="C99" s="347"/>
      <c r="D99" s="314">
        <v>1</v>
      </c>
      <c r="E99" s="334" t="s">
        <v>758</v>
      </c>
      <c r="F99" s="337"/>
      <c r="G99" s="337"/>
      <c r="H99" s="2836"/>
      <c r="I99" s="2837"/>
      <c r="J99" s="2837"/>
      <c r="K99" s="2838"/>
      <c r="L99" s="585">
        <f t="shared" si="19"/>
        <v>3</v>
      </c>
      <c r="M99" s="585">
        <f t="shared" si="20"/>
        <v>3</v>
      </c>
      <c r="N99" s="586">
        <f>スコア入力!AC99</f>
        <v>0.6</v>
      </c>
      <c r="O99" s="586">
        <f>スコア入力!AE99</f>
        <v>0.6</v>
      </c>
      <c r="P99" s="585">
        <f t="shared" si="21"/>
        <v>0</v>
      </c>
      <c r="Q99" s="585">
        <f t="shared" si="22"/>
        <v>0</v>
      </c>
      <c r="R99" s="586">
        <f>スコア入力!AJ99</f>
        <v>0</v>
      </c>
      <c r="S99" s="586">
        <f>スコア入力!AL99</f>
        <v>0</v>
      </c>
      <c r="T99" s="581"/>
      <c r="U99" s="581"/>
      <c r="W99" s="254">
        <f t="shared" si="23"/>
        <v>3</v>
      </c>
      <c r="X99" s="254">
        <f t="shared" si="24"/>
        <v>3</v>
      </c>
      <c r="Y99" s="253">
        <f>スコア入力!AA99</f>
        <v>0.6</v>
      </c>
      <c r="Z99" s="253">
        <f>スコア入力!AB99</f>
        <v>0.6</v>
      </c>
      <c r="AA99" s="254">
        <f t="shared" si="25"/>
        <v>3</v>
      </c>
      <c r="AB99" s="254">
        <f t="shared" si="26"/>
        <v>3</v>
      </c>
      <c r="AC99" s="253">
        <f>スコア入力!AH99</f>
        <v>0</v>
      </c>
      <c r="AD99" s="253">
        <f>スコア入力!AI99</f>
        <v>0</v>
      </c>
      <c r="AE99" s="6"/>
      <c r="AF99" s="587">
        <f>スコア入力!N99</f>
        <v>3</v>
      </c>
      <c r="AG99" s="587">
        <f>スコア入力!P99</f>
        <v>3</v>
      </c>
      <c r="AH99" s="586">
        <f>スコア入力!AC99</f>
        <v>0.6</v>
      </c>
      <c r="AI99" s="586">
        <f>スコア入力!AE99</f>
        <v>0.6</v>
      </c>
      <c r="AJ99" s="587">
        <f>スコア入力!U99</f>
        <v>3</v>
      </c>
      <c r="AK99" s="587">
        <f>スコア入力!W99</f>
        <v>3</v>
      </c>
      <c r="AL99" s="586">
        <f>スコア入力!AJ99</f>
        <v>0</v>
      </c>
      <c r="AM99" s="586">
        <f>スコア入力!AL99</f>
        <v>0</v>
      </c>
      <c r="AN99" s="581"/>
      <c r="AO99" s="581"/>
    </row>
    <row r="100" spans="1:41" ht="13.5">
      <c r="B100" s="348"/>
      <c r="C100" s="347"/>
      <c r="D100" s="403">
        <v>2</v>
      </c>
      <c r="E100" s="307" t="s">
        <v>760</v>
      </c>
      <c r="F100" s="384"/>
      <c r="G100" s="384"/>
      <c r="H100" s="2836"/>
      <c r="I100" s="2837"/>
      <c r="J100" s="2837"/>
      <c r="K100" s="2838"/>
      <c r="L100" s="591">
        <f t="shared" si="19"/>
        <v>3</v>
      </c>
      <c r="M100" s="591">
        <f t="shared" si="20"/>
        <v>3</v>
      </c>
      <c r="N100" s="586">
        <f>スコア入力!AC100</f>
        <v>0.4</v>
      </c>
      <c r="O100" s="586">
        <f>スコア入力!AE100</f>
        <v>0.39999999999999997</v>
      </c>
      <c r="P100" s="591">
        <f t="shared" si="21"/>
        <v>0</v>
      </c>
      <c r="Q100" s="591">
        <f t="shared" si="22"/>
        <v>0</v>
      </c>
      <c r="R100" s="586">
        <f>スコア入力!AJ100</f>
        <v>0</v>
      </c>
      <c r="S100" s="586">
        <f>スコア入力!AL100</f>
        <v>0</v>
      </c>
      <c r="T100" s="581"/>
      <c r="U100" s="581"/>
      <c r="W100" s="254">
        <f t="shared" si="23"/>
        <v>3</v>
      </c>
      <c r="X100" s="254">
        <f t="shared" si="24"/>
        <v>3</v>
      </c>
      <c r="Y100" s="253">
        <f>スコア入力!AA100</f>
        <v>0.4</v>
      </c>
      <c r="Z100" s="253">
        <f>スコア入力!AB100</f>
        <v>0.39999999999999997</v>
      </c>
      <c r="AA100" s="254">
        <f t="shared" si="25"/>
        <v>3</v>
      </c>
      <c r="AB100" s="254">
        <f t="shared" si="26"/>
        <v>3</v>
      </c>
      <c r="AC100" s="253">
        <f>スコア入力!AH100</f>
        <v>0</v>
      </c>
      <c r="AD100" s="253">
        <f>スコア入力!AI100</f>
        <v>0</v>
      </c>
      <c r="AE100" s="6"/>
      <c r="AF100" s="427">
        <f>スコア入力!N100</f>
        <v>3</v>
      </c>
      <c r="AG100" s="427">
        <f>スコア入力!P100</f>
        <v>3</v>
      </c>
      <c r="AH100" s="586">
        <f>スコア入力!AC100</f>
        <v>0.4</v>
      </c>
      <c r="AI100" s="586">
        <f>スコア入力!AE100</f>
        <v>0.39999999999999997</v>
      </c>
      <c r="AJ100" s="427">
        <f>スコア入力!U100</f>
        <v>3</v>
      </c>
      <c r="AK100" s="427">
        <f>スコア入力!W100</f>
        <v>3</v>
      </c>
      <c r="AL100" s="586">
        <f>スコア入力!AJ100</f>
        <v>0</v>
      </c>
      <c r="AM100" s="586">
        <f>スコア入力!AL100</f>
        <v>0</v>
      </c>
      <c r="AN100" s="581"/>
      <c r="AO100" s="581"/>
    </row>
    <row r="101" spans="1:41" ht="14.25" thickBot="1">
      <c r="B101" s="348"/>
      <c r="C101" s="333">
        <v>3.2</v>
      </c>
      <c r="D101" s="404" t="s">
        <v>761</v>
      </c>
      <c r="E101" s="334"/>
      <c r="F101" s="337"/>
      <c r="G101" s="337"/>
      <c r="H101" s="2836"/>
      <c r="I101" s="2837"/>
      <c r="J101" s="2837"/>
      <c r="K101" s="2838"/>
      <c r="L101" s="462">
        <f t="shared" si="19"/>
        <v>3</v>
      </c>
      <c r="M101" s="462">
        <f t="shared" si="20"/>
        <v>3</v>
      </c>
      <c r="N101" s="586">
        <f>スコア入力!AC101</f>
        <v>0.3</v>
      </c>
      <c r="O101" s="586">
        <f>スコア入力!AE101</f>
        <v>0.3</v>
      </c>
      <c r="P101" s="462">
        <f t="shared" si="21"/>
        <v>0</v>
      </c>
      <c r="Q101" s="462">
        <f t="shared" si="22"/>
        <v>0</v>
      </c>
      <c r="R101" s="586">
        <f>スコア入力!AJ101</f>
        <v>0</v>
      </c>
      <c r="S101" s="586">
        <f>スコア入力!AL101</f>
        <v>0</v>
      </c>
      <c r="T101" s="581"/>
      <c r="U101" s="581"/>
      <c r="W101" s="254">
        <f t="shared" si="23"/>
        <v>3</v>
      </c>
      <c r="X101" s="254">
        <f t="shared" si="24"/>
        <v>3</v>
      </c>
      <c r="Y101" s="253">
        <f>スコア入力!AA101</f>
        <v>0.3</v>
      </c>
      <c r="Z101" s="253">
        <f>スコア入力!AB101</f>
        <v>0.29999999999999993</v>
      </c>
      <c r="AA101" s="254">
        <f t="shared" si="25"/>
        <v>3</v>
      </c>
      <c r="AB101" s="254">
        <f t="shared" si="26"/>
        <v>3</v>
      </c>
      <c r="AC101" s="253">
        <f>スコア入力!AH101</f>
        <v>0</v>
      </c>
      <c r="AD101" s="253">
        <f>スコア入力!AI101</f>
        <v>0</v>
      </c>
      <c r="AE101" s="6"/>
      <c r="AF101" s="602">
        <f>スコア入力!N101</f>
        <v>3</v>
      </c>
      <c r="AG101" s="602">
        <f>スコア入力!P101</f>
        <v>3</v>
      </c>
      <c r="AH101" s="586">
        <f>スコア入力!AC101</f>
        <v>0.3</v>
      </c>
      <c r="AI101" s="586">
        <f>スコア入力!AE101</f>
        <v>0.3</v>
      </c>
      <c r="AJ101" s="602">
        <f>スコア入力!U101</f>
        <v>3</v>
      </c>
      <c r="AK101" s="602">
        <f>スコア入力!W101</f>
        <v>3</v>
      </c>
      <c r="AL101" s="586">
        <f>スコア入力!AJ101</f>
        <v>0</v>
      </c>
      <c r="AM101" s="586">
        <f>スコア入力!AL101</f>
        <v>0</v>
      </c>
      <c r="AN101" s="581"/>
      <c r="AO101" s="581"/>
    </row>
    <row r="102" spans="1:41" ht="14.25" thickBot="1">
      <c r="B102" s="348"/>
      <c r="C102" s="325">
        <v>3.3</v>
      </c>
      <c r="D102" s="343" t="s">
        <v>762</v>
      </c>
      <c r="E102" s="307"/>
      <c r="F102" s="384"/>
      <c r="G102" s="384"/>
      <c r="H102" s="2836"/>
      <c r="I102" s="2837"/>
      <c r="J102" s="2837"/>
      <c r="K102" s="2837"/>
      <c r="L102" s="590">
        <f t="shared" si="19"/>
        <v>3</v>
      </c>
      <c r="M102" s="599">
        <f t="shared" si="20"/>
        <v>3</v>
      </c>
      <c r="N102" s="580">
        <f>スコア入力!AC102</f>
        <v>0.4</v>
      </c>
      <c r="O102" s="580">
        <f>スコア入力!AE102</f>
        <v>0.39999999999999997</v>
      </c>
      <c r="P102" s="599">
        <f t="shared" si="21"/>
        <v>0</v>
      </c>
      <c r="Q102" s="599">
        <f t="shared" si="22"/>
        <v>0</v>
      </c>
      <c r="R102" s="580">
        <f>スコア入力!AJ102</f>
        <v>0</v>
      </c>
      <c r="S102" s="580">
        <f>スコア入力!AL102</f>
        <v>0</v>
      </c>
      <c r="T102" s="581"/>
      <c r="U102" s="581"/>
      <c r="W102" s="570">
        <f t="shared" si="23"/>
        <v>3.0000000000000004</v>
      </c>
      <c r="X102" s="570">
        <f t="shared" si="24"/>
        <v>3.0000000000000004</v>
      </c>
      <c r="Y102" s="253">
        <f>スコア入力!AA102</f>
        <v>0.4</v>
      </c>
      <c r="Z102" s="253">
        <f>スコア入力!AB102</f>
        <v>0.39999999999999986</v>
      </c>
      <c r="AA102" s="570">
        <f t="shared" si="25"/>
        <v>0</v>
      </c>
      <c r="AB102" s="570">
        <f t="shared" si="26"/>
        <v>0</v>
      </c>
      <c r="AC102" s="253">
        <f>スコア入力!AH102</f>
        <v>0</v>
      </c>
      <c r="AD102" s="253">
        <f>スコア入力!AI102</f>
        <v>0</v>
      </c>
      <c r="AE102" s="6"/>
      <c r="AF102" s="599">
        <f>SUMPRODUCT(AF103:AF108,AH103:AH108)</f>
        <v>3.0000000000000004</v>
      </c>
      <c r="AG102" s="599">
        <f>SUMPRODUCT(AG103:AG108,AI103:AI108)</f>
        <v>3.0000000000000004</v>
      </c>
      <c r="AH102" s="580">
        <f>スコア入力!AC102</f>
        <v>0.4</v>
      </c>
      <c r="AI102" s="580">
        <f>スコア入力!AE102</f>
        <v>0.39999999999999997</v>
      </c>
      <c r="AJ102" s="599">
        <f>SUMPRODUCT(AJ103:AJ108,AL103:AL108)</f>
        <v>0</v>
      </c>
      <c r="AK102" s="599">
        <f>SUMPRODUCT(AK103:AK108,AM103:AM108)</f>
        <v>0</v>
      </c>
      <c r="AL102" s="580">
        <f>スコア入力!AJ102</f>
        <v>0</v>
      </c>
      <c r="AM102" s="580">
        <f>スコア入力!AL102</f>
        <v>0</v>
      </c>
      <c r="AN102" s="581"/>
      <c r="AO102" s="581"/>
    </row>
    <row r="103" spans="1:41" ht="13.5">
      <c r="B103" s="348"/>
      <c r="C103" s="347"/>
      <c r="D103" s="314">
        <v>1</v>
      </c>
      <c r="E103" s="334" t="s">
        <v>765</v>
      </c>
      <c r="F103" s="337"/>
      <c r="G103" s="337"/>
      <c r="H103" s="2836"/>
      <c r="I103" s="2837"/>
      <c r="J103" s="2837"/>
      <c r="K103" s="2838"/>
      <c r="L103" s="585">
        <f t="shared" si="19"/>
        <v>3</v>
      </c>
      <c r="M103" s="585">
        <f t="shared" si="20"/>
        <v>3</v>
      </c>
      <c r="N103" s="580">
        <f>スコア入力!AC103</f>
        <v>0.2</v>
      </c>
      <c r="O103" s="580">
        <f>スコア入力!AE103</f>
        <v>0.2</v>
      </c>
      <c r="P103" s="585">
        <f t="shared" si="21"/>
        <v>0</v>
      </c>
      <c r="Q103" s="585">
        <f t="shared" si="22"/>
        <v>0</v>
      </c>
      <c r="R103" s="580">
        <f>スコア入力!AJ103</f>
        <v>0</v>
      </c>
      <c r="S103" s="580">
        <f>スコア入力!AL103</f>
        <v>0</v>
      </c>
      <c r="T103" s="581"/>
      <c r="U103" s="581"/>
      <c r="W103" s="254">
        <f t="shared" si="23"/>
        <v>3</v>
      </c>
      <c r="X103" s="254">
        <f t="shared" si="24"/>
        <v>3</v>
      </c>
      <c r="Y103" s="253">
        <f>スコア入力!AA103</f>
        <v>0.2</v>
      </c>
      <c r="Z103" s="253">
        <f>スコア入力!AB103</f>
        <v>0.2</v>
      </c>
      <c r="AA103" s="254">
        <f t="shared" si="25"/>
        <v>0</v>
      </c>
      <c r="AB103" s="254">
        <f t="shared" si="26"/>
        <v>0</v>
      </c>
      <c r="AC103" s="253">
        <f>スコア入力!AH103</f>
        <v>0</v>
      </c>
      <c r="AD103" s="253">
        <f>スコア入力!AI103</f>
        <v>0</v>
      </c>
      <c r="AE103" s="6"/>
      <c r="AF103" s="587">
        <f>スコア入力!N103</f>
        <v>3</v>
      </c>
      <c r="AG103" s="587">
        <f>スコア入力!P103</f>
        <v>3</v>
      </c>
      <c r="AH103" s="580">
        <f>スコア入力!AC103</f>
        <v>0.2</v>
      </c>
      <c r="AI103" s="580">
        <f>スコア入力!AE103</f>
        <v>0.2</v>
      </c>
      <c r="AJ103" s="587">
        <f>スコア入力!U103</f>
        <v>0</v>
      </c>
      <c r="AK103" s="587">
        <f>スコア入力!W103</f>
        <v>0</v>
      </c>
      <c r="AL103" s="580">
        <f>スコア入力!AJ103</f>
        <v>0</v>
      </c>
      <c r="AM103" s="580">
        <f>スコア入力!AL103</f>
        <v>0</v>
      </c>
      <c r="AN103" s="581"/>
      <c r="AO103" s="581"/>
    </row>
    <row r="104" spans="1:41" ht="13.5">
      <c r="B104" s="348"/>
      <c r="C104" s="347"/>
      <c r="D104" s="403">
        <v>2</v>
      </c>
      <c r="E104" s="307" t="s">
        <v>766</v>
      </c>
      <c r="F104" s="384"/>
      <c r="G104" s="384"/>
      <c r="H104" s="2836"/>
      <c r="I104" s="2837"/>
      <c r="J104" s="2837"/>
      <c r="K104" s="2838"/>
      <c r="L104" s="591">
        <f t="shared" si="19"/>
        <v>3</v>
      </c>
      <c r="M104" s="591">
        <f t="shared" si="20"/>
        <v>3</v>
      </c>
      <c r="N104" s="580">
        <f>スコア入力!AC104</f>
        <v>0.2</v>
      </c>
      <c r="O104" s="580">
        <f>スコア入力!AE104</f>
        <v>0.2</v>
      </c>
      <c r="P104" s="591">
        <f t="shared" si="21"/>
        <v>0</v>
      </c>
      <c r="Q104" s="591">
        <f t="shared" si="22"/>
        <v>0</v>
      </c>
      <c r="R104" s="580">
        <f>スコア入力!AJ104</f>
        <v>0</v>
      </c>
      <c r="S104" s="580">
        <f>スコア入力!AL104</f>
        <v>0</v>
      </c>
      <c r="T104" s="581"/>
      <c r="U104" s="581"/>
      <c r="W104" s="254">
        <f t="shared" si="23"/>
        <v>3</v>
      </c>
      <c r="X104" s="254">
        <f t="shared" si="24"/>
        <v>3</v>
      </c>
      <c r="Y104" s="253">
        <f>スコア入力!AA104</f>
        <v>0.2</v>
      </c>
      <c r="Z104" s="253">
        <f>スコア入力!AB104</f>
        <v>0.2</v>
      </c>
      <c r="AA104" s="254">
        <f t="shared" si="25"/>
        <v>0</v>
      </c>
      <c r="AB104" s="254">
        <f t="shared" si="26"/>
        <v>0</v>
      </c>
      <c r="AC104" s="253">
        <f>スコア入力!AH104</f>
        <v>0</v>
      </c>
      <c r="AD104" s="253">
        <f>スコア入力!AI104</f>
        <v>0</v>
      </c>
      <c r="AE104" s="6"/>
      <c r="AF104" s="427">
        <f>スコア入力!N104</f>
        <v>3</v>
      </c>
      <c r="AG104" s="427">
        <f>スコア入力!P104</f>
        <v>3</v>
      </c>
      <c r="AH104" s="580">
        <f>スコア入力!AC104</f>
        <v>0.2</v>
      </c>
      <c r="AI104" s="580">
        <f>スコア入力!AE104</f>
        <v>0.2</v>
      </c>
      <c r="AJ104" s="427">
        <f>スコア入力!U104</f>
        <v>0</v>
      </c>
      <c r="AK104" s="427">
        <f>スコア入力!W104</f>
        <v>0</v>
      </c>
      <c r="AL104" s="580">
        <f>スコア入力!AJ104</f>
        <v>0</v>
      </c>
      <c r="AM104" s="580">
        <f>スコア入力!AL104</f>
        <v>0</v>
      </c>
      <c r="AN104" s="581"/>
      <c r="AO104" s="581"/>
    </row>
    <row r="105" spans="1:41" ht="13.5">
      <c r="B105" s="348"/>
      <c r="C105" s="347"/>
      <c r="D105" s="314">
        <v>3</v>
      </c>
      <c r="E105" s="334" t="s">
        <v>767</v>
      </c>
      <c r="F105" s="337"/>
      <c r="G105" s="337"/>
      <c r="H105" s="2836"/>
      <c r="I105" s="2837"/>
      <c r="J105" s="2837"/>
      <c r="K105" s="2838"/>
      <c r="L105" s="591">
        <f t="shared" si="19"/>
        <v>3</v>
      </c>
      <c r="M105" s="591">
        <f t="shared" si="20"/>
        <v>3</v>
      </c>
      <c r="N105" s="580">
        <f>スコア入力!AC105</f>
        <v>0.1</v>
      </c>
      <c r="O105" s="580">
        <f>スコア入力!AE105</f>
        <v>0.1</v>
      </c>
      <c r="P105" s="591">
        <f t="shared" si="21"/>
        <v>0</v>
      </c>
      <c r="Q105" s="591">
        <f t="shared" si="22"/>
        <v>0</v>
      </c>
      <c r="R105" s="580">
        <f>スコア入力!AJ105</f>
        <v>0</v>
      </c>
      <c r="S105" s="580">
        <f>スコア入力!AL105</f>
        <v>0</v>
      </c>
      <c r="T105" s="581"/>
      <c r="U105" s="581"/>
      <c r="W105" s="254">
        <f t="shared" si="23"/>
        <v>3</v>
      </c>
      <c r="X105" s="254">
        <f t="shared" si="24"/>
        <v>3</v>
      </c>
      <c r="Y105" s="253">
        <f>スコア入力!AA105</f>
        <v>0.1</v>
      </c>
      <c r="Z105" s="253">
        <f>スコア入力!AB105</f>
        <v>0.1</v>
      </c>
      <c r="AA105" s="254">
        <f t="shared" si="25"/>
        <v>0</v>
      </c>
      <c r="AB105" s="254">
        <f t="shared" si="26"/>
        <v>0</v>
      </c>
      <c r="AC105" s="253">
        <f>スコア入力!AH105</f>
        <v>0</v>
      </c>
      <c r="AD105" s="253">
        <f>スコア入力!AI105</f>
        <v>0</v>
      </c>
      <c r="AE105" s="6"/>
      <c r="AF105" s="427">
        <f>スコア入力!N105</f>
        <v>3</v>
      </c>
      <c r="AG105" s="427">
        <f>スコア入力!P105</f>
        <v>3</v>
      </c>
      <c r="AH105" s="580">
        <f>スコア入力!AC105</f>
        <v>0.1</v>
      </c>
      <c r="AI105" s="580">
        <f>スコア入力!AE105</f>
        <v>0.1</v>
      </c>
      <c r="AJ105" s="427">
        <f>スコア入力!U105</f>
        <v>0</v>
      </c>
      <c r="AK105" s="427">
        <f>スコア入力!W105</f>
        <v>0</v>
      </c>
      <c r="AL105" s="580">
        <f>スコア入力!AJ105</f>
        <v>0</v>
      </c>
      <c r="AM105" s="580">
        <f>スコア入力!AL105</f>
        <v>0</v>
      </c>
      <c r="AN105" s="581"/>
      <c r="AO105" s="581"/>
    </row>
    <row r="106" spans="1:41" ht="13.5">
      <c r="B106" s="348"/>
      <c r="C106" s="347"/>
      <c r="D106" s="403">
        <v>4</v>
      </c>
      <c r="E106" s="307" t="s">
        <v>768</v>
      </c>
      <c r="F106" s="384"/>
      <c r="G106" s="384"/>
      <c r="H106" s="2836"/>
      <c r="I106" s="2837"/>
      <c r="J106" s="2837"/>
      <c r="K106" s="2838"/>
      <c r="L106" s="591">
        <f t="shared" si="19"/>
        <v>3</v>
      </c>
      <c r="M106" s="591">
        <f t="shared" si="20"/>
        <v>3</v>
      </c>
      <c r="N106" s="580">
        <f>スコア入力!AC106</f>
        <v>0.1</v>
      </c>
      <c r="O106" s="580">
        <f>スコア入力!AE106</f>
        <v>0.1</v>
      </c>
      <c r="P106" s="591">
        <f t="shared" si="21"/>
        <v>0</v>
      </c>
      <c r="Q106" s="591">
        <f t="shared" si="22"/>
        <v>0</v>
      </c>
      <c r="R106" s="580">
        <f>スコア入力!AJ106</f>
        <v>0</v>
      </c>
      <c r="S106" s="580">
        <f>スコア入力!AL106</f>
        <v>0</v>
      </c>
      <c r="T106" s="581"/>
      <c r="U106" s="581"/>
      <c r="W106" s="254">
        <f t="shared" si="23"/>
        <v>3</v>
      </c>
      <c r="X106" s="254">
        <f t="shared" si="24"/>
        <v>3</v>
      </c>
      <c r="Y106" s="253">
        <f>スコア入力!AA106</f>
        <v>0.1</v>
      </c>
      <c r="Z106" s="253">
        <f>スコア入力!AB106</f>
        <v>0.1</v>
      </c>
      <c r="AA106" s="254">
        <f t="shared" ref="AA106:AA114" si="27">AJ106</f>
        <v>0</v>
      </c>
      <c r="AB106" s="254">
        <f t="shared" ref="AB106:AB114" si="28">AK106</f>
        <v>0</v>
      </c>
      <c r="AC106" s="253">
        <f>スコア入力!AH106</f>
        <v>0</v>
      </c>
      <c r="AD106" s="253">
        <f>スコア入力!AI106</f>
        <v>0</v>
      </c>
      <c r="AE106" s="6"/>
      <c r="AF106" s="427">
        <f>スコア入力!N106</f>
        <v>3</v>
      </c>
      <c r="AG106" s="427">
        <f>スコア入力!P106</f>
        <v>3</v>
      </c>
      <c r="AH106" s="580">
        <f>スコア入力!AC106</f>
        <v>0.1</v>
      </c>
      <c r="AI106" s="580">
        <f>スコア入力!AE106</f>
        <v>0.1</v>
      </c>
      <c r="AJ106" s="427">
        <f>スコア入力!U106</f>
        <v>0</v>
      </c>
      <c r="AK106" s="427">
        <f>スコア入力!W106</f>
        <v>0</v>
      </c>
      <c r="AL106" s="580">
        <f>スコア入力!AJ106</f>
        <v>0</v>
      </c>
      <c r="AM106" s="580">
        <f>スコア入力!AL106</f>
        <v>0</v>
      </c>
      <c r="AN106" s="581"/>
      <c r="AO106" s="581"/>
    </row>
    <row r="107" spans="1:41" ht="13.5">
      <c r="B107" s="348"/>
      <c r="C107" s="347"/>
      <c r="D107" s="314">
        <v>5</v>
      </c>
      <c r="E107" s="334" t="s">
        <v>769</v>
      </c>
      <c r="F107" s="337"/>
      <c r="G107" s="337"/>
      <c r="H107" s="2836"/>
      <c r="I107" s="2837"/>
      <c r="J107" s="2837"/>
      <c r="K107" s="2838"/>
      <c r="L107" s="591">
        <f t="shared" si="19"/>
        <v>3</v>
      </c>
      <c r="M107" s="591">
        <f t="shared" si="20"/>
        <v>3</v>
      </c>
      <c r="N107" s="580">
        <f>スコア入力!AC107</f>
        <v>0.2</v>
      </c>
      <c r="O107" s="580">
        <f>スコア入力!AE107</f>
        <v>0.2</v>
      </c>
      <c r="P107" s="591">
        <f t="shared" si="21"/>
        <v>0</v>
      </c>
      <c r="Q107" s="591">
        <f t="shared" si="22"/>
        <v>0</v>
      </c>
      <c r="R107" s="580">
        <f>スコア入力!AJ107</f>
        <v>0</v>
      </c>
      <c r="S107" s="580">
        <f>スコア入力!AL107</f>
        <v>0</v>
      </c>
      <c r="T107" s="581"/>
      <c r="U107" s="581"/>
      <c r="W107" s="254">
        <f t="shared" si="23"/>
        <v>3</v>
      </c>
      <c r="X107" s="254">
        <f t="shared" si="24"/>
        <v>3</v>
      </c>
      <c r="Y107" s="253">
        <f>スコア入力!AA107</f>
        <v>0.2</v>
      </c>
      <c r="Z107" s="253">
        <f>スコア入力!AB107</f>
        <v>0.2</v>
      </c>
      <c r="AA107" s="254">
        <f t="shared" si="27"/>
        <v>0</v>
      </c>
      <c r="AB107" s="254">
        <f t="shared" si="28"/>
        <v>0</v>
      </c>
      <c r="AC107" s="253">
        <f>スコア入力!AH107</f>
        <v>0</v>
      </c>
      <c r="AD107" s="253">
        <f>スコア入力!AI107</f>
        <v>0</v>
      </c>
      <c r="AE107" s="6"/>
      <c r="AF107" s="427">
        <f>スコア入力!N107</f>
        <v>3</v>
      </c>
      <c r="AG107" s="427">
        <f>スコア入力!P107</f>
        <v>3</v>
      </c>
      <c r="AH107" s="580">
        <f>スコア入力!AC107</f>
        <v>0.2</v>
      </c>
      <c r="AI107" s="580">
        <f>スコア入力!AE107</f>
        <v>0.2</v>
      </c>
      <c r="AJ107" s="427">
        <f>スコア入力!U107</f>
        <v>0</v>
      </c>
      <c r="AK107" s="427">
        <f>スコア入力!W107</f>
        <v>0</v>
      </c>
      <c r="AL107" s="580">
        <f>スコア入力!AJ107</f>
        <v>0</v>
      </c>
      <c r="AM107" s="580">
        <f>スコア入力!AL107</f>
        <v>0</v>
      </c>
      <c r="AN107" s="581"/>
      <c r="AO107" s="581"/>
    </row>
    <row r="108" spans="1:41" ht="14.25" thickBot="1">
      <c r="B108" s="363"/>
      <c r="C108" s="405"/>
      <c r="D108" s="365">
        <v>6</v>
      </c>
      <c r="E108" s="366" t="s">
        <v>770</v>
      </c>
      <c r="F108" s="604"/>
      <c r="G108" s="604"/>
      <c r="H108" s="2836"/>
      <c r="I108" s="2837"/>
      <c r="J108" s="2837"/>
      <c r="K108" s="2838"/>
      <c r="L108" s="588">
        <f t="shared" si="19"/>
        <v>3</v>
      </c>
      <c r="M108" s="588">
        <f t="shared" si="20"/>
        <v>3</v>
      </c>
      <c r="N108" s="629">
        <f>スコア入力!AC108</f>
        <v>0.2</v>
      </c>
      <c r="O108" s="629">
        <f>スコア入力!AE108</f>
        <v>0.2</v>
      </c>
      <c r="P108" s="588">
        <f t="shared" si="21"/>
        <v>0</v>
      </c>
      <c r="Q108" s="588">
        <f t="shared" si="22"/>
        <v>0</v>
      </c>
      <c r="R108" s="629">
        <f>スコア入力!AJ108</f>
        <v>0</v>
      </c>
      <c r="S108" s="629">
        <f>スコア入力!AL108</f>
        <v>0</v>
      </c>
      <c r="T108" s="606"/>
      <c r="U108" s="606"/>
      <c r="W108" s="254">
        <f t="shared" si="23"/>
        <v>3</v>
      </c>
      <c r="X108" s="254">
        <f t="shared" si="24"/>
        <v>3</v>
      </c>
      <c r="Y108" s="253">
        <f>スコア入力!AA108</f>
        <v>0.2</v>
      </c>
      <c r="Z108" s="253">
        <f>スコア入力!AB108</f>
        <v>0.2</v>
      </c>
      <c r="AA108" s="254">
        <f t="shared" si="27"/>
        <v>0</v>
      </c>
      <c r="AB108" s="254">
        <f t="shared" si="28"/>
        <v>0</v>
      </c>
      <c r="AC108" s="253">
        <f>スコア入力!AH108</f>
        <v>0</v>
      </c>
      <c r="AD108" s="253">
        <f>スコア入力!AI108</f>
        <v>0</v>
      </c>
      <c r="AE108" s="6"/>
      <c r="AF108" s="589">
        <f>スコア入力!N108</f>
        <v>3</v>
      </c>
      <c r="AG108" s="589">
        <f>スコア入力!P108</f>
        <v>3</v>
      </c>
      <c r="AH108" s="629">
        <f>スコア入力!AC108</f>
        <v>0.2</v>
      </c>
      <c r="AI108" s="629">
        <f>スコア入力!AE108</f>
        <v>0.2</v>
      </c>
      <c r="AJ108" s="589">
        <f>スコア入力!U108</f>
        <v>0</v>
      </c>
      <c r="AK108" s="589">
        <f>スコア入力!W108</f>
        <v>0</v>
      </c>
      <c r="AL108" s="629">
        <f>スコア入力!AJ108</f>
        <v>0</v>
      </c>
      <c r="AM108" s="629">
        <f>スコア入力!AL108</f>
        <v>0</v>
      </c>
      <c r="AN108" s="606"/>
      <c r="AO108" s="606"/>
    </row>
    <row r="109" spans="1:41" ht="15.75" thickBot="1">
      <c r="A109" s="408"/>
      <c r="B109" s="369" t="s">
        <v>771</v>
      </c>
      <c r="C109" s="409"/>
      <c r="D109" s="409" t="s">
        <v>772</v>
      </c>
      <c r="E109" s="409"/>
      <c r="F109" s="630"/>
      <c r="G109" s="630"/>
      <c r="H109" s="2852"/>
      <c r="I109" s="2853"/>
      <c r="J109" s="2853"/>
      <c r="K109" s="2854"/>
      <c r="L109" s="631"/>
      <c r="M109" s="631"/>
      <c r="N109" s="573">
        <f>スコア入力!AC109</f>
        <v>0.3</v>
      </c>
      <c r="O109" s="573">
        <f>スコア入力!AE109</f>
        <v>0.3</v>
      </c>
      <c r="P109" s="631"/>
      <c r="Q109" s="631"/>
      <c r="R109" s="573"/>
      <c r="S109" s="573"/>
      <c r="T109" s="609">
        <f t="shared" ref="T109:U112" si="29">ROUNDDOWN(AN109,1)</f>
        <v>3</v>
      </c>
      <c r="U109" s="609">
        <f t="shared" si="29"/>
        <v>3</v>
      </c>
      <c r="W109" s="570">
        <f>$AO109</f>
        <v>2.9999999999999996</v>
      </c>
      <c r="X109" s="570">
        <f>$AO109</f>
        <v>2.9999999999999996</v>
      </c>
      <c r="Y109" s="253">
        <f>スコア入力!AA109</f>
        <v>0.3</v>
      </c>
      <c r="Z109" s="253">
        <f>スコア入力!AB109</f>
        <v>0.3</v>
      </c>
      <c r="AA109" s="570">
        <f t="shared" si="27"/>
        <v>0</v>
      </c>
      <c r="AB109" s="570">
        <f t="shared" si="28"/>
        <v>0</v>
      </c>
      <c r="AC109" s="253">
        <f>スコア入力!AH109</f>
        <v>0</v>
      </c>
      <c r="AD109" s="253">
        <f>スコア入力!AI109</f>
        <v>0</v>
      </c>
      <c r="AE109" s="6"/>
      <c r="AF109" s="631"/>
      <c r="AG109" s="631"/>
      <c r="AH109" s="573">
        <f>スコア入力!AC109</f>
        <v>0.3</v>
      </c>
      <c r="AI109" s="573">
        <f>スコア入力!AE109</f>
        <v>0.3</v>
      </c>
      <c r="AJ109" s="631"/>
      <c r="AK109" s="631"/>
      <c r="AL109" s="573">
        <f>スコア入力!AJ109</f>
        <v>0</v>
      </c>
      <c r="AM109" s="573">
        <f>スコア入力!AL109</f>
        <v>0</v>
      </c>
      <c r="AN109" s="609">
        <f>AN110*AH110+AN111*AH111+AN112*AH112</f>
        <v>3</v>
      </c>
      <c r="AO109" s="609">
        <f>AO110*AI110+AO111*AI111+AO112*AI112</f>
        <v>2.9999999999999996</v>
      </c>
    </row>
    <row r="110" spans="1:41" ht="13.5">
      <c r="A110" s="408"/>
      <c r="B110" s="293">
        <v>1</v>
      </c>
      <c r="C110" s="377" t="s">
        <v>773</v>
      </c>
      <c r="D110" s="84"/>
      <c r="E110" s="84"/>
      <c r="F110" s="579"/>
      <c r="G110" s="579"/>
      <c r="H110" s="2855"/>
      <c r="I110" s="2856"/>
      <c r="J110" s="2856"/>
      <c r="K110" s="2864"/>
      <c r="L110" s="460">
        <f t="shared" ref="L110:M115" si="30">IF(Y110=0,0,ROUNDDOWN(AF110,1))</f>
        <v>3</v>
      </c>
      <c r="M110" s="460">
        <f t="shared" si="30"/>
        <v>3</v>
      </c>
      <c r="N110" s="580">
        <f>スコア入力!AC110</f>
        <v>0.3</v>
      </c>
      <c r="O110" s="580">
        <f>スコア入力!AE110</f>
        <v>0.3</v>
      </c>
      <c r="P110" s="460">
        <f t="shared" ref="P110:Q115" si="31">IF(AC110=0,0,ROUNDDOWN(AJ110,1))</f>
        <v>0</v>
      </c>
      <c r="Q110" s="460">
        <f t="shared" si="31"/>
        <v>0</v>
      </c>
      <c r="R110" s="580">
        <f>スコア入力!AJ110</f>
        <v>0</v>
      </c>
      <c r="S110" s="580">
        <f>スコア入力!AL110</f>
        <v>0</v>
      </c>
      <c r="T110" s="581">
        <f t="shared" si="29"/>
        <v>3</v>
      </c>
      <c r="U110" s="581">
        <f t="shared" si="29"/>
        <v>3</v>
      </c>
      <c r="W110" s="254">
        <f t="shared" ref="W110:X114" si="32">AF110</f>
        <v>3</v>
      </c>
      <c r="X110" s="254">
        <f t="shared" si="32"/>
        <v>3</v>
      </c>
      <c r="Y110" s="253">
        <f>スコア入力!AA110</f>
        <v>0.3</v>
      </c>
      <c r="Z110" s="253">
        <f>スコア入力!AB110</f>
        <v>0.3</v>
      </c>
      <c r="AA110" s="254">
        <f t="shared" si="27"/>
        <v>0</v>
      </c>
      <c r="AB110" s="254">
        <f t="shared" si="28"/>
        <v>0</v>
      </c>
      <c r="AC110" s="253">
        <f>スコア入力!AH110</f>
        <v>0</v>
      </c>
      <c r="AD110" s="253">
        <f>スコア入力!AI110</f>
        <v>0</v>
      </c>
      <c r="AE110" s="6"/>
      <c r="AF110" s="632">
        <f>スコア入力!N110</f>
        <v>3</v>
      </c>
      <c r="AG110" s="632">
        <f>スコア入力!P110</f>
        <v>3</v>
      </c>
      <c r="AH110" s="580">
        <f>スコア入力!AC110</f>
        <v>0.3</v>
      </c>
      <c r="AI110" s="580">
        <f>スコア入力!AE110</f>
        <v>0.3</v>
      </c>
      <c r="AJ110" s="632">
        <f>スコア入力!U110</f>
        <v>0</v>
      </c>
      <c r="AK110" s="632">
        <f>スコア入力!W110</f>
        <v>0</v>
      </c>
      <c r="AL110" s="580">
        <f>スコア入力!AJ110</f>
        <v>0</v>
      </c>
      <c r="AM110" s="580">
        <f>スコア入力!AL110</f>
        <v>0</v>
      </c>
      <c r="AN110" s="581">
        <f t="shared" ref="AN110:AO112" si="33">IF(AJ110=0,AF110,IF(AF110=0,AJ110,AF110*AH$6+AJ110*AL$6))</f>
        <v>3</v>
      </c>
      <c r="AO110" s="581">
        <f t="shared" si="33"/>
        <v>3</v>
      </c>
    </row>
    <row r="111" spans="1:41" ht="14.25" thickBot="1">
      <c r="A111" s="408"/>
      <c r="B111" s="413">
        <v>2</v>
      </c>
      <c r="C111" s="414" t="s">
        <v>774</v>
      </c>
      <c r="D111" s="334"/>
      <c r="E111" s="334"/>
      <c r="F111" s="337"/>
      <c r="G111" s="337"/>
      <c r="H111" s="2855"/>
      <c r="I111" s="2856"/>
      <c r="J111" s="2856"/>
      <c r="K111" s="2864"/>
      <c r="L111" s="487">
        <f t="shared" si="30"/>
        <v>3</v>
      </c>
      <c r="M111" s="487">
        <f t="shared" si="30"/>
        <v>3</v>
      </c>
      <c r="N111" s="594">
        <f>スコア入力!AC111</f>
        <v>0.4</v>
      </c>
      <c r="O111" s="594">
        <f>スコア入力!AE111</f>
        <v>0.39999999999999997</v>
      </c>
      <c r="P111" s="487">
        <f t="shared" si="31"/>
        <v>0</v>
      </c>
      <c r="Q111" s="487">
        <f t="shared" si="31"/>
        <v>0</v>
      </c>
      <c r="R111" s="594">
        <f>スコア入力!AJ111</f>
        <v>0</v>
      </c>
      <c r="S111" s="594">
        <f>スコア入力!AL111</f>
        <v>0</v>
      </c>
      <c r="T111" s="596">
        <f t="shared" si="29"/>
        <v>3</v>
      </c>
      <c r="U111" s="596">
        <f t="shared" si="29"/>
        <v>3</v>
      </c>
      <c r="W111" s="254">
        <f t="shared" si="32"/>
        <v>3</v>
      </c>
      <c r="X111" s="254">
        <f t="shared" si="32"/>
        <v>3</v>
      </c>
      <c r="Y111" s="253">
        <f>スコア入力!AA111</f>
        <v>0.4</v>
      </c>
      <c r="Z111" s="253">
        <f>スコア入力!AB111</f>
        <v>0.39999999999999997</v>
      </c>
      <c r="AA111" s="254">
        <f t="shared" si="27"/>
        <v>0</v>
      </c>
      <c r="AB111" s="254">
        <f t="shared" si="28"/>
        <v>0</v>
      </c>
      <c r="AC111" s="253">
        <f>スコア入力!AH111</f>
        <v>0</v>
      </c>
      <c r="AD111" s="253">
        <f>スコア入力!AI111</f>
        <v>0</v>
      </c>
      <c r="AE111" s="6"/>
      <c r="AF111" s="633">
        <f>スコア入力!N111</f>
        <v>3</v>
      </c>
      <c r="AG111" s="633">
        <f>スコア入力!P111</f>
        <v>3</v>
      </c>
      <c r="AH111" s="594">
        <f>スコア入力!AC111</f>
        <v>0.4</v>
      </c>
      <c r="AI111" s="594">
        <f>スコア入力!AE111</f>
        <v>0.39999999999999997</v>
      </c>
      <c r="AJ111" s="633">
        <f>スコア入力!U111</f>
        <v>0</v>
      </c>
      <c r="AK111" s="633">
        <f>スコア入力!W111</f>
        <v>0</v>
      </c>
      <c r="AL111" s="594">
        <f>スコア入力!AJ111</f>
        <v>0</v>
      </c>
      <c r="AM111" s="594">
        <f>スコア入力!AL111</f>
        <v>0</v>
      </c>
      <c r="AN111" s="596">
        <f t="shared" si="33"/>
        <v>3</v>
      </c>
      <c r="AO111" s="596">
        <f t="shared" si="33"/>
        <v>3</v>
      </c>
    </row>
    <row r="112" spans="1:41" ht="14.25" thickBot="1">
      <c r="A112" s="408"/>
      <c r="B112" s="400">
        <v>3</v>
      </c>
      <c r="C112" s="415" t="s">
        <v>775</v>
      </c>
      <c r="D112" s="308"/>
      <c r="E112" s="308"/>
      <c r="F112" s="603"/>
      <c r="G112" s="603"/>
      <c r="H112" s="2855"/>
      <c r="I112" s="2856"/>
      <c r="J112" s="2856"/>
      <c r="K112" s="2857"/>
      <c r="L112" s="590">
        <f t="shared" si="30"/>
        <v>3</v>
      </c>
      <c r="M112" s="599">
        <f t="shared" si="30"/>
        <v>3</v>
      </c>
      <c r="N112" s="594">
        <f>スコア入力!AC112</f>
        <v>0.3</v>
      </c>
      <c r="O112" s="594">
        <f>スコア入力!AE112</f>
        <v>0.3</v>
      </c>
      <c r="P112" s="599">
        <f t="shared" si="31"/>
        <v>0</v>
      </c>
      <c r="Q112" s="599">
        <f t="shared" si="31"/>
        <v>0</v>
      </c>
      <c r="R112" s="594">
        <f>スコア入力!AJ112</f>
        <v>0</v>
      </c>
      <c r="S112" s="594">
        <f>スコア入力!AL112</f>
        <v>0</v>
      </c>
      <c r="T112" s="596">
        <f t="shared" si="29"/>
        <v>3</v>
      </c>
      <c r="U112" s="596">
        <f t="shared" si="29"/>
        <v>3</v>
      </c>
      <c r="W112" s="570">
        <f t="shared" si="32"/>
        <v>3</v>
      </c>
      <c r="X112" s="570">
        <f t="shared" si="32"/>
        <v>3</v>
      </c>
      <c r="Y112" s="253">
        <f>スコア入力!AA112</f>
        <v>0.3</v>
      </c>
      <c r="Z112" s="253">
        <f>スコア入力!AB112</f>
        <v>0.3</v>
      </c>
      <c r="AA112" s="570">
        <f t="shared" si="27"/>
        <v>0</v>
      </c>
      <c r="AB112" s="570">
        <f t="shared" si="28"/>
        <v>0</v>
      </c>
      <c r="AC112" s="253">
        <f>スコア入力!AH112</f>
        <v>0</v>
      </c>
      <c r="AD112" s="253">
        <f>スコア入力!AI112</f>
        <v>0</v>
      </c>
      <c r="AE112" s="6"/>
      <c r="AF112" s="599">
        <f>AF113*AH113+AF114*AH114</f>
        <v>3</v>
      </c>
      <c r="AG112" s="599">
        <f>AG113*AI113+AG114*AI114</f>
        <v>3</v>
      </c>
      <c r="AH112" s="594">
        <f>スコア入力!AC112</f>
        <v>0.3</v>
      </c>
      <c r="AI112" s="594">
        <f>スコア入力!AE112</f>
        <v>0.3</v>
      </c>
      <c r="AJ112" s="599">
        <f>AJ113*AL113+AJ114*AL114</f>
        <v>0</v>
      </c>
      <c r="AK112" s="599">
        <f>AK113*AM113+AK114*AM114</f>
        <v>0</v>
      </c>
      <c r="AL112" s="594">
        <f>スコア入力!AJ112</f>
        <v>0</v>
      </c>
      <c r="AM112" s="594">
        <f>スコア入力!AL112</f>
        <v>0</v>
      </c>
      <c r="AN112" s="596">
        <f t="shared" si="33"/>
        <v>3</v>
      </c>
      <c r="AO112" s="596">
        <f t="shared" si="33"/>
        <v>3</v>
      </c>
    </row>
    <row r="113" spans="1:41" ht="13.5">
      <c r="A113" s="408"/>
      <c r="B113" s="293"/>
      <c r="C113" s="416">
        <v>3.1</v>
      </c>
      <c r="D113" s="417" t="s">
        <v>778</v>
      </c>
      <c r="E113" s="418"/>
      <c r="F113" s="603"/>
      <c r="G113" s="603"/>
      <c r="H113" s="2836"/>
      <c r="I113" s="2837"/>
      <c r="J113" s="2837"/>
      <c r="K113" s="2838"/>
      <c r="L113" s="460">
        <f t="shared" si="30"/>
        <v>3</v>
      </c>
      <c r="M113" s="460">
        <f t="shared" si="30"/>
        <v>3</v>
      </c>
      <c r="N113" s="580">
        <f>スコア入力!AC113</f>
        <v>0.5</v>
      </c>
      <c r="O113" s="580">
        <f>スコア入力!AE113</f>
        <v>0.5</v>
      </c>
      <c r="P113" s="460">
        <f t="shared" si="31"/>
        <v>0</v>
      </c>
      <c r="Q113" s="460">
        <f t="shared" si="31"/>
        <v>0</v>
      </c>
      <c r="R113" s="580">
        <f>スコア入力!AJ113</f>
        <v>0</v>
      </c>
      <c r="S113" s="580">
        <f>スコア入力!AL113</f>
        <v>0</v>
      </c>
      <c r="T113" s="581"/>
      <c r="U113" s="581"/>
      <c r="W113" s="254">
        <f t="shared" si="32"/>
        <v>3</v>
      </c>
      <c r="X113" s="254">
        <f t="shared" si="32"/>
        <v>3</v>
      </c>
      <c r="Y113" s="253">
        <f>スコア入力!AA113</f>
        <v>0.5</v>
      </c>
      <c r="Z113" s="253">
        <f>スコア入力!AB113</f>
        <v>0.5</v>
      </c>
      <c r="AA113" s="254">
        <f t="shared" si="27"/>
        <v>0</v>
      </c>
      <c r="AB113" s="254">
        <f t="shared" si="28"/>
        <v>0</v>
      </c>
      <c r="AC113" s="253">
        <f>スコア入力!AH113</f>
        <v>0</v>
      </c>
      <c r="AD113" s="253">
        <f>スコア入力!AI113</f>
        <v>0</v>
      </c>
      <c r="AE113" s="6"/>
      <c r="AF113" s="632">
        <f>スコア入力!N113</f>
        <v>3</v>
      </c>
      <c r="AG113" s="632">
        <f>スコア入力!P113</f>
        <v>3</v>
      </c>
      <c r="AH113" s="580">
        <f>スコア入力!AC113</f>
        <v>0.5</v>
      </c>
      <c r="AI113" s="580">
        <f>スコア入力!AE113</f>
        <v>0.5</v>
      </c>
      <c r="AJ113" s="632">
        <f>スコア入力!U113</f>
        <v>0</v>
      </c>
      <c r="AK113" s="632">
        <f>スコア入力!W113</f>
        <v>0</v>
      </c>
      <c r="AL113" s="580">
        <f>スコア入力!AJ113</f>
        <v>0</v>
      </c>
      <c r="AM113" s="580">
        <f>スコア入力!AL113</f>
        <v>0</v>
      </c>
      <c r="AN113" s="581"/>
      <c r="AO113" s="581"/>
    </row>
    <row r="114" spans="1:41" ht="14.25" thickBot="1">
      <c r="A114" s="408"/>
      <c r="B114" s="634"/>
      <c r="C114" s="419">
        <v>3.2</v>
      </c>
      <c r="D114" s="404" t="s">
        <v>779</v>
      </c>
      <c r="E114" s="420"/>
      <c r="F114" s="337"/>
      <c r="G114" s="337"/>
      <c r="H114" s="2836"/>
      <c r="I114" s="2837"/>
      <c r="J114" s="2837"/>
      <c r="K114" s="2838"/>
      <c r="L114" s="462">
        <f t="shared" si="30"/>
        <v>3</v>
      </c>
      <c r="M114" s="462">
        <f t="shared" si="30"/>
        <v>3</v>
      </c>
      <c r="N114" s="635">
        <f>スコア入力!AC114</f>
        <v>0.5</v>
      </c>
      <c r="O114" s="636">
        <f>スコア入力!AE114</f>
        <v>0.5</v>
      </c>
      <c r="P114" s="462">
        <f t="shared" si="31"/>
        <v>0</v>
      </c>
      <c r="Q114" s="462">
        <f t="shared" si="31"/>
        <v>0</v>
      </c>
      <c r="R114" s="635">
        <f>スコア入力!AJ114</f>
        <v>0</v>
      </c>
      <c r="S114" s="611">
        <f>スコア入力!AL114</f>
        <v>0</v>
      </c>
      <c r="T114" s="612"/>
      <c r="U114" s="612"/>
      <c r="W114" s="254">
        <f t="shared" si="32"/>
        <v>3</v>
      </c>
      <c r="X114" s="254">
        <f t="shared" si="32"/>
        <v>3</v>
      </c>
      <c r="Y114" s="253">
        <f>スコア入力!AA114</f>
        <v>0.5</v>
      </c>
      <c r="Z114" s="253">
        <f>スコア入力!AB114</f>
        <v>0.5</v>
      </c>
      <c r="AA114" s="254">
        <f t="shared" si="27"/>
        <v>0</v>
      </c>
      <c r="AB114" s="254">
        <f t="shared" si="28"/>
        <v>0</v>
      </c>
      <c r="AC114" s="253">
        <f>スコア入力!AH114</f>
        <v>0</v>
      </c>
      <c r="AD114" s="253">
        <f>スコア入力!AI114</f>
        <v>0</v>
      </c>
      <c r="AE114" s="6"/>
      <c r="AF114" s="602">
        <f>スコア入力!N114</f>
        <v>3</v>
      </c>
      <c r="AG114" s="602">
        <f>スコア入力!P114</f>
        <v>3</v>
      </c>
      <c r="AH114" s="580">
        <f>スコア入力!AC114</f>
        <v>0.5</v>
      </c>
      <c r="AI114" s="580">
        <f>スコア入力!AE114</f>
        <v>0.5</v>
      </c>
      <c r="AJ114" s="602">
        <f>スコア入力!U114</f>
        <v>0</v>
      </c>
      <c r="AK114" s="602">
        <f>スコア入力!W114</f>
        <v>0</v>
      </c>
      <c r="AL114" s="580">
        <f>スコア入力!AJ114</f>
        <v>0</v>
      </c>
      <c r="AM114" s="580">
        <f>スコア入力!AL114</f>
        <v>0</v>
      </c>
      <c r="AN114" s="581"/>
      <c r="AO114" s="581"/>
    </row>
    <row r="115" spans="1:41" ht="14.25" hidden="1" thickBot="1">
      <c r="A115" s="408"/>
      <c r="B115" s="1796"/>
      <c r="C115" s="1797"/>
      <c r="D115" s="1798"/>
      <c r="E115" s="1799"/>
      <c r="F115" s="637"/>
      <c r="G115" s="637"/>
      <c r="H115" s="2858"/>
      <c r="I115" s="2859"/>
      <c r="J115" s="2859"/>
      <c r="K115" s="2860"/>
      <c r="L115" s="622">
        <f t="shared" si="30"/>
        <v>0</v>
      </c>
      <c r="M115" s="622">
        <f t="shared" si="30"/>
        <v>0</v>
      </c>
      <c r="N115" s="638">
        <f>スコア入力!AC115</f>
        <v>0</v>
      </c>
      <c r="O115" s="638">
        <f>スコア入力!AE115</f>
        <v>0</v>
      </c>
      <c r="P115" s="622">
        <f t="shared" si="31"/>
        <v>0</v>
      </c>
      <c r="Q115" s="622">
        <f t="shared" si="31"/>
        <v>0</v>
      </c>
      <c r="R115" s="638">
        <f>スコア入力!AJ115</f>
        <v>0</v>
      </c>
      <c r="S115" s="638">
        <f>スコア入力!AL115</f>
        <v>0</v>
      </c>
      <c r="T115" s="625"/>
      <c r="U115" s="625"/>
      <c r="W115" s="626"/>
      <c r="X115" s="626"/>
      <c r="Y115" s="253">
        <f>スコア入力!AA115</f>
        <v>0</v>
      </c>
      <c r="Z115" s="253">
        <f>スコア入力!AB115</f>
        <v>0</v>
      </c>
      <c r="AA115" s="626"/>
      <c r="AB115" s="626"/>
      <c r="AC115" s="253">
        <f>スコア入力!AH115</f>
        <v>0</v>
      </c>
      <c r="AD115" s="253">
        <f>スコア入力!AI115</f>
        <v>0</v>
      </c>
      <c r="AE115" s="6"/>
      <c r="AF115" s="627"/>
      <c r="AG115" s="627"/>
      <c r="AH115" s="638">
        <f>スコア入力!AC115</f>
        <v>0</v>
      </c>
      <c r="AI115" s="638">
        <f>スコア入力!AE115</f>
        <v>0</v>
      </c>
      <c r="AJ115" s="627"/>
      <c r="AK115" s="627"/>
      <c r="AL115" s="638">
        <f>スコア入力!AJ115</f>
        <v>0</v>
      </c>
      <c r="AM115" s="638">
        <f>スコア入力!AL115</f>
        <v>0</v>
      </c>
      <c r="AN115" s="625"/>
      <c r="AO115" s="625"/>
    </row>
    <row r="116" spans="1:41" ht="16.5" thickBot="1">
      <c r="A116" s="408"/>
      <c r="B116" s="428" t="s">
        <v>780</v>
      </c>
      <c r="C116" s="429"/>
      <c r="D116" s="429"/>
      <c r="E116" s="429"/>
      <c r="F116" s="429"/>
      <c r="G116" s="429"/>
      <c r="H116" s="2861"/>
      <c r="I116" s="2862"/>
      <c r="J116" s="2862"/>
      <c r="K116" s="2863"/>
      <c r="L116" s="639"/>
      <c r="M116" s="640"/>
      <c r="N116" s="641"/>
      <c r="O116" s="641"/>
      <c r="P116" s="642"/>
      <c r="Q116" s="642"/>
      <c r="R116" s="641"/>
      <c r="S116" s="641"/>
      <c r="T116" s="643">
        <f t="shared" ref="T116:U118" si="34">ROUNDDOWN(AN116,1)</f>
        <v>3.1</v>
      </c>
      <c r="U116" s="643">
        <f t="shared" si="34"/>
        <v>3.3</v>
      </c>
      <c r="W116" s="570">
        <f>$AO116</f>
        <v>3.3099999999999996</v>
      </c>
      <c r="X116" s="570">
        <f>$AO116</f>
        <v>3.3099999999999996</v>
      </c>
      <c r="Y116" s="253">
        <f>スコア入力!AA116</f>
        <v>0</v>
      </c>
      <c r="Z116" s="253">
        <f>スコア入力!AB116</f>
        <v>0</v>
      </c>
      <c r="AA116" s="570">
        <f t="shared" ref="AA116:AA151" si="35">AJ116</f>
        <v>0</v>
      </c>
      <c r="AB116" s="570">
        <f t="shared" ref="AB116:AB151" si="36">AK116</f>
        <v>0</v>
      </c>
      <c r="AC116" s="253">
        <f>スコア入力!AH116</f>
        <v>0</v>
      </c>
      <c r="AD116" s="253">
        <f>スコア入力!AI116</f>
        <v>0</v>
      </c>
      <c r="AE116" s="6"/>
      <c r="AF116" s="644"/>
      <c r="AG116" s="640"/>
      <c r="AH116" s="641">
        <f>スコア入力!AC116</f>
        <v>0</v>
      </c>
      <c r="AI116" s="641">
        <f>スコア入力!AE116</f>
        <v>0</v>
      </c>
      <c r="AJ116" s="644"/>
      <c r="AK116" s="640"/>
      <c r="AL116" s="641">
        <f>スコア入力!AJ116</f>
        <v>0</v>
      </c>
      <c r="AM116" s="641">
        <f>スコア入力!AL116</f>
        <v>0</v>
      </c>
      <c r="AN116" s="643">
        <f>AH117*AN117+AH140*AN140+AH159*AN159</f>
        <v>3.1100000000000003</v>
      </c>
      <c r="AO116" s="643">
        <f>AI117*AO117+AI140*AO140+AI159*AO159</f>
        <v>3.3099999999999996</v>
      </c>
    </row>
    <row r="117" spans="1:41" ht="15.75" thickBot="1">
      <c r="A117" s="408"/>
      <c r="B117" s="434" t="s">
        <v>781</v>
      </c>
      <c r="C117" s="284"/>
      <c r="D117" s="284" t="s">
        <v>782</v>
      </c>
      <c r="E117" s="284"/>
      <c r="F117" s="645"/>
      <c r="G117" s="645"/>
      <c r="H117" s="2876"/>
      <c r="I117" s="2877"/>
      <c r="J117" s="2877"/>
      <c r="K117" s="2878"/>
      <c r="L117" s="646"/>
      <c r="M117" s="574"/>
      <c r="N117" s="573">
        <f>スコア入力!AC117</f>
        <v>0.4</v>
      </c>
      <c r="O117" s="573">
        <f>スコア入力!AE117</f>
        <v>0.39999999999999997</v>
      </c>
      <c r="P117" s="647"/>
      <c r="Q117" s="647"/>
      <c r="R117" s="573"/>
      <c r="S117" s="573"/>
      <c r="T117" s="575">
        <f t="shared" si="34"/>
        <v>3.2</v>
      </c>
      <c r="U117" s="575">
        <f t="shared" si="34"/>
        <v>3.7</v>
      </c>
      <c r="W117" s="570">
        <f>$AO117</f>
        <v>3.6999999999999997</v>
      </c>
      <c r="X117" s="570">
        <f>$AO117</f>
        <v>3.6999999999999997</v>
      </c>
      <c r="Y117" s="253">
        <f>スコア入力!AA117</f>
        <v>0.4</v>
      </c>
      <c r="Z117" s="253">
        <f>スコア入力!AB117</f>
        <v>0.39999999999999997</v>
      </c>
      <c r="AA117" s="570">
        <f t="shared" si="35"/>
        <v>0</v>
      </c>
      <c r="AB117" s="570">
        <f t="shared" si="36"/>
        <v>0</v>
      </c>
      <c r="AC117" s="253">
        <f>スコア入力!AH117</f>
        <v>0</v>
      </c>
      <c r="AD117" s="253">
        <f>スコア入力!AI117</f>
        <v>0</v>
      </c>
      <c r="AE117" s="6"/>
      <c r="AF117" s="291"/>
      <c r="AG117" s="574"/>
      <c r="AH117" s="573">
        <f>スコア入力!AC117</f>
        <v>0.4</v>
      </c>
      <c r="AI117" s="573">
        <f>スコア入力!AE117</f>
        <v>0.39999999999999997</v>
      </c>
      <c r="AJ117" s="291"/>
      <c r="AK117" s="574"/>
      <c r="AL117" s="573">
        <f>スコア入力!AJ117</f>
        <v>0</v>
      </c>
      <c r="AM117" s="573">
        <f>スコア入力!AL117</f>
        <v>0</v>
      </c>
      <c r="AN117" s="575">
        <f>AN118*AH118+AN119*AH119+AN124*AH124+AN133*AH133</f>
        <v>3.2</v>
      </c>
      <c r="AO117" s="575">
        <f>AO118*AI118+AO119*AI119+AO124*AI124+AO133*AI133</f>
        <v>3.6999999999999997</v>
      </c>
    </row>
    <row r="118" spans="1:41" ht="14.25" thickBot="1">
      <c r="A118" s="408"/>
      <c r="B118" s="293">
        <v>1</v>
      </c>
      <c r="C118" s="295" t="s">
        <v>1570</v>
      </c>
      <c r="D118" s="295"/>
      <c r="E118" s="295"/>
      <c r="F118" s="648"/>
      <c r="G118" s="648"/>
      <c r="H118" s="2855"/>
      <c r="I118" s="2856"/>
      <c r="J118" s="2856"/>
      <c r="K118" s="2864"/>
      <c r="L118" s="460">
        <f t="shared" ref="L118" si="37">IF(Y118=0,0,ROUNDDOWN(AF118,1))</f>
        <v>4</v>
      </c>
      <c r="M118" s="460">
        <f t="shared" ref="M118:M119" si="38">IF(Z118=0,0,ROUNDDOWN(AG118,1))</f>
        <v>4</v>
      </c>
      <c r="N118" s="580">
        <f>スコア入力!AC118</f>
        <v>0.2</v>
      </c>
      <c r="O118" s="580">
        <f>スコア入力!AE118</f>
        <v>0.19999999999999998</v>
      </c>
      <c r="P118" s="460">
        <f t="shared" ref="P118:P119" si="39">IF(AC118=0,0,ROUNDDOWN(AJ118,1))</f>
        <v>0</v>
      </c>
      <c r="Q118" s="460">
        <f t="shared" ref="Q118:Q119" si="40">IF(AD118=0,0,ROUNDDOWN(AK118,1))</f>
        <v>0</v>
      </c>
      <c r="R118" s="580">
        <f>スコア入力!AJ118</f>
        <v>0</v>
      </c>
      <c r="S118" s="580">
        <f>スコア入力!AL118</f>
        <v>0</v>
      </c>
      <c r="T118" s="581">
        <f t="shared" si="34"/>
        <v>4</v>
      </c>
      <c r="U118" s="581">
        <f t="shared" si="34"/>
        <v>4</v>
      </c>
      <c r="W118" s="254">
        <f t="shared" ref="W118:W137" si="41">AF118</f>
        <v>4</v>
      </c>
      <c r="X118" s="254">
        <f t="shared" ref="X118:X137" si="42">AG118</f>
        <v>4</v>
      </c>
      <c r="Y118" s="253">
        <f>スコア入力!AA118</f>
        <v>0.2</v>
      </c>
      <c r="Z118" s="253">
        <f>スコア入力!AB118</f>
        <v>0.19999999999999998</v>
      </c>
      <c r="AA118" s="254">
        <f t="shared" si="35"/>
        <v>0</v>
      </c>
      <c r="AB118" s="254">
        <f t="shared" si="36"/>
        <v>0</v>
      </c>
      <c r="AC118" s="253">
        <f>スコア入力!AH118</f>
        <v>0</v>
      </c>
      <c r="AD118" s="253">
        <f>スコア入力!AI118</f>
        <v>0</v>
      </c>
      <c r="AE118" s="6"/>
      <c r="AF118" s="664">
        <f>IF(スコア入力!L118="",計画書_前!I17,#REF!)</f>
        <v>4</v>
      </c>
      <c r="AG118" s="664">
        <f>IF(スコア入力!L118="",計画書_後!I17,#REF!)</f>
        <v>4</v>
      </c>
      <c r="AH118" s="580">
        <f>スコア入力!AC118</f>
        <v>0.2</v>
      </c>
      <c r="AI118" s="580">
        <f>スコア入力!AE118</f>
        <v>0.19999999999999998</v>
      </c>
      <c r="AJ118" s="633">
        <f>スコア入力!U118</f>
        <v>0</v>
      </c>
      <c r="AK118" s="633">
        <f>スコア入力!W118</f>
        <v>0</v>
      </c>
      <c r="AL118" s="580">
        <f>スコア入力!AJ118</f>
        <v>0</v>
      </c>
      <c r="AM118" s="580">
        <f>スコア入力!AL118</f>
        <v>0</v>
      </c>
      <c r="AN118" s="581">
        <f>IF(AJ118=0,AF118,AF118*AH$6+AJ118*AL$6)</f>
        <v>4</v>
      </c>
      <c r="AO118" s="581">
        <f>IF(AK118=0,AG118,AG118*AI$6+AK118*AM$6)</f>
        <v>4</v>
      </c>
    </row>
    <row r="119" spans="1:41" ht="14.25" thickBot="1">
      <c r="A119" s="408"/>
      <c r="B119" s="445">
        <v>2</v>
      </c>
      <c r="C119" s="336" t="s">
        <v>783</v>
      </c>
      <c r="D119" s="336"/>
      <c r="E119" s="336"/>
      <c r="F119" s="649"/>
      <c r="G119" s="649"/>
      <c r="H119" s="2846"/>
      <c r="I119" s="2847"/>
      <c r="J119" s="2847"/>
      <c r="K119" s="2875"/>
      <c r="L119" s="487">
        <f>IF(Y119=0,0,ROUNDDOWN(AF119,1))</f>
        <v>3</v>
      </c>
      <c r="M119" s="487">
        <f t="shared" si="38"/>
        <v>3</v>
      </c>
      <c r="N119" s="594">
        <f>スコア入力!AC119</f>
        <v>0.1</v>
      </c>
      <c r="O119" s="594">
        <f>スコア入力!AE119</f>
        <v>9.9999999999999992E-2</v>
      </c>
      <c r="P119" s="487">
        <f t="shared" si="39"/>
        <v>0</v>
      </c>
      <c r="Q119" s="487">
        <f t="shared" si="40"/>
        <v>0</v>
      </c>
      <c r="R119" s="594">
        <f>スコア入力!AJ119</f>
        <v>0</v>
      </c>
      <c r="S119" s="594">
        <f>スコア入力!AL119</f>
        <v>0</v>
      </c>
      <c r="T119" s="596">
        <f>ROUNDDOWN(AN119,1)</f>
        <v>3</v>
      </c>
      <c r="U119" s="596">
        <f>ROUNDDOWN(AO119,1)</f>
        <v>3</v>
      </c>
      <c r="W119" s="570">
        <f t="shared" si="41"/>
        <v>3</v>
      </c>
      <c r="X119" s="570">
        <f t="shared" si="42"/>
        <v>3</v>
      </c>
      <c r="Y119" s="253">
        <f>スコア入力!AA119</f>
        <v>0.1</v>
      </c>
      <c r="Z119" s="253">
        <f>スコア入力!AB119</f>
        <v>9.9999999999999992E-2</v>
      </c>
      <c r="AA119" s="570">
        <f t="shared" si="35"/>
        <v>0</v>
      </c>
      <c r="AB119" s="570">
        <f t="shared" si="36"/>
        <v>0</v>
      </c>
      <c r="AC119" s="253">
        <f>スコア入力!AH119</f>
        <v>0</v>
      </c>
      <c r="AD119" s="253">
        <f>スコア入力!AI119</f>
        <v>0</v>
      </c>
      <c r="AE119" s="6"/>
      <c r="AF119" s="599">
        <f>AF120*AH120+AF121*AH121</f>
        <v>3</v>
      </c>
      <c r="AG119" s="599">
        <f>AG120*AI120+AG121*AI121</f>
        <v>3</v>
      </c>
      <c r="AH119" s="594">
        <f>スコア入力!AC119</f>
        <v>0.1</v>
      </c>
      <c r="AI119" s="594">
        <f>スコア入力!AE119</f>
        <v>9.9999999999999992E-2</v>
      </c>
      <c r="AJ119" s="599">
        <f>AJ120*AL120+AJ121*AL121</f>
        <v>0</v>
      </c>
      <c r="AK119" s="599">
        <f>AK120*AM120+AK121*AM121</f>
        <v>0</v>
      </c>
      <c r="AL119" s="594">
        <f>スコア入力!AJ119</f>
        <v>0</v>
      </c>
      <c r="AM119" s="594">
        <f>スコア入力!AL119</f>
        <v>0</v>
      </c>
      <c r="AN119" s="596">
        <f t="shared" ref="AN119" si="43">IF(AJ119=0,AF119,IF(AF119=0,AJ119,AF119*AH$6+AJ119*AL$6))</f>
        <v>3</v>
      </c>
      <c r="AO119" s="596">
        <f t="shared" ref="AO119" si="44">IF(AK119=0,AG119,IF(AG119=0,AK119,AG119*AI$6+AK119*AM$6))</f>
        <v>3</v>
      </c>
    </row>
    <row r="120" spans="1:41" ht="13.5" hidden="1">
      <c r="A120" s="408"/>
      <c r="B120" s="447"/>
      <c r="C120" s="2421" t="s">
        <v>1829</v>
      </c>
      <c r="D120" s="404" t="s">
        <v>1836</v>
      </c>
      <c r="E120" s="336"/>
      <c r="F120" s="649"/>
      <c r="G120" s="649"/>
      <c r="H120" s="2427"/>
      <c r="I120" s="2422"/>
      <c r="J120" s="2422"/>
      <c r="K120" s="2423"/>
      <c r="L120" s="460">
        <f>IF(Y120=0,0,ROUNDDOWN(AF120,1))</f>
        <v>0</v>
      </c>
      <c r="M120" s="460">
        <f>IF(Z120=0,0,ROUNDDOWN(AG120,1))</f>
        <v>0</v>
      </c>
      <c r="N120" s="580">
        <f>スコア入力!AC120</f>
        <v>0</v>
      </c>
      <c r="O120" s="580">
        <f>スコア入力!AE120</f>
        <v>0</v>
      </c>
      <c r="P120" s="460">
        <f t="shared" ref="P120:P121" si="45">IF(AC120=0,0,ROUNDDOWN(AJ120,1))</f>
        <v>0</v>
      </c>
      <c r="Q120" s="460">
        <f t="shared" ref="Q120:Q121" si="46">IF(AD120=0,0,ROUNDDOWN(AK120,1))</f>
        <v>0</v>
      </c>
      <c r="R120" s="580">
        <f>スコア入力!AJ120</f>
        <v>0</v>
      </c>
      <c r="S120" s="580">
        <f>スコア入力!AL120</f>
        <v>0</v>
      </c>
      <c r="T120" s="581"/>
      <c r="U120" s="584"/>
      <c r="W120" s="254">
        <f t="shared" si="41"/>
        <v>0</v>
      </c>
      <c r="X120" s="254">
        <f t="shared" si="42"/>
        <v>0</v>
      </c>
      <c r="Y120" s="253">
        <f>スコア入力!AA120</f>
        <v>0</v>
      </c>
      <c r="Z120" s="253">
        <f>スコア入力!AB120</f>
        <v>0</v>
      </c>
      <c r="AA120" s="254">
        <f t="shared" si="35"/>
        <v>0</v>
      </c>
      <c r="AB120" s="254">
        <f t="shared" si="36"/>
        <v>0</v>
      </c>
      <c r="AC120" s="253">
        <f>スコア入力!AH120</f>
        <v>0</v>
      </c>
      <c r="AD120" s="253">
        <f>スコア入力!AI120</f>
        <v>0</v>
      </c>
      <c r="AE120" s="6"/>
      <c r="AF120" s="632">
        <f>スコア入力!N120</f>
        <v>0</v>
      </c>
      <c r="AG120" s="632">
        <f>スコア入力!P120</f>
        <v>0</v>
      </c>
      <c r="AH120" s="580">
        <f>スコア入力!AC120</f>
        <v>0</v>
      </c>
      <c r="AI120" s="580">
        <f>スコア入力!AE120</f>
        <v>0</v>
      </c>
      <c r="AJ120" s="632">
        <f>スコア入力!U120</f>
        <v>0</v>
      </c>
      <c r="AK120" s="632">
        <f>スコア入力!W120</f>
        <v>0</v>
      </c>
      <c r="AL120" s="580">
        <f>スコア入力!AJ120</f>
        <v>0</v>
      </c>
      <c r="AM120" s="580">
        <f>スコア入力!AL120</f>
        <v>0</v>
      </c>
      <c r="AN120" s="581"/>
      <c r="AO120" s="581"/>
    </row>
    <row r="121" spans="1:41" ht="14.25" hidden="1" thickBot="1">
      <c r="A121" s="408"/>
      <c r="B121" s="447"/>
      <c r="C121" s="2421" t="s">
        <v>1831</v>
      </c>
      <c r="D121" s="404" t="s">
        <v>1837</v>
      </c>
      <c r="E121" s="336"/>
      <c r="F121" s="649"/>
      <c r="G121" s="649"/>
      <c r="H121" s="2427"/>
      <c r="I121" s="2422"/>
      <c r="J121" s="2422"/>
      <c r="K121" s="2423"/>
      <c r="L121" s="462">
        <f>IF(Y121=0,0,ROUNDDOWN(AF121,1))</f>
        <v>3</v>
      </c>
      <c r="M121" s="462">
        <f>IF(Z121=0,0,ROUNDDOWN(AG121,1))</f>
        <v>3</v>
      </c>
      <c r="N121" s="580">
        <f>スコア入力!AC121</f>
        <v>1</v>
      </c>
      <c r="O121" s="580">
        <f>スコア入力!AE121</f>
        <v>1</v>
      </c>
      <c r="P121" s="462">
        <f t="shared" si="45"/>
        <v>0</v>
      </c>
      <c r="Q121" s="462">
        <f t="shared" si="46"/>
        <v>0</v>
      </c>
      <c r="R121" s="580">
        <f>スコア入力!AJ121</f>
        <v>0</v>
      </c>
      <c r="S121" s="580">
        <f>スコア入力!AL121</f>
        <v>0</v>
      </c>
      <c r="T121" s="612"/>
      <c r="U121" s="581"/>
      <c r="W121" s="254">
        <f t="shared" si="41"/>
        <v>3</v>
      </c>
      <c r="X121" s="254">
        <f t="shared" si="42"/>
        <v>3</v>
      </c>
      <c r="Y121" s="253">
        <f>スコア入力!AA121</f>
        <v>1</v>
      </c>
      <c r="Z121" s="253">
        <f>スコア入力!AB121</f>
        <v>1</v>
      </c>
      <c r="AA121" s="254">
        <f t="shared" si="35"/>
        <v>0</v>
      </c>
      <c r="AB121" s="254">
        <f t="shared" si="36"/>
        <v>0</v>
      </c>
      <c r="AC121" s="253">
        <f>スコア入力!AH121</f>
        <v>0</v>
      </c>
      <c r="AD121" s="253">
        <f>スコア入力!AI121</f>
        <v>0</v>
      </c>
      <c r="AE121" s="6"/>
      <c r="AF121" s="602">
        <f>スコア入力!N121</f>
        <v>3</v>
      </c>
      <c r="AG121" s="602">
        <f>スコア入力!P121</f>
        <v>3</v>
      </c>
      <c r="AH121" s="580">
        <f>スコア入力!AC121</f>
        <v>1</v>
      </c>
      <c r="AI121" s="580">
        <f>スコア入力!AE121</f>
        <v>1</v>
      </c>
      <c r="AJ121" s="602">
        <f>スコア入力!U121</f>
        <v>0</v>
      </c>
      <c r="AK121" s="602">
        <f>スコア入力!W121</f>
        <v>0</v>
      </c>
      <c r="AL121" s="580">
        <f>スコア入力!AJ121</f>
        <v>0</v>
      </c>
      <c r="AM121" s="580">
        <f>スコア入力!AL121</f>
        <v>0</v>
      </c>
      <c r="AN121" s="581"/>
      <c r="AO121" s="581"/>
    </row>
    <row r="122" spans="1:41" ht="13.5" hidden="1">
      <c r="A122" s="408"/>
      <c r="B122" s="447"/>
      <c r="C122" s="451"/>
      <c r="D122" s="404"/>
      <c r="E122" s="336"/>
      <c r="F122" s="649"/>
      <c r="G122" s="649"/>
      <c r="H122" s="2424"/>
      <c r="I122" s="2425"/>
      <c r="J122" s="2425"/>
      <c r="K122" s="2426"/>
      <c r="L122" s="460">
        <f t="shared" ref="L122:L139" si="47">IF(Y122=0,0,ROUNDDOWN(AF122,1))</f>
        <v>0</v>
      </c>
      <c r="M122" s="460"/>
      <c r="N122" s="580">
        <f>スコア入力!AC122</f>
        <v>0</v>
      </c>
      <c r="O122" s="580">
        <f>スコア入力!AE122</f>
        <v>0</v>
      </c>
      <c r="P122" s="460">
        <f t="shared" ref="P122:P139" si="48">IF(AC122=0,0,ROUNDDOWN(AJ122,1))</f>
        <v>0</v>
      </c>
      <c r="Q122" s="460">
        <f t="shared" ref="Q122:Q139" si="49">IF(AD122=0,0,ROUNDDOWN(AK122,1))</f>
        <v>0</v>
      </c>
      <c r="R122" s="580">
        <f>スコア入力!AJ122</f>
        <v>0</v>
      </c>
      <c r="S122" s="580">
        <f>スコア入力!AL122</f>
        <v>0</v>
      </c>
      <c r="T122" s="581"/>
      <c r="U122" s="581"/>
      <c r="W122" s="254">
        <f t="shared" si="41"/>
        <v>0</v>
      </c>
      <c r="X122" s="254">
        <f t="shared" si="42"/>
        <v>0</v>
      </c>
      <c r="Y122" s="253">
        <f>スコア入力!AA122</f>
        <v>0</v>
      </c>
      <c r="Z122" s="253">
        <f>スコア入力!AB122</f>
        <v>0</v>
      </c>
      <c r="AA122" s="254">
        <f t="shared" si="35"/>
        <v>0</v>
      </c>
      <c r="AB122" s="254">
        <f t="shared" si="36"/>
        <v>0</v>
      </c>
      <c r="AC122" s="253">
        <f>スコア入力!AH122</f>
        <v>0</v>
      </c>
      <c r="AD122" s="253">
        <f>スコア入力!AI122</f>
        <v>0</v>
      </c>
      <c r="AE122" s="6"/>
      <c r="AF122" s="632">
        <f>スコア入力!N122</f>
        <v>0</v>
      </c>
      <c r="AG122" s="632">
        <f>スコア入力!P122</f>
        <v>0</v>
      </c>
      <c r="AH122" s="580">
        <f>スコア入力!AC122</f>
        <v>0</v>
      </c>
      <c r="AI122" s="580">
        <f>スコア入力!AE122</f>
        <v>0</v>
      </c>
      <c r="AJ122" s="632">
        <f>スコア入力!U122</f>
        <v>0</v>
      </c>
      <c r="AK122" s="632">
        <f>スコア入力!W122</f>
        <v>0</v>
      </c>
      <c r="AL122" s="580">
        <f>スコア入力!AJ122</f>
        <v>0</v>
      </c>
      <c r="AM122" s="580">
        <f>スコア入力!AL122</f>
        <v>0</v>
      </c>
      <c r="AN122" s="581"/>
      <c r="AO122" s="581"/>
    </row>
    <row r="123" spans="1:41" ht="14.25" hidden="1" thickBot="1">
      <c r="A123" s="408"/>
      <c r="B123" s="452"/>
      <c r="C123" s="451"/>
      <c r="D123" s="404"/>
      <c r="E123" s="336"/>
      <c r="F123" s="649"/>
      <c r="G123" s="649"/>
      <c r="H123" s="2836"/>
      <c r="I123" s="2837"/>
      <c r="J123" s="2837"/>
      <c r="K123" s="2838"/>
      <c r="L123" s="462">
        <f t="shared" si="47"/>
        <v>0</v>
      </c>
      <c r="M123" s="462">
        <f t="shared" ref="M123:M137" si="50">IF(Z123=0,0,ROUNDDOWN(AG123,1))</f>
        <v>0</v>
      </c>
      <c r="N123" s="580">
        <f>スコア入力!AC123</f>
        <v>0</v>
      </c>
      <c r="O123" s="580">
        <f>スコア入力!AE123</f>
        <v>0</v>
      </c>
      <c r="P123" s="462">
        <f t="shared" si="48"/>
        <v>0</v>
      </c>
      <c r="Q123" s="462">
        <f t="shared" si="49"/>
        <v>0</v>
      </c>
      <c r="R123" s="580">
        <f>スコア入力!AJ123</f>
        <v>0</v>
      </c>
      <c r="S123" s="580">
        <f>スコア入力!AL123</f>
        <v>0</v>
      </c>
      <c r="T123" s="612"/>
      <c r="U123" s="612"/>
      <c r="W123" s="254">
        <f t="shared" si="41"/>
        <v>0</v>
      </c>
      <c r="X123" s="254">
        <f t="shared" si="42"/>
        <v>0</v>
      </c>
      <c r="Y123" s="253">
        <f>スコア入力!AA123</f>
        <v>0</v>
      </c>
      <c r="Z123" s="253">
        <f>スコア入力!AB123</f>
        <v>0</v>
      </c>
      <c r="AA123" s="254">
        <f t="shared" si="35"/>
        <v>0</v>
      </c>
      <c r="AB123" s="254">
        <f t="shared" si="36"/>
        <v>0</v>
      </c>
      <c r="AC123" s="253">
        <f>スコア入力!AH123</f>
        <v>0</v>
      </c>
      <c r="AD123" s="253">
        <f>スコア入力!AI123</f>
        <v>0</v>
      </c>
      <c r="AE123" s="6"/>
      <c r="AF123" s="602">
        <f>スコア入力!N123</f>
        <v>0</v>
      </c>
      <c r="AG123" s="602">
        <f>スコア入力!P123</f>
        <v>0</v>
      </c>
      <c r="AH123" s="580">
        <f>スコア入力!AC123</f>
        <v>0</v>
      </c>
      <c r="AI123" s="580">
        <f>スコア入力!AE123</f>
        <v>0</v>
      </c>
      <c r="AJ123" s="602">
        <f>スコア入力!U123</f>
        <v>0</v>
      </c>
      <c r="AK123" s="602">
        <f>スコア入力!W123</f>
        <v>0</v>
      </c>
      <c r="AL123" s="580">
        <f>スコア入力!AJ123</f>
        <v>0</v>
      </c>
      <c r="AM123" s="580">
        <f>スコア入力!AL123</f>
        <v>0</v>
      </c>
      <c r="AN123" s="612"/>
      <c r="AO123" s="612"/>
    </row>
    <row r="124" spans="1:41" ht="14.25" thickBot="1">
      <c r="A124" s="408"/>
      <c r="B124" s="445">
        <v>3</v>
      </c>
      <c r="C124" s="336" t="s">
        <v>786</v>
      </c>
      <c r="D124" s="336"/>
      <c r="E124" s="336"/>
      <c r="F124" s="649"/>
      <c r="G124" s="649"/>
      <c r="H124" s="2855"/>
      <c r="I124" s="2856"/>
      <c r="J124" s="2856"/>
      <c r="K124" s="2857"/>
      <c r="L124" s="671">
        <f t="shared" ref="L124" si="51">IF(Y124=0,0,ROUNDDOWN(AF124,1))</f>
        <v>3</v>
      </c>
      <c r="M124" s="671">
        <f t="shared" ref="M124" si="52">IF(Z124=0,0,ROUNDDOWN(AG124,1))</f>
        <v>4</v>
      </c>
      <c r="N124" s="594">
        <f>スコア入力!AC124</f>
        <v>0.5</v>
      </c>
      <c r="O124" s="594">
        <f>スコア入力!AE124</f>
        <v>0.5</v>
      </c>
      <c r="P124" s="599">
        <f t="shared" si="48"/>
        <v>0</v>
      </c>
      <c r="Q124" s="599">
        <f t="shared" si="49"/>
        <v>0</v>
      </c>
      <c r="R124" s="594">
        <f>スコア入力!AJ124</f>
        <v>0</v>
      </c>
      <c r="S124" s="594">
        <f>スコア入力!AL124</f>
        <v>0</v>
      </c>
      <c r="T124" s="596">
        <f>ROUNDDOWN(AN124,1)</f>
        <v>3</v>
      </c>
      <c r="U124" s="596">
        <f>ROUNDDOWN(AO124,1)</f>
        <v>4</v>
      </c>
      <c r="W124" s="650">
        <f t="shared" si="41"/>
        <v>3</v>
      </c>
      <c r="X124" s="650">
        <f t="shared" si="42"/>
        <v>4</v>
      </c>
      <c r="Y124" s="253">
        <f>スコア入力!AA124</f>
        <v>0.5</v>
      </c>
      <c r="Z124" s="253">
        <f>スコア入力!AB124</f>
        <v>0.5</v>
      </c>
      <c r="AA124" s="650">
        <f t="shared" si="35"/>
        <v>0</v>
      </c>
      <c r="AB124" s="650">
        <f t="shared" si="36"/>
        <v>0</v>
      </c>
      <c r="AC124" s="253">
        <f>スコア入力!AH124</f>
        <v>0</v>
      </c>
      <c r="AD124" s="253">
        <f>スコア入力!AI124</f>
        <v>0</v>
      </c>
      <c r="AE124" s="6"/>
      <c r="AF124" s="2392">
        <f>IF(スコア入力!L124="",計画書_前!I34,#REF!)</f>
        <v>3</v>
      </c>
      <c r="AG124" s="664">
        <f>IF(スコア入力!L124="",計画書_後!I34,#REF!)</f>
        <v>4</v>
      </c>
      <c r="AH124" s="594">
        <f>スコア入力!AC124</f>
        <v>0.5</v>
      </c>
      <c r="AI124" s="594">
        <f>スコア入力!AE124</f>
        <v>0.5</v>
      </c>
      <c r="AJ124" s="599">
        <f>AJ125*AL125+AJ126*AL126</f>
        <v>0</v>
      </c>
      <c r="AK124" s="599">
        <f>AK125*AM125+AK126*AM126</f>
        <v>0</v>
      </c>
      <c r="AL124" s="594">
        <f>スコア入力!AJ124</f>
        <v>0</v>
      </c>
      <c r="AM124" s="594">
        <f>スコア入力!AL124</f>
        <v>0</v>
      </c>
      <c r="AN124" s="596">
        <f>IF(AJ124=0,AF124,AF124*AH$6+AJ124*AL$6)</f>
        <v>3</v>
      </c>
      <c r="AO124" s="596">
        <f>IF(AK124=0,AG124,AG124*AI$6+AK124*AM$6)</f>
        <v>4</v>
      </c>
    </row>
    <row r="125" spans="1:41" ht="14.25" thickBot="1">
      <c r="A125" s="408"/>
      <c r="B125" s="447"/>
      <c r="C125" s="419">
        <v>3.1</v>
      </c>
      <c r="D125" s="404" t="s">
        <v>1802</v>
      </c>
      <c r="E125" s="336"/>
      <c r="F125" s="649"/>
      <c r="G125" s="649"/>
      <c r="H125" s="2846"/>
      <c r="I125" s="2847"/>
      <c r="J125" s="2847"/>
      <c r="K125" s="2875"/>
      <c r="L125" s="585">
        <f t="shared" si="47"/>
        <v>3</v>
      </c>
      <c r="M125" s="585">
        <f>IF(Z125=0,0,ROUNDDOWN(AG125,1))</f>
        <v>4</v>
      </c>
      <c r="N125" s="580">
        <f>IF(N132&gt;0,0,スコア入力!AC125)</f>
        <v>0</v>
      </c>
      <c r="O125" s="580">
        <f>IF(O132&gt;0,0,スコア入力!AE125)</f>
        <v>1</v>
      </c>
      <c r="P125" s="585">
        <f t="shared" si="48"/>
        <v>0</v>
      </c>
      <c r="Q125" s="585">
        <f t="shared" si="49"/>
        <v>0</v>
      </c>
      <c r="R125" s="580">
        <f>スコア入力!AJ125</f>
        <v>0</v>
      </c>
      <c r="S125" s="580">
        <f>スコア入力!AL125</f>
        <v>0</v>
      </c>
      <c r="T125" s="581"/>
      <c r="U125" s="581"/>
      <c r="W125" s="576">
        <f>AF125</f>
        <v>3</v>
      </c>
      <c r="X125" s="576">
        <f t="shared" si="42"/>
        <v>4</v>
      </c>
      <c r="Y125" s="253">
        <f>スコア入力!AA125</f>
        <v>1</v>
      </c>
      <c r="Z125" s="253">
        <f>スコア入力!AB125</f>
        <v>1</v>
      </c>
      <c r="AA125" s="576">
        <f t="shared" si="35"/>
        <v>0</v>
      </c>
      <c r="AB125" s="576">
        <f t="shared" si="36"/>
        <v>0</v>
      </c>
      <c r="AC125" s="253">
        <f>スコア入力!AH125</f>
        <v>0</v>
      </c>
      <c r="AD125" s="253">
        <f>スコア入力!AI125</f>
        <v>0</v>
      </c>
      <c r="AE125" s="6"/>
      <c r="AF125" s="664">
        <f>IF(スコア入力!L125="",計画書_前!I31,#REF!)</f>
        <v>3</v>
      </c>
      <c r="AG125" s="664">
        <f>IF(スコア入力!L125="",計画書_後!I31,#REF!)</f>
        <v>4</v>
      </c>
      <c r="AH125" s="586">
        <f>スコア入力!AC125</f>
        <v>1</v>
      </c>
      <c r="AI125" s="586">
        <f>スコア入力!AE125</f>
        <v>1</v>
      </c>
      <c r="AJ125" s="424">
        <f>スコア入力!U125</f>
        <v>0</v>
      </c>
      <c r="AK125" s="424">
        <f>スコア入力!W125</f>
        <v>0</v>
      </c>
      <c r="AL125" s="586">
        <f>スコア入力!AJ125</f>
        <v>0</v>
      </c>
      <c r="AM125" s="586">
        <f>スコア入力!AL125</f>
        <v>0</v>
      </c>
      <c r="AN125" s="581"/>
      <c r="AO125" s="581"/>
    </row>
    <row r="126" spans="1:41" ht="14.25" thickBot="1">
      <c r="A126" s="408"/>
      <c r="B126" s="447"/>
      <c r="C126" s="416">
        <v>3.1</v>
      </c>
      <c r="D126" s="404" t="s">
        <v>1803</v>
      </c>
      <c r="E126" s="336"/>
      <c r="F126" s="649"/>
      <c r="G126" s="649"/>
      <c r="H126" s="2836"/>
      <c r="I126" s="2837"/>
      <c r="J126" s="2837"/>
      <c r="K126" s="2838"/>
      <c r="L126" s="591">
        <f t="shared" si="47"/>
        <v>0</v>
      </c>
      <c r="M126" s="591">
        <f t="shared" si="50"/>
        <v>0</v>
      </c>
      <c r="N126" s="580">
        <f>スコア入力!AC126</f>
        <v>0</v>
      </c>
      <c r="O126" s="580">
        <f>スコア入力!AE126</f>
        <v>0</v>
      </c>
      <c r="P126" s="591">
        <f t="shared" si="48"/>
        <v>0</v>
      </c>
      <c r="Q126" s="591">
        <f t="shared" si="49"/>
        <v>0</v>
      </c>
      <c r="R126" s="580">
        <f>スコア入力!AJ126</f>
        <v>0</v>
      </c>
      <c r="S126" s="580">
        <f>スコア入力!AL126</f>
        <v>0</v>
      </c>
      <c r="T126" s="581"/>
      <c r="U126" s="581"/>
      <c r="W126" s="570">
        <f t="shared" si="41"/>
        <v>0</v>
      </c>
      <c r="X126" s="570">
        <f t="shared" si="42"/>
        <v>0</v>
      </c>
      <c r="Y126" s="253">
        <f>スコア入力!AA126</f>
        <v>0</v>
      </c>
      <c r="Z126" s="253">
        <f>スコア入力!AB126</f>
        <v>0</v>
      </c>
      <c r="AA126" s="570">
        <f t="shared" si="35"/>
        <v>0</v>
      </c>
      <c r="AB126" s="570">
        <f t="shared" si="36"/>
        <v>0</v>
      </c>
      <c r="AC126" s="253">
        <f>スコア入力!AH126</f>
        <v>0</v>
      </c>
      <c r="AD126" s="253">
        <f>スコア入力!AI126</f>
        <v>0</v>
      </c>
      <c r="AE126" s="6"/>
      <c r="AF126" s="664">
        <f>IF(スコア入力!L126="",計画書_前!M31,#REF!)</f>
        <v>0</v>
      </c>
      <c r="AG126" s="664">
        <f>IF(スコア入力!L126="",計画書_後!M31,#REF!)</f>
        <v>0</v>
      </c>
      <c r="AH126" s="586">
        <f>スコア入力!AC126</f>
        <v>0</v>
      </c>
      <c r="AI126" s="586">
        <f>スコア入力!AE126</f>
        <v>0</v>
      </c>
      <c r="AJ126" s="599">
        <f>SUMPRODUCT(AJ127:AJ132,AL127:AL132)</f>
        <v>0</v>
      </c>
      <c r="AK126" s="599">
        <f>SUMPRODUCT(AK127:AK132,AM127:AM132)</f>
        <v>0</v>
      </c>
      <c r="AL126" s="586">
        <f>スコア入力!AJ126</f>
        <v>0</v>
      </c>
      <c r="AM126" s="586">
        <f>スコア入力!AL126</f>
        <v>0</v>
      </c>
      <c r="AN126" s="581"/>
      <c r="AO126" s="581"/>
    </row>
    <row r="127" spans="1:41" ht="13.5" hidden="1">
      <c r="A127" s="408"/>
      <c r="B127" s="459"/>
      <c r="C127" s="2405">
        <v>3.1</v>
      </c>
      <c r="D127" s="2406" t="s">
        <v>787</v>
      </c>
      <c r="E127" s="2085"/>
      <c r="F127" s="649"/>
      <c r="G127" s="649"/>
      <c r="H127" s="2836"/>
      <c r="I127" s="2837"/>
      <c r="J127" s="2837"/>
      <c r="K127" s="2837"/>
      <c r="L127" s="591">
        <f t="shared" si="47"/>
        <v>0</v>
      </c>
      <c r="M127" s="591">
        <f t="shared" si="50"/>
        <v>0</v>
      </c>
      <c r="N127" s="580">
        <f>スコア入力!AC127</f>
        <v>0</v>
      </c>
      <c r="O127" s="580">
        <f>スコア入力!AE127</f>
        <v>0</v>
      </c>
      <c r="P127" s="591">
        <f t="shared" si="48"/>
        <v>0</v>
      </c>
      <c r="Q127" s="591">
        <f t="shared" si="49"/>
        <v>0</v>
      </c>
      <c r="R127" s="580">
        <f>スコア入力!AJ127</f>
        <v>0</v>
      </c>
      <c r="S127" s="580">
        <f>スコア入力!AL127</f>
        <v>0</v>
      </c>
      <c r="T127" s="581"/>
      <c r="U127" s="581"/>
      <c r="W127" s="570">
        <f t="shared" si="41"/>
        <v>0</v>
      </c>
      <c r="X127" s="570">
        <f t="shared" si="42"/>
        <v>0</v>
      </c>
      <c r="Y127" s="253">
        <f>スコア入力!AA127</f>
        <v>0</v>
      </c>
      <c r="Z127" s="253">
        <f>スコア入力!AB127</f>
        <v>0</v>
      </c>
      <c r="AA127" s="570">
        <f t="shared" si="35"/>
        <v>0</v>
      </c>
      <c r="AB127" s="570">
        <f t="shared" si="36"/>
        <v>0</v>
      </c>
      <c r="AC127" s="253">
        <f>スコア入力!AH127</f>
        <v>0</v>
      </c>
      <c r="AD127" s="253">
        <f>スコア入力!AI127</f>
        <v>0</v>
      </c>
      <c r="AE127" s="6"/>
      <c r="AF127" s="632">
        <f>スコア入力!N127</f>
        <v>0</v>
      </c>
      <c r="AG127" s="632">
        <f>スコア入力!P127</f>
        <v>0</v>
      </c>
      <c r="AH127" s="586">
        <f>スコア入力!AC127</f>
        <v>0</v>
      </c>
      <c r="AI127" s="586">
        <f>スコア入力!AE127</f>
        <v>0</v>
      </c>
      <c r="AJ127" s="632">
        <f>スコア入力!U127</f>
        <v>0</v>
      </c>
      <c r="AK127" s="632">
        <f>スコア入力!W127</f>
        <v>0</v>
      </c>
      <c r="AL127" s="586">
        <f>スコア入力!AJ127</f>
        <v>0</v>
      </c>
      <c r="AM127" s="586">
        <f>スコア入力!AL127</f>
        <v>0</v>
      </c>
      <c r="AN127" s="581"/>
      <c r="AO127" s="581"/>
    </row>
    <row r="128" spans="1:41" ht="13.5" hidden="1">
      <c r="A128" s="408"/>
      <c r="B128" s="459"/>
      <c r="C128" s="2405">
        <v>3.2</v>
      </c>
      <c r="D128" s="2406" t="s">
        <v>788</v>
      </c>
      <c r="E128" s="2085"/>
      <c r="F128" s="649"/>
      <c r="G128" s="649"/>
      <c r="H128" s="2836"/>
      <c r="I128" s="2837"/>
      <c r="J128" s="2837"/>
      <c r="K128" s="2837"/>
      <c r="L128" s="591">
        <f t="shared" si="47"/>
        <v>0</v>
      </c>
      <c r="M128" s="591">
        <f t="shared" si="50"/>
        <v>0</v>
      </c>
      <c r="N128" s="580">
        <f>スコア入力!AC128</f>
        <v>0</v>
      </c>
      <c r="O128" s="580">
        <f>スコア入力!AE128</f>
        <v>0</v>
      </c>
      <c r="P128" s="591">
        <f t="shared" si="48"/>
        <v>0</v>
      </c>
      <c r="Q128" s="591">
        <f t="shared" si="49"/>
        <v>0</v>
      </c>
      <c r="R128" s="580">
        <f>スコア入力!AJ128</f>
        <v>0</v>
      </c>
      <c r="S128" s="580">
        <f>スコア入力!AL128</f>
        <v>0</v>
      </c>
      <c r="T128" s="581"/>
      <c r="U128" s="581"/>
      <c r="W128" s="570">
        <f t="shared" si="41"/>
        <v>0</v>
      </c>
      <c r="X128" s="570">
        <f t="shared" si="42"/>
        <v>0</v>
      </c>
      <c r="Y128" s="253">
        <f>スコア入力!AA128</f>
        <v>0</v>
      </c>
      <c r="Z128" s="253">
        <f>スコア入力!AB128</f>
        <v>0</v>
      </c>
      <c r="AA128" s="570">
        <f t="shared" si="35"/>
        <v>0</v>
      </c>
      <c r="AB128" s="570">
        <f t="shared" si="36"/>
        <v>0</v>
      </c>
      <c r="AC128" s="253">
        <f>スコア入力!AH128</f>
        <v>0</v>
      </c>
      <c r="AD128" s="253">
        <f>スコア入力!AI128</f>
        <v>0</v>
      </c>
      <c r="AE128" s="6"/>
      <c r="AF128" s="651">
        <f>スコア入力!N128</f>
        <v>0</v>
      </c>
      <c r="AG128" s="651">
        <f>スコア入力!P128</f>
        <v>0</v>
      </c>
      <c r="AH128" s="586">
        <f>スコア入力!AC128</f>
        <v>0</v>
      </c>
      <c r="AI128" s="586">
        <f>スコア入力!AE128</f>
        <v>0</v>
      </c>
      <c r="AJ128" s="651">
        <f>スコア入力!U128</f>
        <v>0</v>
      </c>
      <c r="AK128" s="651">
        <f>スコア入力!W128</f>
        <v>0</v>
      </c>
      <c r="AL128" s="586">
        <f>スコア入力!AJ128</f>
        <v>0</v>
      </c>
      <c r="AM128" s="586">
        <f>スコア入力!AL128</f>
        <v>0</v>
      </c>
      <c r="AN128" s="581"/>
      <c r="AO128" s="581"/>
    </row>
    <row r="129" spans="1:41" ht="13.5" hidden="1">
      <c r="A129" s="408"/>
      <c r="B129" s="459"/>
      <c r="C129" s="2405">
        <v>3.3</v>
      </c>
      <c r="D129" s="2406" t="s">
        <v>789</v>
      </c>
      <c r="E129" s="2085"/>
      <c r="F129" s="649"/>
      <c r="G129" s="649"/>
      <c r="H129" s="2836"/>
      <c r="I129" s="2837"/>
      <c r="J129" s="2837"/>
      <c r="K129" s="2837"/>
      <c r="L129" s="591">
        <f t="shared" ref="L129:L131" si="53">IF(Y129=0,0,ROUNDDOWN(AF129,1))</f>
        <v>0</v>
      </c>
      <c r="M129" s="591">
        <f t="shared" ref="M129:M131" si="54">IF(Z129=0,0,ROUNDDOWN(AG129,1))</f>
        <v>0</v>
      </c>
      <c r="N129" s="580">
        <f>スコア入力!AC129</f>
        <v>0</v>
      </c>
      <c r="O129" s="580">
        <f>スコア入力!AE129</f>
        <v>0</v>
      </c>
      <c r="P129" s="591">
        <f t="shared" ref="P129:P132" si="55">IF(AC129=0,0,ROUNDDOWN(AJ129,1))</f>
        <v>0</v>
      </c>
      <c r="Q129" s="591">
        <f t="shared" ref="Q129:Q132" si="56">IF(AD129=0,0,ROUNDDOWN(AK129,1))</f>
        <v>0</v>
      </c>
      <c r="R129" s="580">
        <f>スコア入力!AJ129</f>
        <v>0</v>
      </c>
      <c r="S129" s="580">
        <f>スコア入力!AL129</f>
        <v>0</v>
      </c>
      <c r="T129" s="581"/>
      <c r="U129" s="581"/>
      <c r="W129" s="570">
        <f t="shared" si="41"/>
        <v>0</v>
      </c>
      <c r="X129" s="570">
        <f t="shared" si="42"/>
        <v>0</v>
      </c>
      <c r="Y129" s="253">
        <f>スコア入力!AA129</f>
        <v>0</v>
      </c>
      <c r="Z129" s="253">
        <f>スコア入力!AB129</f>
        <v>0</v>
      </c>
      <c r="AA129" s="570">
        <f t="shared" si="35"/>
        <v>0</v>
      </c>
      <c r="AB129" s="570">
        <f t="shared" si="36"/>
        <v>0</v>
      </c>
      <c r="AC129" s="253">
        <f>スコア入力!AH129</f>
        <v>0</v>
      </c>
      <c r="AD129" s="253">
        <f>スコア入力!AI129</f>
        <v>0</v>
      </c>
      <c r="AE129" s="6"/>
      <c r="AF129" s="651">
        <f>スコア入力!N129</f>
        <v>0</v>
      </c>
      <c r="AG129" s="651">
        <f>スコア入力!P129</f>
        <v>0</v>
      </c>
      <c r="AH129" s="586">
        <f>スコア入力!AC129</f>
        <v>0</v>
      </c>
      <c r="AI129" s="586">
        <f>スコア入力!AE129</f>
        <v>0</v>
      </c>
      <c r="AJ129" s="651">
        <f>スコア入力!U129</f>
        <v>0</v>
      </c>
      <c r="AK129" s="651">
        <f>スコア入力!W129</f>
        <v>0</v>
      </c>
      <c r="AL129" s="586">
        <f>スコア入力!AJ129</f>
        <v>0</v>
      </c>
      <c r="AM129" s="586">
        <f>スコア入力!AL129</f>
        <v>0</v>
      </c>
      <c r="AN129" s="581"/>
      <c r="AO129" s="581"/>
    </row>
    <row r="130" spans="1:41" ht="13.5" hidden="1">
      <c r="A130" s="408"/>
      <c r="B130" s="459"/>
      <c r="C130" s="2405">
        <v>3.4</v>
      </c>
      <c r="D130" s="2406" t="s">
        <v>371</v>
      </c>
      <c r="E130" s="2085"/>
      <c r="F130" s="649"/>
      <c r="G130" s="649"/>
      <c r="H130" s="2836"/>
      <c r="I130" s="2837"/>
      <c r="J130" s="2837"/>
      <c r="K130" s="2837"/>
      <c r="L130" s="591">
        <f t="shared" si="53"/>
        <v>0</v>
      </c>
      <c r="M130" s="591">
        <f t="shared" si="54"/>
        <v>0</v>
      </c>
      <c r="N130" s="580">
        <f>スコア入力!AC130</f>
        <v>0</v>
      </c>
      <c r="O130" s="580">
        <f>スコア入力!AE130</f>
        <v>0</v>
      </c>
      <c r="P130" s="591">
        <f t="shared" si="55"/>
        <v>0</v>
      </c>
      <c r="Q130" s="591">
        <f t="shared" si="56"/>
        <v>0</v>
      </c>
      <c r="R130" s="580">
        <f>スコア入力!AJ130</f>
        <v>0</v>
      </c>
      <c r="S130" s="580">
        <f>スコア入力!AL130</f>
        <v>0</v>
      </c>
      <c r="T130" s="581"/>
      <c r="U130" s="581"/>
      <c r="W130" s="570">
        <f t="shared" si="41"/>
        <v>0</v>
      </c>
      <c r="X130" s="570">
        <f t="shared" si="42"/>
        <v>0</v>
      </c>
      <c r="Y130" s="253">
        <f>スコア入力!AA130</f>
        <v>0</v>
      </c>
      <c r="Z130" s="253">
        <f>スコア入力!AB130</f>
        <v>0</v>
      </c>
      <c r="AA130" s="570">
        <f t="shared" si="35"/>
        <v>0</v>
      </c>
      <c r="AB130" s="570">
        <f t="shared" si="36"/>
        <v>0</v>
      </c>
      <c r="AC130" s="253">
        <f>スコア入力!AH130</f>
        <v>0</v>
      </c>
      <c r="AD130" s="253">
        <f>スコア入力!AI130</f>
        <v>0</v>
      </c>
      <c r="AE130" s="6"/>
      <c r="AF130" s="651">
        <f>スコア入力!N130</f>
        <v>0</v>
      </c>
      <c r="AG130" s="651">
        <f>スコア入力!P130</f>
        <v>0</v>
      </c>
      <c r="AH130" s="586">
        <f>スコア入力!AC130</f>
        <v>0</v>
      </c>
      <c r="AI130" s="586">
        <f>スコア入力!AE130</f>
        <v>0</v>
      </c>
      <c r="AJ130" s="651">
        <f>スコア入力!U130</f>
        <v>0</v>
      </c>
      <c r="AK130" s="651">
        <f>スコア入力!W130</f>
        <v>0</v>
      </c>
      <c r="AL130" s="586">
        <f>スコア入力!AJ130</f>
        <v>0</v>
      </c>
      <c r="AM130" s="586">
        <f>スコア入力!AL130</f>
        <v>0</v>
      </c>
      <c r="AN130" s="581"/>
      <c r="AO130" s="581"/>
    </row>
    <row r="131" spans="1:41" ht="13.5" hidden="1">
      <c r="A131" s="408"/>
      <c r="B131" s="459"/>
      <c r="C131" s="2405">
        <v>3.5</v>
      </c>
      <c r="D131" s="2406" t="s">
        <v>790</v>
      </c>
      <c r="E131" s="2085"/>
      <c r="F131" s="649"/>
      <c r="G131" s="649"/>
      <c r="H131" s="2836"/>
      <c r="I131" s="2837"/>
      <c r="J131" s="2837"/>
      <c r="K131" s="2837"/>
      <c r="L131" s="591">
        <f t="shared" si="53"/>
        <v>0</v>
      </c>
      <c r="M131" s="591">
        <f t="shared" si="54"/>
        <v>0</v>
      </c>
      <c r="N131" s="580">
        <f>スコア入力!AC131</f>
        <v>0</v>
      </c>
      <c r="O131" s="580">
        <f>スコア入力!AE131</f>
        <v>0</v>
      </c>
      <c r="P131" s="591">
        <f t="shared" si="55"/>
        <v>0</v>
      </c>
      <c r="Q131" s="591">
        <f t="shared" si="56"/>
        <v>0</v>
      </c>
      <c r="R131" s="580">
        <f>スコア入力!AJ131</f>
        <v>0</v>
      </c>
      <c r="S131" s="580">
        <f>スコア入力!AL131</f>
        <v>0</v>
      </c>
      <c r="T131" s="581"/>
      <c r="U131" s="581"/>
      <c r="W131" s="570">
        <f t="shared" si="41"/>
        <v>0</v>
      </c>
      <c r="X131" s="570">
        <f t="shared" si="42"/>
        <v>0</v>
      </c>
      <c r="Y131" s="253">
        <f>スコア入力!AA131</f>
        <v>0</v>
      </c>
      <c r="Z131" s="253">
        <f>スコア入力!AB131</f>
        <v>0</v>
      </c>
      <c r="AA131" s="570">
        <f t="shared" si="35"/>
        <v>0</v>
      </c>
      <c r="AB131" s="570">
        <f t="shared" si="36"/>
        <v>0</v>
      </c>
      <c r="AC131" s="253">
        <f>スコア入力!AH131</f>
        <v>0</v>
      </c>
      <c r="AD131" s="253">
        <f>スコア入力!AI131</f>
        <v>0</v>
      </c>
      <c r="AE131" s="6"/>
      <c r="AF131" s="651">
        <f>スコア入力!N131</f>
        <v>0</v>
      </c>
      <c r="AG131" s="651">
        <f>スコア入力!P131</f>
        <v>0</v>
      </c>
      <c r="AH131" s="580">
        <f>スコア入力!AC131</f>
        <v>0</v>
      </c>
      <c r="AI131" s="580">
        <f>スコア入力!AE131</f>
        <v>0</v>
      </c>
      <c r="AJ131" s="651">
        <f>スコア入力!U131</f>
        <v>0</v>
      </c>
      <c r="AK131" s="651">
        <f>スコア入力!W131</f>
        <v>0</v>
      </c>
      <c r="AL131" s="580">
        <f>スコア入力!AJ131</f>
        <v>0</v>
      </c>
      <c r="AM131" s="580">
        <f>スコア入力!AL131</f>
        <v>0</v>
      </c>
      <c r="AN131" s="581"/>
      <c r="AO131" s="581"/>
    </row>
    <row r="132" spans="1:41" ht="14.25" thickBot="1">
      <c r="A132" s="408"/>
      <c r="B132" s="463"/>
      <c r="C132" s="419">
        <v>3.2</v>
      </c>
      <c r="D132" s="404" t="s">
        <v>1804</v>
      </c>
      <c r="E132" s="334"/>
      <c r="F132" s="649"/>
      <c r="G132" s="649"/>
      <c r="H132" s="2836"/>
      <c r="I132" s="2837"/>
      <c r="J132" s="2837"/>
      <c r="K132" s="2837"/>
      <c r="L132" s="588">
        <f>IF(Y132=0,0,ROUNDDOWN(AF132,1))</f>
        <v>3</v>
      </c>
      <c r="M132" s="588">
        <f>IF(Z132=0,0,ROUNDDOWN(AG132,1))</f>
        <v>0</v>
      </c>
      <c r="N132" s="580">
        <f>スコア入力!AC132</f>
        <v>1</v>
      </c>
      <c r="O132" s="580">
        <f>スコア入力!AE132</f>
        <v>0</v>
      </c>
      <c r="P132" s="588">
        <f t="shared" si="55"/>
        <v>0</v>
      </c>
      <c r="Q132" s="588">
        <f t="shared" si="56"/>
        <v>0</v>
      </c>
      <c r="R132" s="580">
        <f>スコア入力!AJ132</f>
        <v>0</v>
      </c>
      <c r="S132" s="580">
        <f>スコア入力!AL132</f>
        <v>0</v>
      </c>
      <c r="T132" s="581"/>
      <c r="U132" s="581"/>
      <c r="W132" s="570">
        <f t="shared" si="41"/>
        <v>3</v>
      </c>
      <c r="X132" s="570">
        <f t="shared" si="42"/>
        <v>4</v>
      </c>
      <c r="Y132" s="253">
        <f>スコア入力!AA132</f>
        <v>1</v>
      </c>
      <c r="Z132" s="253">
        <f>スコア入力!AB132</f>
        <v>0</v>
      </c>
      <c r="AA132" s="570">
        <f t="shared" si="35"/>
        <v>0</v>
      </c>
      <c r="AB132" s="570">
        <f t="shared" si="36"/>
        <v>0</v>
      </c>
      <c r="AC132" s="253">
        <f>スコア入力!AH132</f>
        <v>0</v>
      </c>
      <c r="AD132" s="253">
        <f>スコア入力!AI132</f>
        <v>0</v>
      </c>
      <c r="AE132" s="6"/>
      <c r="AF132" s="602">
        <f>IF(スコア入力!L132="",計画書_前!I33,#REF!)</f>
        <v>3</v>
      </c>
      <c r="AG132" s="602">
        <f>IF(スコア入力!L132="",計画書_後!I33,#REF!)</f>
        <v>4</v>
      </c>
      <c r="AH132" s="580">
        <f>スコア入力!AC132</f>
        <v>1</v>
      </c>
      <c r="AI132" s="580">
        <f>スコア入力!AE132</f>
        <v>0</v>
      </c>
      <c r="AJ132" s="602">
        <f>スコア入力!U132</f>
        <v>0</v>
      </c>
      <c r="AK132" s="602">
        <f>スコア入力!W132</f>
        <v>0</v>
      </c>
      <c r="AL132" s="580">
        <f>スコア入力!AJ132</f>
        <v>0</v>
      </c>
      <c r="AM132" s="580">
        <f>スコア入力!AL132</f>
        <v>0</v>
      </c>
      <c r="AN132" s="581"/>
      <c r="AO132" s="581"/>
    </row>
    <row r="133" spans="1:41" ht="13.5">
      <c r="A133" s="408"/>
      <c r="B133" s="445">
        <v>4</v>
      </c>
      <c r="C133" s="336" t="s">
        <v>791</v>
      </c>
      <c r="D133" s="295"/>
      <c r="E133" s="295"/>
      <c r="F133" s="649"/>
      <c r="G133" s="649"/>
      <c r="H133" s="2855"/>
      <c r="I133" s="2856"/>
      <c r="J133" s="2856"/>
      <c r="K133" s="2857"/>
      <c r="L133" s="671">
        <f t="shared" si="47"/>
        <v>3</v>
      </c>
      <c r="M133" s="671">
        <f t="shared" si="50"/>
        <v>3</v>
      </c>
      <c r="N133" s="594">
        <f>スコア入力!AC133</f>
        <v>0.2</v>
      </c>
      <c r="O133" s="594">
        <f>スコア入力!AE133</f>
        <v>0.19999999999999998</v>
      </c>
      <c r="P133" s="595">
        <f t="shared" si="48"/>
        <v>0</v>
      </c>
      <c r="Q133" s="671">
        <f t="shared" si="49"/>
        <v>0</v>
      </c>
      <c r="R133" s="594">
        <f>スコア入力!AJ133</f>
        <v>0</v>
      </c>
      <c r="S133" s="594">
        <f>スコア入力!AL133</f>
        <v>0</v>
      </c>
      <c r="T133" s="596">
        <f>ROUNDDOWN(AN133,1)</f>
        <v>3</v>
      </c>
      <c r="U133" s="596">
        <f>ROUNDDOWN(AO133,1)</f>
        <v>3</v>
      </c>
      <c r="W133" s="570">
        <f t="shared" si="41"/>
        <v>3</v>
      </c>
      <c r="X133" s="570">
        <f t="shared" si="42"/>
        <v>3</v>
      </c>
      <c r="Y133" s="253">
        <f>スコア入力!AA133</f>
        <v>0.2</v>
      </c>
      <c r="Z133" s="253">
        <f>スコア入力!AB133</f>
        <v>0.19999999999999998</v>
      </c>
      <c r="AA133" s="570">
        <f t="shared" si="35"/>
        <v>0</v>
      </c>
      <c r="AB133" s="570">
        <f t="shared" si="36"/>
        <v>0</v>
      </c>
      <c r="AC133" s="253">
        <f>スコア入力!AH133</f>
        <v>0</v>
      </c>
      <c r="AD133" s="253">
        <f>スコア入力!AI133</f>
        <v>0</v>
      </c>
      <c r="AE133" s="6"/>
      <c r="AF133" s="582">
        <f>AF134*AH134+AF137*AH137</f>
        <v>3</v>
      </c>
      <c r="AG133" s="582">
        <f>AG134*AI134+AG137*AI137</f>
        <v>3</v>
      </c>
      <c r="AH133" s="594">
        <f>スコア入力!AC133</f>
        <v>0.2</v>
      </c>
      <c r="AI133" s="594">
        <f>スコア入力!AE133</f>
        <v>0.19999999999999998</v>
      </c>
      <c r="AJ133" s="582">
        <f>AJ134*AL134+AJ137*AL137</f>
        <v>0</v>
      </c>
      <c r="AK133" s="582">
        <f>AK134*AM134+AK137*AM137</f>
        <v>0</v>
      </c>
      <c r="AL133" s="594">
        <f>スコア入力!AJ133</f>
        <v>0</v>
      </c>
      <c r="AM133" s="594">
        <f>スコア入力!AL133</f>
        <v>0</v>
      </c>
      <c r="AN133" s="596">
        <f>IF(AJ133=0,AF133,AF133*AH$6+AJ133*AL$6)</f>
        <v>3</v>
      </c>
      <c r="AO133" s="596">
        <f>IF(AK133=0,AG133,AG133*AI$6+AK133*AM$6)</f>
        <v>3</v>
      </c>
    </row>
    <row r="134" spans="1:41" ht="14.25" thickBot="1">
      <c r="A134" s="408"/>
      <c r="B134" s="348"/>
      <c r="C134" s="325"/>
      <c r="D134" s="343" t="s">
        <v>1805</v>
      </c>
      <c r="E134" s="307"/>
      <c r="F134" s="649"/>
      <c r="G134" s="649"/>
      <c r="H134" s="2836"/>
      <c r="I134" s="2837"/>
      <c r="J134" s="2837"/>
      <c r="K134" s="2837"/>
      <c r="L134" s="620">
        <f t="shared" si="47"/>
        <v>3</v>
      </c>
      <c r="M134" s="599">
        <f t="shared" si="50"/>
        <v>3</v>
      </c>
      <c r="N134" s="580">
        <f>スコア入力!AC134</f>
        <v>1</v>
      </c>
      <c r="O134" s="580">
        <f>スコア入力!AE134</f>
        <v>1</v>
      </c>
      <c r="P134" s="599">
        <f t="shared" si="48"/>
        <v>0</v>
      </c>
      <c r="Q134" s="599">
        <f t="shared" si="49"/>
        <v>0</v>
      </c>
      <c r="R134" s="580">
        <f>スコア入力!AJ134</f>
        <v>0</v>
      </c>
      <c r="S134" s="580">
        <f>スコア入力!AL134</f>
        <v>0</v>
      </c>
      <c r="T134" s="581"/>
      <c r="U134" s="581"/>
      <c r="W134" s="254">
        <f t="shared" si="41"/>
        <v>3</v>
      </c>
      <c r="X134" s="254">
        <f t="shared" si="42"/>
        <v>3</v>
      </c>
      <c r="Y134" s="253">
        <f>スコア入力!AA134</f>
        <v>1</v>
      </c>
      <c r="Z134" s="253">
        <f>スコア入力!AB134</f>
        <v>1</v>
      </c>
      <c r="AA134" s="254">
        <f t="shared" si="35"/>
        <v>0</v>
      </c>
      <c r="AB134" s="254">
        <f t="shared" si="36"/>
        <v>0</v>
      </c>
      <c r="AC134" s="253">
        <f>スコア入力!AH134</f>
        <v>0</v>
      </c>
      <c r="AD134" s="253">
        <f>スコア入力!AI134</f>
        <v>0</v>
      </c>
      <c r="AE134" s="6"/>
      <c r="AF134" s="599">
        <f>SUMPRODUCT(AF135:AF136,AH135:AH136)</f>
        <v>3</v>
      </c>
      <c r="AG134" s="599">
        <f>SUMPRODUCT(AG135:AG136,AI135:AI136)</f>
        <v>3</v>
      </c>
      <c r="AH134" s="580">
        <f>スコア入力!AC134</f>
        <v>1</v>
      </c>
      <c r="AI134" s="580">
        <f>スコア入力!AE134</f>
        <v>1</v>
      </c>
      <c r="AJ134" s="599">
        <f>SUMPRODUCT(AJ135:AJ136,AL135:AL136)</f>
        <v>0</v>
      </c>
      <c r="AK134" s="599">
        <f>SUMPRODUCT(AK135:AK136,AM135:AM136)</f>
        <v>0</v>
      </c>
      <c r="AL134" s="580">
        <f>スコア入力!AJ134</f>
        <v>0</v>
      </c>
      <c r="AM134" s="580">
        <f>スコア入力!AL134</f>
        <v>0</v>
      </c>
      <c r="AN134" s="581"/>
      <c r="AO134" s="581"/>
    </row>
    <row r="135" spans="1:41" ht="13.5">
      <c r="A135" s="408"/>
      <c r="B135" s="348"/>
      <c r="C135" s="2407"/>
      <c r="D135" s="314">
        <v>4.0999999999999996</v>
      </c>
      <c r="E135" s="334" t="s">
        <v>1806</v>
      </c>
      <c r="F135" s="649"/>
      <c r="G135" s="649"/>
      <c r="H135" s="2836"/>
      <c r="I135" s="2837"/>
      <c r="J135" s="2837"/>
      <c r="K135" s="2838"/>
      <c r="L135" s="585">
        <f t="shared" si="47"/>
        <v>3</v>
      </c>
      <c r="M135" s="585">
        <f t="shared" si="50"/>
        <v>3</v>
      </c>
      <c r="N135" s="580">
        <f>スコア入力!AC135</f>
        <v>0.5</v>
      </c>
      <c r="O135" s="580">
        <f>スコア入力!AE135</f>
        <v>0.5</v>
      </c>
      <c r="P135" s="585">
        <f t="shared" si="48"/>
        <v>0</v>
      </c>
      <c r="Q135" s="585">
        <f t="shared" si="49"/>
        <v>0</v>
      </c>
      <c r="R135" s="580">
        <f>スコア入力!AJ135</f>
        <v>0</v>
      </c>
      <c r="S135" s="580">
        <f>スコア入力!AL135</f>
        <v>0</v>
      </c>
      <c r="T135" s="581"/>
      <c r="U135" s="581"/>
      <c r="W135" s="570">
        <f t="shared" ref="W135:W136" si="57">AF135</f>
        <v>3</v>
      </c>
      <c r="X135" s="570">
        <f t="shared" ref="X135:X136" si="58">AG135</f>
        <v>3</v>
      </c>
      <c r="Y135" s="253">
        <f>スコア入力!AA135</f>
        <v>0.5</v>
      </c>
      <c r="Z135" s="253">
        <f>スコア入力!AB135</f>
        <v>0.5</v>
      </c>
      <c r="AA135" s="570">
        <f t="shared" ref="AA135:AA136" si="59">AJ135</f>
        <v>0</v>
      </c>
      <c r="AB135" s="570">
        <f t="shared" ref="AB135:AB136" si="60">AK135</f>
        <v>0</v>
      </c>
      <c r="AC135" s="253">
        <f>スコア入力!AH135</f>
        <v>0</v>
      </c>
      <c r="AD135" s="253">
        <f>スコア入力!AI135</f>
        <v>0</v>
      </c>
      <c r="AE135" s="6"/>
      <c r="AF135" s="632">
        <f>スコア入力!N135</f>
        <v>3</v>
      </c>
      <c r="AG135" s="632">
        <f>スコア入力!P135</f>
        <v>3</v>
      </c>
      <c r="AH135" s="586">
        <f>スコア入力!AC135</f>
        <v>0.5</v>
      </c>
      <c r="AI135" s="586">
        <f>スコア入力!AE135</f>
        <v>0.5</v>
      </c>
      <c r="AJ135" s="632">
        <f>スコア入力!U135</f>
        <v>0</v>
      </c>
      <c r="AK135" s="632">
        <f>スコア入力!W135</f>
        <v>0</v>
      </c>
      <c r="AL135" s="586">
        <f>スコア入力!AJ135</f>
        <v>0</v>
      </c>
      <c r="AM135" s="586">
        <f>スコア入力!AL135</f>
        <v>0</v>
      </c>
      <c r="AN135" s="581"/>
      <c r="AO135" s="581"/>
    </row>
    <row r="136" spans="1:41" ht="14.25" thickBot="1">
      <c r="A136" s="408"/>
      <c r="B136" s="348"/>
      <c r="C136" s="2408"/>
      <c r="D136" s="314">
        <v>4.2</v>
      </c>
      <c r="E136" s="334" t="s">
        <v>792</v>
      </c>
      <c r="F136" s="649"/>
      <c r="G136" s="649"/>
      <c r="H136" s="2836"/>
      <c r="I136" s="2837"/>
      <c r="J136" s="2837"/>
      <c r="K136" s="2838"/>
      <c r="L136" s="588">
        <f t="shared" si="47"/>
        <v>3</v>
      </c>
      <c r="M136" s="588">
        <f>IF(Z136=0,0,ROUNDDOWN(AG136,1))</f>
        <v>3</v>
      </c>
      <c r="N136" s="580">
        <f>スコア入力!AC136</f>
        <v>0.5</v>
      </c>
      <c r="O136" s="580">
        <f>スコア入力!AE136</f>
        <v>0.5</v>
      </c>
      <c r="P136" s="588">
        <f t="shared" si="48"/>
        <v>0</v>
      </c>
      <c r="Q136" s="588">
        <f t="shared" si="49"/>
        <v>0</v>
      </c>
      <c r="R136" s="580">
        <f>スコア入力!AJ136</f>
        <v>0</v>
      </c>
      <c r="S136" s="580">
        <f>スコア入力!AL136</f>
        <v>0</v>
      </c>
      <c r="T136" s="581"/>
      <c r="U136" s="581"/>
      <c r="W136" s="570">
        <f t="shared" si="57"/>
        <v>3</v>
      </c>
      <c r="X136" s="570">
        <f t="shared" si="58"/>
        <v>3</v>
      </c>
      <c r="Y136" s="253">
        <f>スコア入力!AA136</f>
        <v>0.5</v>
      </c>
      <c r="Z136" s="253">
        <f>スコア入力!AB136</f>
        <v>0.5</v>
      </c>
      <c r="AA136" s="570">
        <f t="shared" si="59"/>
        <v>0</v>
      </c>
      <c r="AB136" s="570">
        <f t="shared" si="60"/>
        <v>0</v>
      </c>
      <c r="AC136" s="253">
        <f>スコア入力!AH136</f>
        <v>0</v>
      </c>
      <c r="AD136" s="253">
        <f>スコア入力!AI136</f>
        <v>0</v>
      </c>
      <c r="AE136" s="6"/>
      <c r="AF136" s="602">
        <f>スコア入力!N136</f>
        <v>3</v>
      </c>
      <c r="AG136" s="602">
        <f>スコア入力!P136</f>
        <v>3</v>
      </c>
      <c r="AH136" s="580">
        <f>スコア入力!AC136</f>
        <v>0.5</v>
      </c>
      <c r="AI136" s="580">
        <f>スコア入力!AE136</f>
        <v>0.5</v>
      </c>
      <c r="AJ136" s="602">
        <f>スコア入力!U136</f>
        <v>0</v>
      </c>
      <c r="AK136" s="602">
        <f>スコア入力!W136</f>
        <v>0</v>
      </c>
      <c r="AL136" s="580">
        <f>スコア入力!AJ136</f>
        <v>0</v>
      </c>
      <c r="AM136" s="580">
        <f>スコア入力!AL136</f>
        <v>0</v>
      </c>
      <c r="AN136" s="581"/>
      <c r="AO136" s="581"/>
    </row>
    <row r="137" spans="1:41" ht="14.25" thickBot="1">
      <c r="A137" s="408"/>
      <c r="B137" s="348"/>
      <c r="C137" s="325"/>
      <c r="D137" s="343" t="s">
        <v>1807</v>
      </c>
      <c r="E137" s="307"/>
      <c r="F137" s="649"/>
      <c r="G137" s="649"/>
      <c r="H137" s="2836"/>
      <c r="I137" s="2837"/>
      <c r="J137" s="2837"/>
      <c r="K137" s="2837"/>
      <c r="L137" s="590">
        <f t="shared" si="47"/>
        <v>0</v>
      </c>
      <c r="M137" s="599">
        <f t="shared" si="50"/>
        <v>0</v>
      </c>
      <c r="N137" s="580">
        <f>スコア入力!AC137</f>
        <v>0</v>
      </c>
      <c r="O137" s="580">
        <f>スコア入力!AE137</f>
        <v>0</v>
      </c>
      <c r="P137" s="599">
        <f t="shared" si="48"/>
        <v>0</v>
      </c>
      <c r="Q137" s="599">
        <f t="shared" si="49"/>
        <v>0</v>
      </c>
      <c r="R137" s="580">
        <f>スコア入力!AJ137</f>
        <v>0</v>
      </c>
      <c r="S137" s="580">
        <f>スコア入力!AL137</f>
        <v>0</v>
      </c>
      <c r="T137" s="581"/>
      <c r="U137" s="581"/>
      <c r="W137" s="254">
        <f t="shared" si="41"/>
        <v>0</v>
      </c>
      <c r="X137" s="254">
        <f t="shared" si="42"/>
        <v>0</v>
      </c>
      <c r="Y137" s="253">
        <f>スコア入力!AA137</f>
        <v>0</v>
      </c>
      <c r="Z137" s="253">
        <f>スコア入力!AB137</f>
        <v>0</v>
      </c>
      <c r="AA137" s="254">
        <f t="shared" si="35"/>
        <v>0</v>
      </c>
      <c r="AB137" s="254">
        <f t="shared" si="36"/>
        <v>0</v>
      </c>
      <c r="AC137" s="253">
        <f>スコア入力!AH137</f>
        <v>0</v>
      </c>
      <c r="AD137" s="253">
        <f>スコア入力!AI137</f>
        <v>0</v>
      </c>
      <c r="AE137" s="6"/>
      <c r="AF137" s="599">
        <f>SUMPRODUCT(AF138:AF139,AH138:AH139)</f>
        <v>0</v>
      </c>
      <c r="AG137" s="599">
        <f>SUMPRODUCT(AG138:AG139,AI138:AI139)</f>
        <v>0</v>
      </c>
      <c r="AH137" s="580">
        <f>スコア入力!AC137</f>
        <v>0</v>
      </c>
      <c r="AI137" s="580">
        <f>スコア入力!AE137</f>
        <v>0</v>
      </c>
      <c r="AJ137" s="599">
        <f>SUMPRODUCT(AJ138:AJ139,AL138:AL139)</f>
        <v>0</v>
      </c>
      <c r="AK137" s="599">
        <f>SUMPRODUCT(AK138:AK139,AM138:AM139)</f>
        <v>0</v>
      </c>
      <c r="AL137" s="580">
        <f>スコア入力!AJ137</f>
        <v>0</v>
      </c>
      <c r="AM137" s="580">
        <f>スコア入力!AL137</f>
        <v>0</v>
      </c>
      <c r="AN137" s="581"/>
      <c r="AO137" s="581"/>
    </row>
    <row r="138" spans="1:41" ht="13.5">
      <c r="A138" s="408"/>
      <c r="B138" s="348"/>
      <c r="C138" s="2407"/>
      <c r="D138" s="314">
        <v>4.0999999999999996</v>
      </c>
      <c r="E138" s="334" t="s">
        <v>1806</v>
      </c>
      <c r="F138" s="649"/>
      <c r="G138" s="649"/>
      <c r="H138" s="2836"/>
      <c r="I138" s="2837"/>
      <c r="J138" s="2837"/>
      <c r="K138" s="2838"/>
      <c r="L138" s="585">
        <f t="shared" si="47"/>
        <v>0</v>
      </c>
      <c r="M138" s="585">
        <f>IF(Z138=0,0,ROUNDDOWN(AG138,1))</f>
        <v>0</v>
      </c>
      <c r="N138" s="580">
        <f>スコア入力!AC138</f>
        <v>0</v>
      </c>
      <c r="O138" s="580">
        <f>スコア入力!AE138</f>
        <v>0</v>
      </c>
      <c r="P138" s="585">
        <f t="shared" si="48"/>
        <v>0</v>
      </c>
      <c r="Q138" s="585">
        <f t="shared" si="49"/>
        <v>0</v>
      </c>
      <c r="R138" s="580">
        <f>スコア入力!AJ138</f>
        <v>0</v>
      </c>
      <c r="S138" s="580">
        <f>スコア入力!AL138</f>
        <v>0</v>
      </c>
      <c r="T138" s="581"/>
      <c r="U138" s="581"/>
      <c r="W138" s="570">
        <f t="shared" ref="W138:W139" si="61">AF138</f>
        <v>0</v>
      </c>
      <c r="X138" s="570">
        <f t="shared" ref="X138:X139" si="62">AG138</f>
        <v>0</v>
      </c>
      <c r="Y138" s="253">
        <f>スコア入力!AA138</f>
        <v>0</v>
      </c>
      <c r="Z138" s="253">
        <f>スコア入力!AB138</f>
        <v>0</v>
      </c>
      <c r="AA138" s="570">
        <f t="shared" ref="AA138:AA139" si="63">AJ138</f>
        <v>0</v>
      </c>
      <c r="AB138" s="570">
        <f t="shared" ref="AB138:AB139" si="64">AK138</f>
        <v>0</v>
      </c>
      <c r="AC138" s="253">
        <f>スコア入力!AH138</f>
        <v>0</v>
      </c>
      <c r="AD138" s="253">
        <f>スコア入力!AI138</f>
        <v>0</v>
      </c>
      <c r="AE138" s="6"/>
      <c r="AF138" s="632">
        <f>スコア入力!N138</f>
        <v>0</v>
      </c>
      <c r="AG138" s="632">
        <f>スコア入力!P138</f>
        <v>0</v>
      </c>
      <c r="AH138" s="586">
        <f>スコア入力!AC138</f>
        <v>0</v>
      </c>
      <c r="AI138" s="586">
        <f>スコア入力!AE138</f>
        <v>0</v>
      </c>
      <c r="AJ138" s="632">
        <f>スコア入力!U138</f>
        <v>0</v>
      </c>
      <c r="AK138" s="632">
        <f>スコア入力!W138</f>
        <v>0</v>
      </c>
      <c r="AL138" s="586">
        <f>スコア入力!AJ138</f>
        <v>0</v>
      </c>
      <c r="AM138" s="586">
        <f>スコア入力!AL138</f>
        <v>0</v>
      </c>
      <c r="AN138" s="581"/>
      <c r="AO138" s="581"/>
    </row>
    <row r="139" spans="1:41" ht="14.25" thickBot="1">
      <c r="A139" s="408"/>
      <c r="B139" s="387"/>
      <c r="C139" s="2408"/>
      <c r="D139" s="314">
        <v>4.2</v>
      </c>
      <c r="E139" s="334" t="s">
        <v>792</v>
      </c>
      <c r="F139" s="649"/>
      <c r="G139" s="649"/>
      <c r="H139" s="2836"/>
      <c r="I139" s="2837"/>
      <c r="J139" s="2837"/>
      <c r="K139" s="2838"/>
      <c r="L139" s="588">
        <f t="shared" si="47"/>
        <v>0</v>
      </c>
      <c r="M139" s="588">
        <f>IF(Z139=0,0,ROUNDDOWN(AG139,1))</f>
        <v>0</v>
      </c>
      <c r="N139" s="2420">
        <f>スコア入力!AC139</f>
        <v>0</v>
      </c>
      <c r="O139" s="629">
        <f>スコア入力!AE139</f>
        <v>0</v>
      </c>
      <c r="P139" s="588">
        <f t="shared" si="48"/>
        <v>0</v>
      </c>
      <c r="Q139" s="588">
        <f t="shared" si="49"/>
        <v>0</v>
      </c>
      <c r="R139" s="629">
        <f>スコア入力!AJ139</f>
        <v>0</v>
      </c>
      <c r="S139" s="629">
        <f>スコア入力!AL139</f>
        <v>0</v>
      </c>
      <c r="T139" s="606"/>
      <c r="U139" s="581"/>
      <c r="W139" s="570">
        <f t="shared" si="61"/>
        <v>0</v>
      </c>
      <c r="X139" s="570">
        <f t="shared" si="62"/>
        <v>0</v>
      </c>
      <c r="Y139" s="253">
        <f>スコア入力!AA139</f>
        <v>0</v>
      </c>
      <c r="Z139" s="253">
        <f>スコア入力!AB139</f>
        <v>0</v>
      </c>
      <c r="AA139" s="570">
        <f t="shared" si="63"/>
        <v>0</v>
      </c>
      <c r="AB139" s="570">
        <f t="shared" si="64"/>
        <v>0</v>
      </c>
      <c r="AC139" s="253">
        <f>スコア入力!AH139</f>
        <v>0</v>
      </c>
      <c r="AD139" s="253">
        <f>スコア入力!AI139</f>
        <v>0</v>
      </c>
      <c r="AE139" s="6"/>
      <c r="AF139" s="602">
        <f>スコア入力!N139</f>
        <v>0</v>
      </c>
      <c r="AG139" s="602">
        <f>スコア入力!P139</f>
        <v>0</v>
      </c>
      <c r="AH139" s="580">
        <f>スコア入力!AC139</f>
        <v>0</v>
      </c>
      <c r="AI139" s="580">
        <f>スコア入力!AE139</f>
        <v>0</v>
      </c>
      <c r="AJ139" s="602">
        <f>スコア入力!U139</f>
        <v>0</v>
      </c>
      <c r="AK139" s="602">
        <f>スコア入力!W139</f>
        <v>0</v>
      </c>
      <c r="AL139" s="580">
        <f>スコア入力!AJ139</f>
        <v>0</v>
      </c>
      <c r="AM139" s="580">
        <f>スコア入力!AL139</f>
        <v>0</v>
      </c>
      <c r="AN139" s="581"/>
      <c r="AO139" s="581"/>
    </row>
    <row r="140" spans="1:41" ht="15.75" thickBot="1">
      <c r="A140" s="408"/>
      <c r="B140" s="369" t="s">
        <v>793</v>
      </c>
      <c r="C140" s="409"/>
      <c r="D140" s="409" t="s">
        <v>794</v>
      </c>
      <c r="E140" s="409"/>
      <c r="F140" s="630"/>
      <c r="G140" s="630"/>
      <c r="H140" s="2852"/>
      <c r="I140" s="2853"/>
      <c r="J140" s="2853"/>
      <c r="K140" s="2854"/>
      <c r="L140" s="608"/>
      <c r="M140" s="608"/>
      <c r="N140" s="2417">
        <f>スコア入力!AC140</f>
        <v>0.3</v>
      </c>
      <c r="O140" s="2417">
        <f>スコア入力!AE140</f>
        <v>0.3</v>
      </c>
      <c r="P140" s="2418"/>
      <c r="Q140" s="2418"/>
      <c r="R140" s="2417"/>
      <c r="S140" s="2417"/>
      <c r="T140" s="2419">
        <f>ROUNDDOWN(AN140,1)</f>
        <v>3</v>
      </c>
      <c r="U140" s="609">
        <f>ROUNDDOWN(AO140,1)</f>
        <v>3</v>
      </c>
      <c r="W140" s="570">
        <f>$AO140</f>
        <v>3.0000000000000004</v>
      </c>
      <c r="X140" s="570">
        <f>$AO140</f>
        <v>3.0000000000000004</v>
      </c>
      <c r="Y140" s="253">
        <f>スコア入力!AA140</f>
        <v>0.3</v>
      </c>
      <c r="Z140" s="253">
        <f>スコア入力!AB140</f>
        <v>0.3</v>
      </c>
      <c r="AA140" s="570">
        <f t="shared" si="35"/>
        <v>0</v>
      </c>
      <c r="AB140" s="570">
        <f t="shared" si="36"/>
        <v>0</v>
      </c>
      <c r="AC140" s="253">
        <f>スコア入力!AH140</f>
        <v>0</v>
      </c>
      <c r="AD140" s="253">
        <f>スコア入力!AI140</f>
        <v>0</v>
      </c>
      <c r="AE140" s="6"/>
      <c r="AF140" s="608"/>
      <c r="AG140" s="608"/>
      <c r="AH140" s="573">
        <f>スコア入力!AC140</f>
        <v>0.3</v>
      </c>
      <c r="AI140" s="573">
        <f>スコア入力!AE140</f>
        <v>0.3</v>
      </c>
      <c r="AJ140" s="608"/>
      <c r="AK140" s="608"/>
      <c r="AL140" s="573">
        <f>スコア入力!AJ140</f>
        <v>0</v>
      </c>
      <c r="AM140" s="573">
        <f>スコア入力!AL140</f>
        <v>0</v>
      </c>
      <c r="AN140" s="609">
        <f>AN141*AH141+AN146*AH146+AN153*AH153</f>
        <v>3.0000000000000004</v>
      </c>
      <c r="AO140" s="609">
        <f>AO141*AI141+AO146*AI146+AO153*AI153</f>
        <v>3.0000000000000004</v>
      </c>
    </row>
    <row r="141" spans="1:41" ht="14.25" thickBot="1">
      <c r="A141" s="408"/>
      <c r="B141" s="465">
        <v>1</v>
      </c>
      <c r="C141" s="295" t="s">
        <v>795</v>
      </c>
      <c r="D141" s="295"/>
      <c r="E141" s="295"/>
      <c r="F141" s="579"/>
      <c r="G141" s="579"/>
      <c r="H141" s="2865"/>
      <c r="I141" s="2866"/>
      <c r="J141" s="2866"/>
      <c r="K141" s="2867"/>
      <c r="L141" s="599">
        <f t="shared" ref="L141:L158" si="65">IF(Y141=0,0,ROUNDDOWN(AF141,1))</f>
        <v>3</v>
      </c>
      <c r="M141" s="599">
        <f t="shared" ref="M141:M158" si="66">IF(Z141=0,0,ROUNDDOWN(AG141,1))</f>
        <v>3</v>
      </c>
      <c r="N141" s="580">
        <f>スコア入力!AC141</f>
        <v>0.2</v>
      </c>
      <c r="O141" s="580">
        <f>スコア入力!AE141</f>
        <v>0.2</v>
      </c>
      <c r="P141" s="599">
        <f t="shared" ref="P141:P158" si="67">IF(AC141=0,0,ROUNDDOWN(AJ141,1))</f>
        <v>0</v>
      </c>
      <c r="Q141" s="599">
        <f t="shared" ref="Q141:Q158" si="68">IF(AD141=0,0,ROUNDDOWN(AK141,1))</f>
        <v>0</v>
      </c>
      <c r="R141" s="580"/>
      <c r="S141" s="580"/>
      <c r="T141" s="581">
        <f>ROUNDDOWN(AN141,1)</f>
        <v>3</v>
      </c>
      <c r="U141" s="581">
        <f>ROUNDDOWN(AO141,1)</f>
        <v>3</v>
      </c>
      <c r="W141" s="570">
        <f t="shared" ref="W141:W158" si="69">AF141</f>
        <v>3</v>
      </c>
      <c r="X141" s="570">
        <f t="shared" ref="X141:X158" si="70">AG141</f>
        <v>3</v>
      </c>
      <c r="Y141" s="253">
        <f>スコア入力!AA141</f>
        <v>0.2</v>
      </c>
      <c r="Z141" s="253">
        <f>スコア入力!AB141</f>
        <v>0.2</v>
      </c>
      <c r="AA141" s="570">
        <f t="shared" si="35"/>
        <v>0</v>
      </c>
      <c r="AB141" s="570">
        <f t="shared" si="36"/>
        <v>0</v>
      </c>
      <c r="AC141" s="253">
        <f>スコア入力!AH141</f>
        <v>0</v>
      </c>
      <c r="AD141" s="253">
        <f>スコア入力!AI141</f>
        <v>0</v>
      </c>
      <c r="AE141" s="6"/>
      <c r="AF141" s="599">
        <f>AF142*AH142+AF143*AH143</f>
        <v>3</v>
      </c>
      <c r="AG141" s="599">
        <f>AG142*AI142+AG143*AI143</f>
        <v>3</v>
      </c>
      <c r="AH141" s="580">
        <f>スコア入力!AC141</f>
        <v>0.2</v>
      </c>
      <c r="AI141" s="580">
        <f>スコア入力!AE141</f>
        <v>0.2</v>
      </c>
      <c r="AJ141" s="599">
        <f>AJ142*AL142+AJ143*AL143</f>
        <v>0</v>
      </c>
      <c r="AK141" s="599">
        <f>AK142*AM142+AK143*AM143</f>
        <v>0</v>
      </c>
      <c r="AL141" s="580">
        <f>スコア入力!AJ141</f>
        <v>0</v>
      </c>
      <c r="AM141" s="580">
        <f>スコア入力!AL141</f>
        <v>0</v>
      </c>
      <c r="AN141" s="581">
        <f>ROUNDDOWN(IF(AJ141=0,AF141,IF(AF141=0,AJ141,AF141*AH$6+AJ141*AL$6)),1)</f>
        <v>3</v>
      </c>
      <c r="AO141" s="581">
        <f>ROUNDDOWN(IF(AK141=0,AG141,IF(AG141=0,AK141,AG141*AI$6+AK141*AM$6)),1)</f>
        <v>3</v>
      </c>
    </row>
    <row r="142" spans="1:41" ht="14.25" thickBot="1">
      <c r="A142" s="408"/>
      <c r="B142" s="348"/>
      <c r="C142" s="333">
        <v>1.1000000000000001</v>
      </c>
      <c r="D142" s="334" t="s">
        <v>796</v>
      </c>
      <c r="E142" s="334"/>
      <c r="F142" s="337"/>
      <c r="G142" s="337"/>
      <c r="H142" s="2836"/>
      <c r="I142" s="2837"/>
      <c r="J142" s="2837"/>
      <c r="K142" s="2838"/>
      <c r="L142" s="458">
        <f t="shared" si="65"/>
        <v>3</v>
      </c>
      <c r="M142" s="458">
        <f t="shared" si="66"/>
        <v>3</v>
      </c>
      <c r="N142" s="598">
        <f>スコア入力!AC142</f>
        <v>0.4</v>
      </c>
      <c r="O142" s="598">
        <f>スコア入力!AE142</f>
        <v>0.4</v>
      </c>
      <c r="P142" s="458">
        <f t="shared" si="67"/>
        <v>0</v>
      </c>
      <c r="Q142" s="458">
        <f t="shared" si="68"/>
        <v>0</v>
      </c>
      <c r="R142" s="598">
        <f>スコア入力!AJ142</f>
        <v>0</v>
      </c>
      <c r="S142" s="598">
        <f>スコア入力!AL142</f>
        <v>0</v>
      </c>
      <c r="T142" s="584"/>
      <c r="U142" s="584"/>
      <c r="W142" s="254">
        <f t="shared" si="69"/>
        <v>3</v>
      </c>
      <c r="X142" s="254">
        <f t="shared" si="70"/>
        <v>3</v>
      </c>
      <c r="Y142" s="253">
        <f>スコア入力!AA142</f>
        <v>0.4</v>
      </c>
      <c r="Z142" s="253">
        <f>スコア入力!AB142</f>
        <v>0.4</v>
      </c>
      <c r="AA142" s="254">
        <f t="shared" si="35"/>
        <v>0</v>
      </c>
      <c r="AB142" s="254">
        <f t="shared" si="36"/>
        <v>0</v>
      </c>
      <c r="AC142" s="253">
        <f>スコア入力!AH142</f>
        <v>0</v>
      </c>
      <c r="AD142" s="253">
        <f>スコア入力!AI142</f>
        <v>0</v>
      </c>
      <c r="AE142" s="6"/>
      <c r="AF142" s="653">
        <f>スコア入力!N142</f>
        <v>3</v>
      </c>
      <c r="AG142" s="653">
        <f>スコア入力!P142</f>
        <v>3</v>
      </c>
      <c r="AH142" s="598">
        <f>スコア入力!AC142</f>
        <v>0.4</v>
      </c>
      <c r="AI142" s="598">
        <f>スコア入力!AE142</f>
        <v>0.4</v>
      </c>
      <c r="AJ142" s="653">
        <f>スコア入力!U142</f>
        <v>0</v>
      </c>
      <c r="AK142" s="653">
        <f>スコア入力!W142</f>
        <v>0</v>
      </c>
      <c r="AL142" s="598">
        <f>スコア入力!AJ142</f>
        <v>0</v>
      </c>
      <c r="AM142" s="598">
        <f>スコア入力!AL142</f>
        <v>0</v>
      </c>
      <c r="AN142" s="584"/>
      <c r="AO142" s="584"/>
    </row>
    <row r="143" spans="1:41" ht="14.25" thickBot="1">
      <c r="A143" s="408"/>
      <c r="B143" s="348"/>
      <c r="C143" s="466">
        <v>1.2</v>
      </c>
      <c r="D143" s="343" t="s">
        <v>797</v>
      </c>
      <c r="E143" s="307"/>
      <c r="F143" s="384"/>
      <c r="G143" s="384"/>
      <c r="H143" s="2836"/>
      <c r="I143" s="2837"/>
      <c r="J143" s="2837"/>
      <c r="K143" s="2837"/>
      <c r="L143" s="590">
        <f>IF(Y143=0,0,ROUNDDOWN(AF143,1))</f>
        <v>3</v>
      </c>
      <c r="M143" s="599">
        <f t="shared" si="66"/>
        <v>3</v>
      </c>
      <c r="N143" s="580">
        <f>スコア入力!AC143</f>
        <v>0.6</v>
      </c>
      <c r="O143" s="580">
        <f>スコア入力!AE143</f>
        <v>0.6</v>
      </c>
      <c r="P143" s="599">
        <f t="shared" si="67"/>
        <v>0</v>
      </c>
      <c r="Q143" s="599">
        <f t="shared" si="68"/>
        <v>0</v>
      </c>
      <c r="R143" s="580">
        <f>スコア入力!AJ143</f>
        <v>0</v>
      </c>
      <c r="S143" s="580">
        <f>スコア入力!AL143</f>
        <v>0</v>
      </c>
      <c r="T143" s="581"/>
      <c r="U143" s="581"/>
      <c r="W143" s="570">
        <f t="shared" si="69"/>
        <v>2.9999999999999996</v>
      </c>
      <c r="X143" s="570">
        <f t="shared" si="70"/>
        <v>2.9999999999999996</v>
      </c>
      <c r="Y143" s="253">
        <f>スコア入力!AA143</f>
        <v>0.6</v>
      </c>
      <c r="Z143" s="253">
        <f>スコア入力!AB143</f>
        <v>0.6</v>
      </c>
      <c r="AA143" s="570">
        <f t="shared" si="35"/>
        <v>0</v>
      </c>
      <c r="AB143" s="570">
        <f t="shared" si="36"/>
        <v>0</v>
      </c>
      <c r="AC143" s="253">
        <f>スコア入力!AH143</f>
        <v>0</v>
      </c>
      <c r="AD143" s="253">
        <f>スコア入力!AI143</f>
        <v>0</v>
      </c>
      <c r="AE143" s="6"/>
      <c r="AF143" s="599">
        <f>SUMPRODUCT(AF144:AF145,AH144:AH145)</f>
        <v>2.9999999999999996</v>
      </c>
      <c r="AG143" s="599">
        <f>SUMPRODUCT(AG144:AG145,AI144:AI145)</f>
        <v>2.9999999999999996</v>
      </c>
      <c r="AH143" s="580">
        <f>スコア入力!AC143</f>
        <v>0.6</v>
      </c>
      <c r="AI143" s="580">
        <f>スコア入力!AE143</f>
        <v>0.6</v>
      </c>
      <c r="AJ143" s="599">
        <f>SUMPRODUCT(AJ144:AJ145,AL144:AL145)</f>
        <v>0</v>
      </c>
      <c r="AK143" s="599">
        <f>SUMPRODUCT(AK144:AK145,AM144:AM145)</f>
        <v>0</v>
      </c>
      <c r="AL143" s="580">
        <f>スコア入力!AJ143</f>
        <v>0</v>
      </c>
      <c r="AM143" s="580">
        <f>スコア入力!AL143</f>
        <v>0</v>
      </c>
      <c r="AN143" s="581"/>
      <c r="AO143" s="581"/>
    </row>
    <row r="144" spans="1:41" ht="13.5">
      <c r="A144" s="408"/>
      <c r="B144" s="348"/>
      <c r="C144" s="467"/>
      <c r="D144" s="314">
        <v>1</v>
      </c>
      <c r="E144" s="2889" t="s">
        <v>800</v>
      </c>
      <c r="F144" s="2890"/>
      <c r="G144" s="337"/>
      <c r="H144" s="2836"/>
      <c r="I144" s="2837"/>
      <c r="J144" s="2837"/>
      <c r="K144" s="2838"/>
      <c r="L144" s="585">
        <f t="shared" si="65"/>
        <v>3</v>
      </c>
      <c r="M144" s="585">
        <f t="shared" si="66"/>
        <v>3</v>
      </c>
      <c r="N144" s="580">
        <f>スコア入力!AC144</f>
        <v>0.7</v>
      </c>
      <c r="O144" s="580">
        <f>スコア入力!AE144</f>
        <v>0.7</v>
      </c>
      <c r="P144" s="585">
        <f t="shared" si="67"/>
        <v>0</v>
      </c>
      <c r="Q144" s="585">
        <f t="shared" si="68"/>
        <v>0</v>
      </c>
      <c r="R144" s="580">
        <f>スコア入力!AJ144</f>
        <v>0</v>
      </c>
      <c r="S144" s="580">
        <f>スコア入力!AL144</f>
        <v>0</v>
      </c>
      <c r="T144" s="581"/>
      <c r="U144" s="581"/>
      <c r="W144" s="254">
        <f t="shared" si="69"/>
        <v>3</v>
      </c>
      <c r="X144" s="254">
        <f t="shared" si="70"/>
        <v>3</v>
      </c>
      <c r="Y144" s="253">
        <f>スコア入力!AA144</f>
        <v>0.7</v>
      </c>
      <c r="Z144" s="253">
        <f>スコア入力!AB144</f>
        <v>0.7</v>
      </c>
      <c r="AA144" s="254">
        <f t="shared" si="35"/>
        <v>0</v>
      </c>
      <c r="AB144" s="254">
        <f t="shared" si="36"/>
        <v>0</v>
      </c>
      <c r="AC144" s="253">
        <f>スコア入力!AH144</f>
        <v>0</v>
      </c>
      <c r="AD144" s="253">
        <f>スコア入力!AI144</f>
        <v>0</v>
      </c>
      <c r="AE144" s="6"/>
      <c r="AF144" s="632">
        <f>スコア入力!N144</f>
        <v>3</v>
      </c>
      <c r="AG144" s="632">
        <f>スコア入力!P144</f>
        <v>3</v>
      </c>
      <c r="AH144" s="580">
        <f>スコア入力!AC144</f>
        <v>0.7</v>
      </c>
      <c r="AI144" s="580">
        <f>スコア入力!AE144</f>
        <v>0.7</v>
      </c>
      <c r="AJ144" s="632">
        <f>スコア入力!U144</f>
        <v>0</v>
      </c>
      <c r="AK144" s="632">
        <f>スコア入力!W144</f>
        <v>0</v>
      </c>
      <c r="AL144" s="580">
        <f>スコア入力!AJ144</f>
        <v>0</v>
      </c>
      <c r="AM144" s="580">
        <f>スコア入力!AL144</f>
        <v>0</v>
      </c>
      <c r="AN144" s="581"/>
      <c r="AO144" s="581"/>
    </row>
    <row r="145" spans="1:41" ht="14.25" thickBot="1">
      <c r="A145" s="408"/>
      <c r="B145" s="387"/>
      <c r="C145" s="468"/>
      <c r="D145" s="314">
        <v>2</v>
      </c>
      <c r="E145" s="2889" t="s">
        <v>840</v>
      </c>
      <c r="F145" s="2890"/>
      <c r="G145" s="337"/>
      <c r="H145" s="2836"/>
      <c r="I145" s="2837"/>
      <c r="J145" s="2837"/>
      <c r="K145" s="2838"/>
      <c r="L145" s="588">
        <f t="shared" si="65"/>
        <v>3</v>
      </c>
      <c r="M145" s="588">
        <f t="shared" si="66"/>
        <v>3</v>
      </c>
      <c r="N145" s="580">
        <f>スコア入力!AC145</f>
        <v>0.3</v>
      </c>
      <c r="O145" s="580">
        <f>スコア入力!AE145</f>
        <v>0.3</v>
      </c>
      <c r="P145" s="588">
        <f t="shared" si="67"/>
        <v>0</v>
      </c>
      <c r="Q145" s="588">
        <f t="shared" si="68"/>
        <v>0</v>
      </c>
      <c r="R145" s="580">
        <f>スコア入力!AJ145</f>
        <v>0</v>
      </c>
      <c r="S145" s="580">
        <f>スコア入力!AL145</f>
        <v>0</v>
      </c>
      <c r="T145" s="581"/>
      <c r="U145" s="581"/>
      <c r="W145" s="254">
        <f t="shared" si="69"/>
        <v>3</v>
      </c>
      <c r="X145" s="254">
        <f t="shared" si="70"/>
        <v>3</v>
      </c>
      <c r="Y145" s="253">
        <f>スコア入力!AA145</f>
        <v>0.3</v>
      </c>
      <c r="Z145" s="253">
        <f>スコア入力!AB145</f>
        <v>0.3</v>
      </c>
      <c r="AA145" s="254">
        <f t="shared" si="35"/>
        <v>0</v>
      </c>
      <c r="AB145" s="254">
        <f t="shared" si="36"/>
        <v>0</v>
      </c>
      <c r="AC145" s="253">
        <f>スコア入力!AH145</f>
        <v>0</v>
      </c>
      <c r="AD145" s="253">
        <f>スコア入力!AI145</f>
        <v>0</v>
      </c>
      <c r="AE145" s="6"/>
      <c r="AF145" s="602">
        <f>スコア入力!N145</f>
        <v>3</v>
      </c>
      <c r="AG145" s="602">
        <f>スコア入力!P145</f>
        <v>3</v>
      </c>
      <c r="AH145" s="580">
        <f>スコア入力!AC145</f>
        <v>0.3</v>
      </c>
      <c r="AI145" s="580">
        <f>スコア入力!AE145</f>
        <v>0.3</v>
      </c>
      <c r="AJ145" s="602">
        <f>スコア入力!U145</f>
        <v>0</v>
      </c>
      <c r="AK145" s="602">
        <f>スコア入力!W145</f>
        <v>0</v>
      </c>
      <c r="AL145" s="580">
        <f>スコア入力!AJ145</f>
        <v>0</v>
      </c>
      <c r="AM145" s="580">
        <f>スコア入力!AL145</f>
        <v>0</v>
      </c>
      <c r="AN145" s="581"/>
      <c r="AO145" s="581"/>
    </row>
    <row r="146" spans="1:41" ht="14.25" thickBot="1">
      <c r="A146" s="408"/>
      <c r="B146" s="654">
        <v>2</v>
      </c>
      <c r="C146" s="336" t="s">
        <v>978</v>
      </c>
      <c r="D146" s="295"/>
      <c r="E146" s="295"/>
      <c r="F146" s="579"/>
      <c r="G146" s="579"/>
      <c r="H146" s="2855"/>
      <c r="I146" s="2856"/>
      <c r="J146" s="2856"/>
      <c r="K146" s="2857"/>
      <c r="L146" s="592">
        <f t="shared" si="65"/>
        <v>3</v>
      </c>
      <c r="M146" s="595">
        <f t="shared" si="66"/>
        <v>3</v>
      </c>
      <c r="N146" s="594">
        <f>スコア入力!AC146</f>
        <v>0.6</v>
      </c>
      <c r="O146" s="594">
        <f>スコア入力!AE146</f>
        <v>0.6</v>
      </c>
      <c r="P146" s="595">
        <f t="shared" si="67"/>
        <v>0</v>
      </c>
      <c r="Q146" s="595">
        <f t="shared" si="68"/>
        <v>0</v>
      </c>
      <c r="R146" s="594"/>
      <c r="S146" s="594"/>
      <c r="T146" s="596">
        <f>ROUNDDOWN(AN146,1)</f>
        <v>3</v>
      </c>
      <c r="U146" s="596">
        <f>ROUNDDOWN(AO146,1)</f>
        <v>3</v>
      </c>
      <c r="W146" s="570">
        <f t="shared" si="69"/>
        <v>3.0000000000000004</v>
      </c>
      <c r="X146" s="570">
        <f t="shared" si="70"/>
        <v>3.0000000000000004</v>
      </c>
      <c r="Y146" s="253">
        <f>スコア入力!AA146</f>
        <v>0.6</v>
      </c>
      <c r="Z146" s="253">
        <f>スコア入力!AB146</f>
        <v>0.6</v>
      </c>
      <c r="AA146" s="570">
        <f t="shared" si="35"/>
        <v>0</v>
      </c>
      <c r="AB146" s="570">
        <f t="shared" si="36"/>
        <v>0</v>
      </c>
      <c r="AC146" s="253">
        <f>スコア入力!AH146</f>
        <v>0</v>
      </c>
      <c r="AD146" s="253">
        <f>スコア入力!AI146</f>
        <v>0</v>
      </c>
      <c r="AE146" s="6"/>
      <c r="AF146" s="599">
        <f>SUMPRODUCT(AF147:AF152,AH147:AH152)</f>
        <v>3.0000000000000004</v>
      </c>
      <c r="AG146" s="599">
        <f>SUMPRODUCT(AG147:AG152,AI147:AI152)</f>
        <v>3.0000000000000004</v>
      </c>
      <c r="AH146" s="594">
        <f>スコア入力!AC146</f>
        <v>0.6</v>
      </c>
      <c r="AI146" s="594">
        <f>スコア入力!AE146</f>
        <v>0.6</v>
      </c>
      <c r="AJ146" s="599">
        <f>SUMPRODUCT(AJ147:AJ152,AL147:AL152)</f>
        <v>0</v>
      </c>
      <c r="AK146" s="599">
        <f>SUMPRODUCT(AK147:AK152,AM147:AM152)</f>
        <v>0</v>
      </c>
      <c r="AL146" s="594">
        <f>スコア入力!AJ146</f>
        <v>0</v>
      </c>
      <c r="AM146" s="594">
        <f>スコア入力!AL146</f>
        <v>0</v>
      </c>
      <c r="AN146" s="596">
        <f>IF(AJ146=0,AF146,IF(AF146=0,AJ146,AF146*AH$6+AJ146*AL$6))</f>
        <v>3.0000000000000004</v>
      </c>
      <c r="AO146" s="596">
        <f>IF(AK146=0,AG146,IF(AG146=0,AK146,AG146*AI$6+AK146*AM$6))</f>
        <v>3.0000000000000004</v>
      </c>
    </row>
    <row r="147" spans="1:41" ht="14.25" thickBot="1">
      <c r="A147" s="408"/>
      <c r="B147" s="348"/>
      <c r="C147" s="419">
        <v>2.1</v>
      </c>
      <c r="D147" s="404" t="s">
        <v>802</v>
      </c>
      <c r="E147" s="420"/>
      <c r="F147" s="337"/>
      <c r="G147" s="337"/>
      <c r="H147" s="2872"/>
      <c r="I147" s="2873"/>
      <c r="J147" s="2873"/>
      <c r="K147" s="2874"/>
      <c r="L147" s="599">
        <f t="shared" si="65"/>
        <v>3</v>
      </c>
      <c r="M147" s="599">
        <f t="shared" si="66"/>
        <v>3</v>
      </c>
      <c r="N147" s="580">
        <f>スコア入力!AC147</f>
        <v>0.1</v>
      </c>
      <c r="O147" s="580">
        <f>スコア入力!AE147</f>
        <v>0.1</v>
      </c>
      <c r="P147" s="599">
        <f t="shared" si="67"/>
        <v>0</v>
      </c>
      <c r="Q147" s="599">
        <f t="shared" si="68"/>
        <v>0</v>
      </c>
      <c r="R147" s="580">
        <f>スコア入力!AJ147</f>
        <v>0</v>
      </c>
      <c r="S147" s="580">
        <f>スコア入力!AL147</f>
        <v>0</v>
      </c>
      <c r="T147" s="581"/>
      <c r="U147" s="581"/>
      <c r="W147" s="570">
        <f t="shared" si="69"/>
        <v>3</v>
      </c>
      <c r="X147" s="570">
        <f t="shared" si="70"/>
        <v>3</v>
      </c>
      <c r="Y147" s="253">
        <f>スコア入力!AA147</f>
        <v>0.1</v>
      </c>
      <c r="Z147" s="253">
        <f>スコア入力!AB147</f>
        <v>0.1</v>
      </c>
      <c r="AA147" s="570">
        <f t="shared" si="35"/>
        <v>0</v>
      </c>
      <c r="AB147" s="570">
        <f t="shared" si="36"/>
        <v>0</v>
      </c>
      <c r="AC147" s="253">
        <f>スコア入力!AH147</f>
        <v>0</v>
      </c>
      <c r="AD147" s="253">
        <f>スコア入力!AI147</f>
        <v>0</v>
      </c>
      <c r="AE147" s="6"/>
      <c r="AF147" s="632">
        <f>スコア入力!N147</f>
        <v>3</v>
      </c>
      <c r="AG147" s="632">
        <f>スコア入力!P147</f>
        <v>3</v>
      </c>
      <c r="AH147" s="580">
        <f>スコア入力!AC147</f>
        <v>0.1</v>
      </c>
      <c r="AI147" s="580">
        <f>スコア入力!AE147</f>
        <v>0.1</v>
      </c>
      <c r="AJ147" s="632">
        <f>スコア入力!U147</f>
        <v>0</v>
      </c>
      <c r="AK147" s="632">
        <f>スコア入力!W147</f>
        <v>0</v>
      </c>
      <c r="AL147" s="580">
        <f>スコア入力!AJ147</f>
        <v>0</v>
      </c>
      <c r="AM147" s="580">
        <f>スコア入力!AL147</f>
        <v>0</v>
      </c>
      <c r="AN147" s="581"/>
      <c r="AO147" s="581"/>
    </row>
    <row r="148" spans="1:41" ht="13.5">
      <c r="A148" s="408"/>
      <c r="B148" s="357"/>
      <c r="C148" s="419">
        <v>2.2000000000000002</v>
      </c>
      <c r="D148" s="404" t="s">
        <v>803</v>
      </c>
      <c r="E148" s="420"/>
      <c r="F148" s="337"/>
      <c r="G148" s="337"/>
      <c r="H148" s="2836"/>
      <c r="I148" s="2837"/>
      <c r="J148" s="2837"/>
      <c r="K148" s="2838"/>
      <c r="L148" s="460">
        <f t="shared" si="65"/>
        <v>3</v>
      </c>
      <c r="M148" s="460">
        <f t="shared" si="66"/>
        <v>3</v>
      </c>
      <c r="N148" s="580">
        <f>スコア入力!AC148</f>
        <v>0.2</v>
      </c>
      <c r="O148" s="580">
        <f>スコア入力!AE148</f>
        <v>0.2</v>
      </c>
      <c r="P148" s="460">
        <f t="shared" si="67"/>
        <v>0</v>
      </c>
      <c r="Q148" s="460">
        <f t="shared" si="68"/>
        <v>0</v>
      </c>
      <c r="R148" s="580">
        <f>スコア入力!AJ148</f>
        <v>0</v>
      </c>
      <c r="S148" s="580">
        <f>スコア入力!AL148</f>
        <v>0</v>
      </c>
      <c r="T148" s="581"/>
      <c r="U148" s="581"/>
      <c r="W148" s="254">
        <f t="shared" si="69"/>
        <v>3</v>
      </c>
      <c r="X148" s="254">
        <f t="shared" si="70"/>
        <v>3</v>
      </c>
      <c r="Y148" s="253">
        <f>スコア入力!AA148</f>
        <v>0.2</v>
      </c>
      <c r="Z148" s="253">
        <f>スコア入力!AB148</f>
        <v>0.2</v>
      </c>
      <c r="AA148" s="254">
        <f t="shared" si="35"/>
        <v>0</v>
      </c>
      <c r="AB148" s="254">
        <f t="shared" si="36"/>
        <v>0</v>
      </c>
      <c r="AC148" s="253">
        <f>スコア入力!AH148</f>
        <v>0</v>
      </c>
      <c r="AD148" s="253">
        <f>スコア入力!AI148</f>
        <v>0</v>
      </c>
      <c r="AE148" s="6"/>
      <c r="AF148" s="651">
        <f>スコア入力!N148</f>
        <v>3</v>
      </c>
      <c r="AG148" s="651">
        <f>スコア入力!P148</f>
        <v>3</v>
      </c>
      <c r="AH148" s="580">
        <f>スコア入力!AC148</f>
        <v>0.2</v>
      </c>
      <c r="AI148" s="580">
        <f>スコア入力!AE148</f>
        <v>0.2</v>
      </c>
      <c r="AJ148" s="651">
        <f>スコア入力!U148</f>
        <v>0</v>
      </c>
      <c r="AK148" s="651">
        <f>スコア入力!W148</f>
        <v>0</v>
      </c>
      <c r="AL148" s="580">
        <f>スコア入力!AJ148</f>
        <v>0</v>
      </c>
      <c r="AM148" s="580">
        <f>スコア入力!AL148</f>
        <v>0</v>
      </c>
      <c r="AN148" s="581"/>
      <c r="AO148" s="581"/>
    </row>
    <row r="149" spans="1:41" ht="13.5">
      <c r="A149" s="408"/>
      <c r="B149" s="348"/>
      <c r="C149" s="419">
        <v>2.2999999999999998</v>
      </c>
      <c r="D149" s="404" t="s">
        <v>805</v>
      </c>
      <c r="E149" s="420"/>
      <c r="F149" s="337"/>
      <c r="G149" s="337"/>
      <c r="H149" s="2836"/>
      <c r="I149" s="2837"/>
      <c r="J149" s="2837"/>
      <c r="K149" s="2838"/>
      <c r="L149" s="591">
        <f t="shared" si="65"/>
        <v>3</v>
      </c>
      <c r="M149" s="591">
        <f t="shared" si="66"/>
        <v>3</v>
      </c>
      <c r="N149" s="580">
        <f>スコア入力!AC149</f>
        <v>0.2</v>
      </c>
      <c r="O149" s="580">
        <f>スコア入力!AE149</f>
        <v>0.2</v>
      </c>
      <c r="P149" s="591">
        <f t="shared" si="67"/>
        <v>0</v>
      </c>
      <c r="Q149" s="591">
        <f t="shared" si="68"/>
        <v>0</v>
      </c>
      <c r="R149" s="580">
        <f>スコア入力!AJ149</f>
        <v>0</v>
      </c>
      <c r="S149" s="580">
        <f>スコア入力!AL149</f>
        <v>0</v>
      </c>
      <c r="T149" s="581"/>
      <c r="U149" s="581"/>
      <c r="W149" s="254">
        <f t="shared" si="69"/>
        <v>3</v>
      </c>
      <c r="X149" s="254">
        <f t="shared" si="70"/>
        <v>3</v>
      </c>
      <c r="Y149" s="253">
        <f>スコア入力!AA149</f>
        <v>0.2</v>
      </c>
      <c r="Z149" s="253">
        <f>スコア入力!AB149</f>
        <v>0.2</v>
      </c>
      <c r="AA149" s="254">
        <f t="shared" si="35"/>
        <v>0</v>
      </c>
      <c r="AB149" s="254">
        <f t="shared" si="36"/>
        <v>0</v>
      </c>
      <c r="AC149" s="253">
        <f>スコア入力!AH149</f>
        <v>0</v>
      </c>
      <c r="AD149" s="253">
        <f>スコア入力!AI149</f>
        <v>0</v>
      </c>
      <c r="AE149" s="6"/>
      <c r="AF149" s="651">
        <f>スコア入力!N149</f>
        <v>3</v>
      </c>
      <c r="AG149" s="651">
        <f>スコア入力!P149</f>
        <v>3</v>
      </c>
      <c r="AH149" s="580">
        <f>スコア入力!AC149</f>
        <v>0.2</v>
      </c>
      <c r="AI149" s="580">
        <f>スコア入力!AE149</f>
        <v>0.2</v>
      </c>
      <c r="AJ149" s="651">
        <f>スコア入力!U149</f>
        <v>0</v>
      </c>
      <c r="AK149" s="651">
        <f>スコア入力!W149</f>
        <v>0</v>
      </c>
      <c r="AL149" s="580">
        <f>スコア入力!AJ149</f>
        <v>0</v>
      </c>
      <c r="AM149" s="580">
        <f>スコア入力!AL149</f>
        <v>0</v>
      </c>
      <c r="AN149" s="581"/>
      <c r="AO149" s="581"/>
    </row>
    <row r="150" spans="1:41" ht="13.5">
      <c r="A150" s="408"/>
      <c r="B150" s="348"/>
      <c r="C150" s="419">
        <v>2.4</v>
      </c>
      <c r="D150" s="2108" t="s">
        <v>1808</v>
      </c>
      <c r="E150" s="420"/>
      <c r="F150" s="337"/>
      <c r="G150" s="337"/>
      <c r="H150" s="2836"/>
      <c r="I150" s="2837"/>
      <c r="J150" s="2837"/>
      <c r="K150" s="2838"/>
      <c r="L150" s="591">
        <f t="shared" si="65"/>
        <v>3</v>
      </c>
      <c r="M150" s="591">
        <f t="shared" si="66"/>
        <v>3</v>
      </c>
      <c r="N150" s="580">
        <f>スコア入力!AC150</f>
        <v>0.2</v>
      </c>
      <c r="O150" s="580">
        <f>スコア入力!AE150</f>
        <v>0.2</v>
      </c>
      <c r="P150" s="591">
        <f t="shared" si="67"/>
        <v>0</v>
      </c>
      <c r="Q150" s="591">
        <f t="shared" si="68"/>
        <v>0</v>
      </c>
      <c r="R150" s="580">
        <f>スコア入力!AJ150</f>
        <v>0</v>
      </c>
      <c r="S150" s="580">
        <f>スコア入力!AL150</f>
        <v>0</v>
      </c>
      <c r="T150" s="581"/>
      <c r="U150" s="581"/>
      <c r="W150" s="254">
        <f t="shared" si="69"/>
        <v>3</v>
      </c>
      <c r="X150" s="254">
        <f t="shared" si="70"/>
        <v>3</v>
      </c>
      <c r="Y150" s="253">
        <f>スコア入力!AA150</f>
        <v>0.2</v>
      </c>
      <c r="Z150" s="253">
        <f>スコア入力!AB150</f>
        <v>0.2</v>
      </c>
      <c r="AA150" s="254">
        <f t="shared" si="35"/>
        <v>0</v>
      </c>
      <c r="AB150" s="254">
        <f t="shared" si="36"/>
        <v>0</v>
      </c>
      <c r="AC150" s="253">
        <f>スコア入力!AH150</f>
        <v>0</v>
      </c>
      <c r="AD150" s="253">
        <f>スコア入力!AI150</f>
        <v>0</v>
      </c>
      <c r="AE150" s="6"/>
      <c r="AF150" s="651">
        <f>スコア入力!N150</f>
        <v>3</v>
      </c>
      <c r="AG150" s="651">
        <f>スコア入力!P150</f>
        <v>3</v>
      </c>
      <c r="AH150" s="580">
        <f>スコア入力!AC150</f>
        <v>0.2</v>
      </c>
      <c r="AI150" s="580">
        <f>スコア入力!AE150</f>
        <v>0.2</v>
      </c>
      <c r="AJ150" s="651">
        <f>スコア入力!U150</f>
        <v>0</v>
      </c>
      <c r="AK150" s="651">
        <f>スコア入力!W150</f>
        <v>0</v>
      </c>
      <c r="AL150" s="580">
        <f>スコア入力!AJ150</f>
        <v>0</v>
      </c>
      <c r="AM150" s="580">
        <f>スコア入力!AL150</f>
        <v>0</v>
      </c>
      <c r="AN150" s="581"/>
      <c r="AO150" s="581"/>
    </row>
    <row r="151" spans="1:41" ht="13.5">
      <c r="A151" s="408"/>
      <c r="B151" s="357"/>
      <c r="C151" s="419">
        <v>2.5</v>
      </c>
      <c r="D151" s="404" t="s">
        <v>806</v>
      </c>
      <c r="E151" s="420"/>
      <c r="F151" s="337"/>
      <c r="G151" s="337"/>
      <c r="H151" s="2836"/>
      <c r="I151" s="2837"/>
      <c r="J151" s="2837"/>
      <c r="K151" s="2838"/>
      <c r="L151" s="461">
        <f t="shared" si="65"/>
        <v>3</v>
      </c>
      <c r="M151" s="461">
        <f t="shared" si="66"/>
        <v>3</v>
      </c>
      <c r="N151" s="580">
        <f>スコア入力!AC151</f>
        <v>0.1</v>
      </c>
      <c r="O151" s="580">
        <f>スコア入力!AE151</f>
        <v>0.1</v>
      </c>
      <c r="P151" s="461">
        <f t="shared" si="67"/>
        <v>0</v>
      </c>
      <c r="Q151" s="461">
        <f t="shared" si="68"/>
        <v>0</v>
      </c>
      <c r="R151" s="580">
        <f>スコア入力!AJ151</f>
        <v>0</v>
      </c>
      <c r="S151" s="580">
        <f>スコア入力!AL151</f>
        <v>0</v>
      </c>
      <c r="T151" s="581"/>
      <c r="U151" s="581"/>
      <c r="W151" s="254">
        <f t="shared" si="69"/>
        <v>3</v>
      </c>
      <c r="X151" s="254">
        <f t="shared" si="70"/>
        <v>3</v>
      </c>
      <c r="Y151" s="253">
        <f>スコア入力!AA151</f>
        <v>0.1</v>
      </c>
      <c r="Z151" s="253">
        <f>スコア入力!AB151</f>
        <v>0.1</v>
      </c>
      <c r="AA151" s="254">
        <f t="shared" si="35"/>
        <v>0</v>
      </c>
      <c r="AB151" s="254">
        <f t="shared" si="36"/>
        <v>0</v>
      </c>
      <c r="AC151" s="253">
        <f>スコア入力!AH151</f>
        <v>0</v>
      </c>
      <c r="AD151" s="253">
        <f>スコア入力!AI151</f>
        <v>0</v>
      </c>
      <c r="AE151" s="6"/>
      <c r="AF151" s="651">
        <f>スコア入力!N151</f>
        <v>3</v>
      </c>
      <c r="AG151" s="651">
        <f>スコア入力!P151</f>
        <v>3</v>
      </c>
      <c r="AH151" s="580">
        <f>スコア入力!AC151</f>
        <v>0.1</v>
      </c>
      <c r="AI151" s="580">
        <f>スコア入力!AE151</f>
        <v>0.1</v>
      </c>
      <c r="AJ151" s="651">
        <f>スコア入力!U151</f>
        <v>0</v>
      </c>
      <c r="AK151" s="651">
        <f>スコア入力!W151</f>
        <v>0</v>
      </c>
      <c r="AL151" s="580">
        <f>スコア入力!AJ151</f>
        <v>0</v>
      </c>
      <c r="AM151" s="580">
        <f>スコア入力!AL151</f>
        <v>0</v>
      </c>
      <c r="AN151" s="581"/>
      <c r="AO151" s="581"/>
    </row>
    <row r="152" spans="1:41" ht="14.25" thickBot="1">
      <c r="A152" s="408"/>
      <c r="B152" s="655"/>
      <c r="C152" s="419">
        <v>2.6</v>
      </c>
      <c r="D152" s="404" t="s">
        <v>807</v>
      </c>
      <c r="E152" s="420"/>
      <c r="F152" s="337"/>
      <c r="G152" s="337"/>
      <c r="H152" s="2840"/>
      <c r="I152" s="2841"/>
      <c r="J152" s="2841"/>
      <c r="K152" s="2842"/>
      <c r="L152" s="462">
        <f t="shared" si="65"/>
        <v>3</v>
      </c>
      <c r="M152" s="462">
        <f t="shared" si="66"/>
        <v>3</v>
      </c>
      <c r="N152" s="611">
        <f>スコア入力!AC152</f>
        <v>0.2</v>
      </c>
      <c r="O152" s="611">
        <f>スコア入力!AE152</f>
        <v>0.2</v>
      </c>
      <c r="P152" s="462">
        <f t="shared" si="67"/>
        <v>0</v>
      </c>
      <c r="Q152" s="462">
        <f t="shared" si="68"/>
        <v>0</v>
      </c>
      <c r="R152" s="611">
        <f>スコア入力!AJ152</f>
        <v>0</v>
      </c>
      <c r="S152" s="611">
        <f>スコア入力!AL152</f>
        <v>0</v>
      </c>
      <c r="T152" s="612"/>
      <c r="U152" s="612"/>
      <c r="W152" s="254">
        <f t="shared" si="69"/>
        <v>3</v>
      </c>
      <c r="X152" s="254">
        <f t="shared" si="70"/>
        <v>3</v>
      </c>
      <c r="Y152" s="253">
        <f>スコア入力!AA152</f>
        <v>0.2</v>
      </c>
      <c r="Z152" s="253">
        <f>スコア入力!AB152</f>
        <v>0.2</v>
      </c>
      <c r="AA152" s="254">
        <f t="shared" ref="AA152:AA180" si="71">AJ152</f>
        <v>0</v>
      </c>
      <c r="AB152" s="254">
        <f t="shared" ref="AB152:AB180" si="72">AK152</f>
        <v>0</v>
      </c>
      <c r="AC152" s="253">
        <f>スコア入力!AH152</f>
        <v>0</v>
      </c>
      <c r="AD152" s="253">
        <f>スコア入力!AI152</f>
        <v>0</v>
      </c>
      <c r="AE152" s="6"/>
      <c r="AF152" s="602">
        <f>スコア入力!N152</f>
        <v>3</v>
      </c>
      <c r="AG152" s="602">
        <f>スコア入力!P152</f>
        <v>3</v>
      </c>
      <c r="AH152" s="580">
        <f>スコア入力!AC152</f>
        <v>0.2</v>
      </c>
      <c r="AI152" s="580">
        <f>スコア入力!AE152</f>
        <v>0.2</v>
      </c>
      <c r="AJ152" s="602">
        <f>スコア入力!U152</f>
        <v>0</v>
      </c>
      <c r="AK152" s="602">
        <f>スコア入力!W152</f>
        <v>0</v>
      </c>
      <c r="AL152" s="580">
        <f>スコア入力!AJ152</f>
        <v>0</v>
      </c>
      <c r="AM152" s="580">
        <f>スコア入力!AL152</f>
        <v>0</v>
      </c>
      <c r="AN152" s="581"/>
      <c r="AO152" s="581"/>
    </row>
    <row r="153" spans="1:41" ht="14.25" thickBot="1">
      <c r="A153" s="408"/>
      <c r="B153" s="654">
        <v>3</v>
      </c>
      <c r="C153" s="336" t="s">
        <v>983</v>
      </c>
      <c r="D153" s="295"/>
      <c r="E153" s="295"/>
      <c r="F153" s="579"/>
      <c r="G153" s="579"/>
      <c r="H153" s="2855"/>
      <c r="I153" s="2856"/>
      <c r="J153" s="2856"/>
      <c r="K153" s="2856"/>
      <c r="L153" s="656">
        <f t="shared" si="65"/>
        <v>3</v>
      </c>
      <c r="M153" s="656">
        <f t="shared" si="66"/>
        <v>3</v>
      </c>
      <c r="N153" s="611">
        <f>スコア入力!AC153</f>
        <v>0.2</v>
      </c>
      <c r="O153" s="611">
        <f>スコア入力!AE153</f>
        <v>0.20000000000000004</v>
      </c>
      <c r="P153" s="656">
        <f t="shared" si="67"/>
        <v>0</v>
      </c>
      <c r="Q153" s="656">
        <f t="shared" si="68"/>
        <v>0</v>
      </c>
      <c r="R153" s="657"/>
      <c r="S153" s="611"/>
      <c r="T153" s="612">
        <f>ROUNDDOWN(AN153,1)</f>
        <v>3</v>
      </c>
      <c r="U153" s="612">
        <f>ROUNDDOWN(AO153,1)</f>
        <v>3</v>
      </c>
      <c r="W153" s="570">
        <f t="shared" si="69"/>
        <v>2.9999999999999996</v>
      </c>
      <c r="X153" s="570">
        <f t="shared" si="70"/>
        <v>2.9999999999999996</v>
      </c>
      <c r="Y153" s="253">
        <f>スコア入力!AA153</f>
        <v>0.2</v>
      </c>
      <c r="Z153" s="253">
        <f>スコア入力!AB153</f>
        <v>0.20000000000000004</v>
      </c>
      <c r="AA153" s="570">
        <f t="shared" si="71"/>
        <v>0</v>
      </c>
      <c r="AB153" s="570">
        <f t="shared" si="72"/>
        <v>0</v>
      </c>
      <c r="AC153" s="253">
        <f>スコア入力!AH153</f>
        <v>0</v>
      </c>
      <c r="AD153" s="253">
        <f>スコア入力!AI153</f>
        <v>0</v>
      </c>
      <c r="AE153" s="6"/>
      <c r="AF153" s="599">
        <f>AF154*AH154+AF155*AH155</f>
        <v>2.9999999999999996</v>
      </c>
      <c r="AG153" s="599">
        <f>AG154*AI154+AG155*AI155</f>
        <v>2.9999999999999996</v>
      </c>
      <c r="AH153" s="594">
        <f>スコア入力!AC153</f>
        <v>0.2</v>
      </c>
      <c r="AI153" s="658">
        <f>スコア入力!AE153</f>
        <v>0.20000000000000004</v>
      </c>
      <c r="AJ153" s="599">
        <f>AJ154*AL154+AJ155*AL155</f>
        <v>0</v>
      </c>
      <c r="AK153" s="599">
        <f>AK154*AM154+AK155*AM155</f>
        <v>0</v>
      </c>
      <c r="AL153" s="594">
        <f>スコア入力!AJ153</f>
        <v>0</v>
      </c>
      <c r="AM153" s="658">
        <f>スコア入力!AL153</f>
        <v>0</v>
      </c>
      <c r="AN153" s="596">
        <f>IF(AJ153=0,AF153,IF(AF153=0,AJ153,AF153*AH$6+AJ153*AL$6))</f>
        <v>2.9999999999999996</v>
      </c>
      <c r="AO153" s="596">
        <f>IF(AK153=0,AG153,IF(AG153=0,AK153,AG153*AI$6+AK153*AM$6))</f>
        <v>2.9999999999999996</v>
      </c>
    </row>
    <row r="154" spans="1:41" ht="14.25" thickBot="1">
      <c r="A154" s="408"/>
      <c r="B154" s="357"/>
      <c r="C154" s="419">
        <v>3.1</v>
      </c>
      <c r="D154" s="404" t="s">
        <v>809</v>
      </c>
      <c r="E154" s="420"/>
      <c r="F154" s="337"/>
      <c r="G154" s="337"/>
      <c r="H154" s="2836"/>
      <c r="I154" s="2837"/>
      <c r="J154" s="2837"/>
      <c r="K154" s="2837"/>
      <c r="L154" s="458">
        <f t="shared" si="65"/>
        <v>3</v>
      </c>
      <c r="M154" s="458">
        <f t="shared" si="66"/>
        <v>3</v>
      </c>
      <c r="N154" s="652">
        <f>スコア入力!AC154</f>
        <v>0.3</v>
      </c>
      <c r="O154" s="586">
        <f>スコア入力!AE154</f>
        <v>0.3</v>
      </c>
      <c r="P154" s="458">
        <f t="shared" si="67"/>
        <v>0</v>
      </c>
      <c r="Q154" s="458">
        <f t="shared" si="68"/>
        <v>0</v>
      </c>
      <c r="R154" s="652">
        <f>スコア入力!AJ154</f>
        <v>0</v>
      </c>
      <c r="S154" s="580">
        <f>スコア入力!AL154</f>
        <v>0</v>
      </c>
      <c r="T154" s="581"/>
      <c r="U154" s="581"/>
      <c r="W154" s="254">
        <f t="shared" si="69"/>
        <v>3</v>
      </c>
      <c r="X154" s="254">
        <f t="shared" si="70"/>
        <v>3</v>
      </c>
      <c r="Y154" s="253">
        <f>スコア入力!AA154</f>
        <v>0.3</v>
      </c>
      <c r="Z154" s="253">
        <f>スコア入力!AB154</f>
        <v>0.3</v>
      </c>
      <c r="AA154" s="254">
        <f t="shared" si="71"/>
        <v>0</v>
      </c>
      <c r="AB154" s="254">
        <f t="shared" si="72"/>
        <v>0</v>
      </c>
      <c r="AC154" s="253">
        <f>スコア入力!AH154</f>
        <v>0</v>
      </c>
      <c r="AD154" s="253">
        <f>スコア入力!AI154</f>
        <v>0</v>
      </c>
      <c r="AE154" s="6"/>
      <c r="AF154" s="653">
        <f>スコア入力!N154</f>
        <v>3</v>
      </c>
      <c r="AG154" s="653">
        <f>スコア入力!P154</f>
        <v>3</v>
      </c>
      <c r="AH154" s="580">
        <f>スコア入力!AC154</f>
        <v>0.3</v>
      </c>
      <c r="AI154" s="580">
        <f>スコア入力!AE154</f>
        <v>0.3</v>
      </c>
      <c r="AJ154" s="653">
        <f>スコア入力!U154</f>
        <v>0</v>
      </c>
      <c r="AK154" s="653">
        <f>スコア入力!W154</f>
        <v>0</v>
      </c>
      <c r="AL154" s="580">
        <f>スコア入力!AJ154</f>
        <v>0</v>
      </c>
      <c r="AM154" s="580">
        <f>スコア入力!AL154</f>
        <v>0</v>
      </c>
      <c r="AN154" s="581"/>
      <c r="AO154" s="581"/>
    </row>
    <row r="155" spans="1:41" ht="14.25" thickBot="1">
      <c r="A155" s="408"/>
      <c r="B155" s="357"/>
      <c r="C155" s="659">
        <v>3.2</v>
      </c>
      <c r="D155" s="404" t="s">
        <v>810</v>
      </c>
      <c r="E155" s="420"/>
      <c r="F155" s="337"/>
      <c r="G155" s="337"/>
      <c r="H155" s="2836"/>
      <c r="I155" s="2837"/>
      <c r="J155" s="2837"/>
      <c r="K155" s="2837"/>
      <c r="L155" s="656">
        <f t="shared" si="65"/>
        <v>3</v>
      </c>
      <c r="M155" s="656">
        <f t="shared" si="66"/>
        <v>3</v>
      </c>
      <c r="N155" s="580">
        <f>スコア入力!AC155</f>
        <v>0.7</v>
      </c>
      <c r="O155" s="580">
        <f>スコア入力!AE155</f>
        <v>0.7</v>
      </c>
      <c r="P155" s="656">
        <f t="shared" si="67"/>
        <v>0</v>
      </c>
      <c r="Q155" s="656">
        <f t="shared" si="68"/>
        <v>0</v>
      </c>
      <c r="R155" s="652">
        <f>スコア入力!AJ155</f>
        <v>0</v>
      </c>
      <c r="S155" s="580">
        <f>スコア入力!AL155</f>
        <v>0</v>
      </c>
      <c r="T155" s="581"/>
      <c r="U155" s="581"/>
      <c r="W155" s="570">
        <f t="shared" si="69"/>
        <v>3</v>
      </c>
      <c r="X155" s="570">
        <f t="shared" si="70"/>
        <v>3</v>
      </c>
      <c r="Y155" s="253">
        <f>スコア入力!AA155</f>
        <v>0.7</v>
      </c>
      <c r="Z155" s="253">
        <f>スコア入力!AB155</f>
        <v>0.7</v>
      </c>
      <c r="AA155" s="570">
        <f t="shared" si="71"/>
        <v>0</v>
      </c>
      <c r="AB155" s="570">
        <f t="shared" si="72"/>
        <v>0</v>
      </c>
      <c r="AC155" s="253">
        <f>スコア入力!AH155</f>
        <v>0</v>
      </c>
      <c r="AD155" s="253">
        <f>スコア入力!AI155</f>
        <v>0</v>
      </c>
      <c r="AE155" s="6"/>
      <c r="AF155" s="599">
        <f>SUMPRODUCT(AF156:AF158,AH156:AH158)</f>
        <v>3</v>
      </c>
      <c r="AG155" s="599">
        <f>SUMPRODUCT(AG156:AG158,AI156:AI158)</f>
        <v>3</v>
      </c>
      <c r="AH155" s="580">
        <f>スコア入力!AC155</f>
        <v>0.7</v>
      </c>
      <c r="AI155" s="580">
        <f>スコア入力!AE155</f>
        <v>0.7</v>
      </c>
      <c r="AJ155" s="599">
        <f>SUMPRODUCT(AJ156:AJ158,AL156:AL158)</f>
        <v>0</v>
      </c>
      <c r="AK155" s="599">
        <f>SUMPRODUCT(AK156:AK158,AM156:AM158)</f>
        <v>0</v>
      </c>
      <c r="AL155" s="580">
        <f>スコア入力!AJ155</f>
        <v>0</v>
      </c>
      <c r="AM155" s="580">
        <f>スコア入力!AL155</f>
        <v>0</v>
      </c>
      <c r="AN155" s="581"/>
      <c r="AO155" s="581"/>
    </row>
    <row r="156" spans="1:41" ht="13.5">
      <c r="A156" s="408"/>
      <c r="B156" s="357"/>
      <c r="C156" s="313"/>
      <c r="D156" s="314">
        <v>1</v>
      </c>
      <c r="E156" s="334" t="s">
        <v>812</v>
      </c>
      <c r="F156" s="337"/>
      <c r="G156" s="337"/>
      <c r="H156" s="2836"/>
      <c r="I156" s="2837"/>
      <c r="J156" s="2837"/>
      <c r="K156" s="2837"/>
      <c r="L156" s="585">
        <f t="shared" si="65"/>
        <v>3</v>
      </c>
      <c r="M156" s="585">
        <f t="shared" si="66"/>
        <v>3</v>
      </c>
      <c r="N156" s="652">
        <f>スコア入力!AC156</f>
        <v>0.33333333333333331</v>
      </c>
      <c r="O156" s="586">
        <f>スコア入力!AE156</f>
        <v>0.33333333333333331</v>
      </c>
      <c r="P156" s="585">
        <f t="shared" si="67"/>
        <v>0</v>
      </c>
      <c r="Q156" s="585">
        <f t="shared" si="68"/>
        <v>0</v>
      </c>
      <c r="R156" s="652">
        <f>スコア入力!AJ156</f>
        <v>0</v>
      </c>
      <c r="S156" s="580">
        <f>スコア入力!AL156</f>
        <v>0</v>
      </c>
      <c r="T156" s="581"/>
      <c r="U156" s="581"/>
      <c r="W156" s="254">
        <f t="shared" si="69"/>
        <v>3</v>
      </c>
      <c r="X156" s="254">
        <f t="shared" si="70"/>
        <v>3</v>
      </c>
      <c r="Y156" s="253">
        <f>スコア入力!AA156</f>
        <v>0.33333333333333331</v>
      </c>
      <c r="Z156" s="253">
        <f>スコア入力!AB156</f>
        <v>0.33333333333333331</v>
      </c>
      <c r="AA156" s="254">
        <f t="shared" si="71"/>
        <v>0</v>
      </c>
      <c r="AB156" s="254">
        <f t="shared" si="72"/>
        <v>0</v>
      </c>
      <c r="AC156" s="253">
        <f>スコア入力!AH156</f>
        <v>0</v>
      </c>
      <c r="AD156" s="253">
        <f>スコア入力!AI156</f>
        <v>0</v>
      </c>
      <c r="AE156" s="6"/>
      <c r="AF156" s="632">
        <f>スコア入力!N156</f>
        <v>3</v>
      </c>
      <c r="AG156" s="632">
        <f>スコア入力!P156</f>
        <v>3</v>
      </c>
      <c r="AH156" s="580">
        <f>スコア入力!AC156</f>
        <v>0.33333333333333331</v>
      </c>
      <c r="AI156" s="580">
        <f>スコア入力!AE156</f>
        <v>0.33333333333333331</v>
      </c>
      <c r="AJ156" s="632">
        <f>スコア入力!U156</f>
        <v>0</v>
      </c>
      <c r="AK156" s="632">
        <f>スコア入力!W156</f>
        <v>0</v>
      </c>
      <c r="AL156" s="580">
        <f>スコア入力!AJ156</f>
        <v>0</v>
      </c>
      <c r="AM156" s="580">
        <f>スコア入力!AL156</f>
        <v>0</v>
      </c>
      <c r="AN156" s="581"/>
      <c r="AO156" s="581"/>
    </row>
    <row r="157" spans="1:41" ht="13.5">
      <c r="A157" s="408"/>
      <c r="B157" s="357"/>
      <c r="C157" s="313"/>
      <c r="D157" s="314">
        <v>2</v>
      </c>
      <c r="E157" s="334" t="s">
        <v>839</v>
      </c>
      <c r="F157" s="337"/>
      <c r="G157" s="337"/>
      <c r="H157" s="2836"/>
      <c r="I157" s="2837"/>
      <c r="J157" s="2837"/>
      <c r="K157" s="2837"/>
      <c r="L157" s="591">
        <f t="shared" si="65"/>
        <v>3</v>
      </c>
      <c r="M157" s="591">
        <f t="shared" si="66"/>
        <v>3</v>
      </c>
      <c r="N157" s="652">
        <f>スコア入力!AC157</f>
        <v>0.33333333333333331</v>
      </c>
      <c r="O157" s="586">
        <f>スコア入力!AE157</f>
        <v>0.33333333333333331</v>
      </c>
      <c r="P157" s="591">
        <f t="shared" si="67"/>
        <v>0</v>
      </c>
      <c r="Q157" s="591">
        <f t="shared" si="68"/>
        <v>0</v>
      </c>
      <c r="R157" s="652">
        <f>スコア入力!AJ157</f>
        <v>0</v>
      </c>
      <c r="S157" s="580">
        <f>スコア入力!AL157</f>
        <v>0</v>
      </c>
      <c r="T157" s="581"/>
      <c r="U157" s="581"/>
      <c r="W157" s="254">
        <f t="shared" si="69"/>
        <v>3</v>
      </c>
      <c r="X157" s="254">
        <f t="shared" si="70"/>
        <v>3</v>
      </c>
      <c r="Y157" s="253">
        <f>スコア入力!AA157</f>
        <v>0.33333333333333331</v>
      </c>
      <c r="Z157" s="253">
        <f>スコア入力!AB157</f>
        <v>0.33333333333333331</v>
      </c>
      <c r="AA157" s="254">
        <f t="shared" si="71"/>
        <v>0</v>
      </c>
      <c r="AB157" s="254">
        <f t="shared" si="72"/>
        <v>0</v>
      </c>
      <c r="AC157" s="253">
        <f>スコア入力!AH157</f>
        <v>0</v>
      </c>
      <c r="AD157" s="253">
        <f>スコア入力!AI157</f>
        <v>0</v>
      </c>
      <c r="AE157" s="6"/>
      <c r="AF157" s="651">
        <f>スコア入力!N157</f>
        <v>3</v>
      </c>
      <c r="AG157" s="651">
        <f>スコア入力!P157</f>
        <v>3</v>
      </c>
      <c r="AH157" s="580">
        <f>スコア入力!AC157</f>
        <v>0.33333333333333331</v>
      </c>
      <c r="AI157" s="580">
        <f>スコア入力!AE157</f>
        <v>0.33333333333333331</v>
      </c>
      <c r="AJ157" s="651">
        <f>スコア入力!U157</f>
        <v>0</v>
      </c>
      <c r="AK157" s="651">
        <f>スコア入力!W157</f>
        <v>0</v>
      </c>
      <c r="AL157" s="580">
        <f>スコア入力!AJ157</f>
        <v>0</v>
      </c>
      <c r="AM157" s="580">
        <f>スコア入力!AL157</f>
        <v>0</v>
      </c>
      <c r="AN157" s="581"/>
      <c r="AO157" s="581"/>
    </row>
    <row r="158" spans="1:41" ht="14.25" thickBot="1">
      <c r="A158" s="408"/>
      <c r="B158" s="473"/>
      <c r="C158" s="364"/>
      <c r="D158" s="365">
        <v>3</v>
      </c>
      <c r="E158" s="366" t="s">
        <v>813</v>
      </c>
      <c r="F158" s="604"/>
      <c r="G158" s="604"/>
      <c r="H158" s="2849"/>
      <c r="I158" s="2850"/>
      <c r="J158" s="2850"/>
      <c r="K158" s="2850"/>
      <c r="L158" s="588">
        <f t="shared" si="65"/>
        <v>3</v>
      </c>
      <c r="M158" s="588">
        <f t="shared" si="66"/>
        <v>3</v>
      </c>
      <c r="N158" s="660">
        <f>スコア入力!AC158</f>
        <v>0.33333333333333331</v>
      </c>
      <c r="O158" s="605">
        <f>スコア入力!AE158</f>
        <v>0.33333333333333331</v>
      </c>
      <c r="P158" s="588">
        <f t="shared" si="67"/>
        <v>0</v>
      </c>
      <c r="Q158" s="588">
        <f t="shared" si="68"/>
        <v>0</v>
      </c>
      <c r="R158" s="660">
        <f>スコア入力!AJ158</f>
        <v>0</v>
      </c>
      <c r="S158" s="629">
        <f>スコア入力!AL158</f>
        <v>0</v>
      </c>
      <c r="T158" s="606"/>
      <c r="U158" s="606"/>
      <c r="W158" s="254">
        <f t="shared" si="69"/>
        <v>3</v>
      </c>
      <c r="X158" s="254">
        <f t="shared" si="70"/>
        <v>3</v>
      </c>
      <c r="Y158" s="253">
        <f>スコア入力!AA158</f>
        <v>0.33333333333333331</v>
      </c>
      <c r="Z158" s="253">
        <f>スコア入力!AB158</f>
        <v>0.33333333333333331</v>
      </c>
      <c r="AA158" s="254">
        <f t="shared" si="71"/>
        <v>0</v>
      </c>
      <c r="AB158" s="254">
        <f t="shared" si="72"/>
        <v>0</v>
      </c>
      <c r="AC158" s="253">
        <f>スコア入力!AH158</f>
        <v>0</v>
      </c>
      <c r="AD158" s="253">
        <f>スコア入力!AI158</f>
        <v>0</v>
      </c>
      <c r="AE158" s="6"/>
      <c r="AF158" s="602">
        <f>スコア入力!N158</f>
        <v>3</v>
      </c>
      <c r="AG158" s="602">
        <f>スコア入力!P158</f>
        <v>3</v>
      </c>
      <c r="AH158" s="629">
        <f>スコア入力!AC158</f>
        <v>0.33333333333333331</v>
      </c>
      <c r="AI158" s="629">
        <f>スコア入力!AE158</f>
        <v>0.33333333333333331</v>
      </c>
      <c r="AJ158" s="602">
        <f>スコア入力!U158</f>
        <v>0</v>
      </c>
      <c r="AK158" s="602">
        <f>スコア入力!W158</f>
        <v>0</v>
      </c>
      <c r="AL158" s="629">
        <f>スコア入力!AJ158</f>
        <v>0</v>
      </c>
      <c r="AM158" s="629">
        <f>スコア入力!AL158</f>
        <v>0</v>
      </c>
      <c r="AN158" s="606"/>
      <c r="AO158" s="606"/>
    </row>
    <row r="159" spans="1:41" ht="15.75" thickBot="1">
      <c r="A159" s="408"/>
      <c r="B159" s="369" t="s">
        <v>430</v>
      </c>
      <c r="C159" s="409"/>
      <c r="D159" s="409" t="s">
        <v>431</v>
      </c>
      <c r="E159" s="409"/>
      <c r="F159" s="630"/>
      <c r="G159" s="630"/>
      <c r="H159" s="2852"/>
      <c r="I159" s="2853"/>
      <c r="J159" s="2853"/>
      <c r="K159" s="2854"/>
      <c r="L159" s="631"/>
      <c r="M159" s="631"/>
      <c r="N159" s="573">
        <f>スコア入力!AC159</f>
        <v>0.3</v>
      </c>
      <c r="O159" s="573">
        <f>スコア入力!AE159</f>
        <v>0.3</v>
      </c>
      <c r="P159" s="631"/>
      <c r="Q159" s="661"/>
      <c r="R159" s="573"/>
      <c r="S159" s="573"/>
      <c r="T159" s="609">
        <f t="shared" ref="T159:U161" si="73">ROUNDDOWN(AN159,1)</f>
        <v>3.1</v>
      </c>
      <c r="U159" s="609">
        <f t="shared" si="73"/>
        <v>3.1</v>
      </c>
      <c r="W159" s="570">
        <f>$AO159</f>
        <v>3.1</v>
      </c>
      <c r="X159" s="570">
        <f>$AO159</f>
        <v>3.1</v>
      </c>
      <c r="Y159" s="253">
        <f>スコア入力!AA159</f>
        <v>0.3</v>
      </c>
      <c r="Z159" s="253">
        <f>スコア入力!AB159</f>
        <v>0.3</v>
      </c>
      <c r="AA159" s="570">
        <f t="shared" si="71"/>
        <v>0</v>
      </c>
      <c r="AB159" s="570">
        <f t="shared" si="72"/>
        <v>0</v>
      </c>
      <c r="AC159" s="253">
        <f>スコア入力!AH159</f>
        <v>0</v>
      </c>
      <c r="AD159" s="253">
        <f>スコア入力!AI159</f>
        <v>0</v>
      </c>
      <c r="AE159" s="6"/>
      <c r="AF159" s="631"/>
      <c r="AG159" s="631"/>
      <c r="AH159" s="573">
        <f>スコア入力!AC159</f>
        <v>0.3</v>
      </c>
      <c r="AI159" s="573">
        <f>スコア入力!AE159</f>
        <v>0.3</v>
      </c>
      <c r="AJ159" s="631"/>
      <c r="AK159" s="631"/>
      <c r="AL159" s="573">
        <f>スコア入力!AJ159</f>
        <v>0</v>
      </c>
      <c r="AM159" s="573">
        <f>スコア入力!AL159</f>
        <v>0</v>
      </c>
      <c r="AN159" s="609">
        <f>AH160*AN160+AH161*AN161+AH169*AN169</f>
        <v>3.0999999999999996</v>
      </c>
      <c r="AO159" s="609">
        <f>AI160*AO160+AI161*AO161+AI169*AO169</f>
        <v>3.1</v>
      </c>
    </row>
    <row r="160" spans="1:41" ht="14.25" thickBot="1">
      <c r="A160" s="408"/>
      <c r="B160" s="478">
        <v>1</v>
      </c>
      <c r="C160" s="415" t="s">
        <v>814</v>
      </c>
      <c r="D160" s="415"/>
      <c r="E160" s="415"/>
      <c r="F160" s="603"/>
      <c r="G160" s="603"/>
      <c r="H160" s="2833"/>
      <c r="I160" s="2834"/>
      <c r="J160" s="2834"/>
      <c r="K160" s="2834"/>
      <c r="L160" s="458">
        <f t="shared" ref="L160:L180" si="74">IF(Y160=0,0,ROUNDDOWN(AF160,1))</f>
        <v>3.3</v>
      </c>
      <c r="M160" s="458">
        <f t="shared" ref="M160:M180" si="75">IF(Z160=0,0,ROUNDDOWN(AG160,1))</f>
        <v>3.3</v>
      </c>
      <c r="N160" s="657">
        <f>スコア入力!AC160</f>
        <v>0.33333333333333331</v>
      </c>
      <c r="O160" s="662">
        <f>スコア入力!AE160</f>
        <v>0.33333333333333337</v>
      </c>
      <c r="P160" s="458">
        <f t="shared" ref="P160:P180" si="76">IF(AC160=0,0,ROUNDDOWN(AJ160,1))</f>
        <v>0</v>
      </c>
      <c r="Q160" s="458">
        <f t="shared" ref="Q160:Q180" si="77">IF(AD160=0,0,ROUNDDOWN(AK160,1))</f>
        <v>0</v>
      </c>
      <c r="R160" s="657"/>
      <c r="S160" s="662"/>
      <c r="T160" s="663">
        <f t="shared" si="73"/>
        <v>3.3</v>
      </c>
      <c r="U160" s="663">
        <f t="shared" si="73"/>
        <v>3.3</v>
      </c>
      <c r="W160" s="254">
        <f>AF160</f>
        <v>3.3</v>
      </c>
      <c r="X160" s="254">
        <f t="shared" ref="X160:X180" si="78">AG160</f>
        <v>3.3</v>
      </c>
      <c r="Y160" s="253">
        <f>スコア入力!AA160</f>
        <v>0.33333333333333331</v>
      </c>
      <c r="Z160" s="253">
        <f>スコア入力!AB160</f>
        <v>0.33333333333333337</v>
      </c>
      <c r="AA160" s="254">
        <f t="shared" si="71"/>
        <v>0</v>
      </c>
      <c r="AB160" s="254">
        <f t="shared" si="72"/>
        <v>0</v>
      </c>
      <c r="AC160" s="253">
        <f>スコア入力!AH160</f>
        <v>0</v>
      </c>
      <c r="AD160" s="253">
        <f>スコア入力!AI160</f>
        <v>0</v>
      </c>
      <c r="AE160" s="6"/>
      <c r="AF160" s="2392">
        <f>IF(スコア入力!L124="",CO2計算_前!L139,#REF!)</f>
        <v>3.3</v>
      </c>
      <c r="AG160" s="664">
        <f>IF(スコア入力!L124="",CO2計算_後!L139,#REF!)</f>
        <v>3.3</v>
      </c>
      <c r="AH160" s="665">
        <f>スコア入力!AC160</f>
        <v>0.33333333333333331</v>
      </c>
      <c r="AI160" s="666">
        <f>スコア入力!AE160</f>
        <v>0.33333333333333337</v>
      </c>
      <c r="AJ160" s="653">
        <f>スコア入力!U160</f>
        <v>0</v>
      </c>
      <c r="AK160" s="653">
        <f>スコア入力!W160</f>
        <v>0</v>
      </c>
      <c r="AL160" s="665">
        <f>スコア入力!AJ160</f>
        <v>0</v>
      </c>
      <c r="AM160" s="666">
        <f>スコア入力!AL160</f>
        <v>0</v>
      </c>
      <c r="AN160" s="663">
        <f>IF(AJ160=0,AF160,IF(AF160=0,AJ160,AF160*AH$6+AJ160*AL$6))</f>
        <v>3.3</v>
      </c>
      <c r="AO160" s="663">
        <f>IF(AK160=0,AG160,IF(AG160=0,AK160,AG160*AI$6+AK160*AM$6))</f>
        <v>3.3</v>
      </c>
    </row>
    <row r="161" spans="1:41" ht="14.25" thickBot="1">
      <c r="A161" s="408"/>
      <c r="B161" s="667">
        <v>2</v>
      </c>
      <c r="C161" s="415" t="s">
        <v>815</v>
      </c>
      <c r="D161" s="415"/>
      <c r="E161" s="415"/>
      <c r="F161" s="603"/>
      <c r="G161" s="603"/>
      <c r="H161" s="2855"/>
      <c r="I161" s="2856"/>
      <c r="J161" s="2856"/>
      <c r="K161" s="2856"/>
      <c r="L161" s="656">
        <f t="shared" si="74"/>
        <v>3</v>
      </c>
      <c r="M161" s="656">
        <f t="shared" si="75"/>
        <v>3</v>
      </c>
      <c r="N161" s="594">
        <f>スコア入力!AC161</f>
        <v>0.33333333333333331</v>
      </c>
      <c r="O161" s="594">
        <f>スコア入力!AE161</f>
        <v>0.33333333333333331</v>
      </c>
      <c r="P161" s="656">
        <f t="shared" si="76"/>
        <v>0</v>
      </c>
      <c r="Q161" s="656">
        <f t="shared" si="77"/>
        <v>0</v>
      </c>
      <c r="R161" s="594"/>
      <c r="S161" s="597"/>
      <c r="T161" s="596">
        <f t="shared" si="73"/>
        <v>3</v>
      </c>
      <c r="U161" s="596">
        <f t="shared" si="73"/>
        <v>3</v>
      </c>
      <c r="W161" s="600">
        <f t="shared" ref="W161:W180" si="79">AF161</f>
        <v>3</v>
      </c>
      <c r="X161" s="600">
        <f t="shared" si="78"/>
        <v>3</v>
      </c>
      <c r="Y161" s="253">
        <f>スコア入力!AA161</f>
        <v>0.33333333333333331</v>
      </c>
      <c r="Z161" s="253">
        <f>スコア入力!AB161</f>
        <v>0.33333333333333331</v>
      </c>
      <c r="AA161" s="600">
        <f t="shared" si="71"/>
        <v>0</v>
      </c>
      <c r="AB161" s="600">
        <f t="shared" si="72"/>
        <v>0</v>
      </c>
      <c r="AC161" s="253">
        <f>スコア入力!AH161</f>
        <v>0</v>
      </c>
      <c r="AD161" s="253">
        <f>スコア入力!AI161</f>
        <v>0</v>
      </c>
      <c r="AE161" s="6"/>
      <c r="AF161" s="590">
        <f>SUMPRODUCT(AF162:AF164,AH162:AH164)</f>
        <v>3</v>
      </c>
      <c r="AG161" s="599">
        <f>SUMPRODUCT(AG162:AG164,AI162:AI164)</f>
        <v>3</v>
      </c>
      <c r="AH161" s="594">
        <f>スコア入力!AC161</f>
        <v>0.33333333333333331</v>
      </c>
      <c r="AI161" s="597">
        <f>スコア入力!AE161</f>
        <v>0.33333333333333331</v>
      </c>
      <c r="AJ161" s="590">
        <f>SUMPRODUCT(AJ162:AJ164,AL162:AL164)</f>
        <v>0</v>
      </c>
      <c r="AK161" s="599">
        <f>SUMPRODUCT(AK162:AK164,AM162:AM164)</f>
        <v>0</v>
      </c>
      <c r="AL161" s="594">
        <f>スコア入力!AJ161</f>
        <v>0</v>
      </c>
      <c r="AM161" s="597">
        <f>スコア入力!AL161</f>
        <v>0</v>
      </c>
      <c r="AN161" s="596">
        <f>IF(AJ161=0,AF161,IF(AF161=0,AJ161,AF161*AH$6+AJ161*AL$6))</f>
        <v>3</v>
      </c>
      <c r="AO161" s="596">
        <f>IF(AK161=0,AG161,IF(AG161=0,AK161,AG161*AI$6+AK161*AM$6))</f>
        <v>3</v>
      </c>
    </row>
    <row r="162" spans="1:41" ht="13.5">
      <c r="A162" s="408"/>
      <c r="B162" s="479"/>
      <c r="C162" s="419">
        <v>2.1</v>
      </c>
      <c r="D162" s="404" t="s">
        <v>818</v>
      </c>
      <c r="E162" s="420"/>
      <c r="F162" s="337"/>
      <c r="G162" s="337"/>
      <c r="H162" s="2846"/>
      <c r="I162" s="2847"/>
      <c r="J162" s="2847"/>
      <c r="K162" s="2847"/>
      <c r="L162" s="460">
        <f t="shared" si="74"/>
        <v>3</v>
      </c>
      <c r="M162" s="460">
        <f t="shared" si="75"/>
        <v>3</v>
      </c>
      <c r="N162" s="652">
        <f>スコア入力!AC162</f>
        <v>0.25</v>
      </c>
      <c r="O162" s="586">
        <f>スコア入力!AE162</f>
        <v>0.25</v>
      </c>
      <c r="P162" s="460">
        <f t="shared" si="76"/>
        <v>0</v>
      </c>
      <c r="Q162" s="460">
        <f t="shared" si="77"/>
        <v>0</v>
      </c>
      <c r="R162" s="652">
        <f>スコア入力!AJ162</f>
        <v>0</v>
      </c>
      <c r="S162" s="586">
        <f>スコア入力!AL162</f>
        <v>0</v>
      </c>
      <c r="T162" s="581"/>
      <c r="U162" s="581"/>
      <c r="W162" s="254">
        <f t="shared" si="79"/>
        <v>3</v>
      </c>
      <c r="X162" s="254">
        <f t="shared" si="78"/>
        <v>3</v>
      </c>
      <c r="Y162" s="253">
        <f>スコア入力!AA162</f>
        <v>0.25</v>
      </c>
      <c r="Z162" s="253">
        <f>スコア入力!AB162</f>
        <v>0.25000000000000006</v>
      </c>
      <c r="AA162" s="254">
        <f t="shared" si="71"/>
        <v>0</v>
      </c>
      <c r="AB162" s="254">
        <f t="shared" si="72"/>
        <v>0</v>
      </c>
      <c r="AC162" s="253">
        <f>スコア入力!AH162</f>
        <v>0</v>
      </c>
      <c r="AD162" s="253">
        <f>スコア入力!AI162</f>
        <v>0</v>
      </c>
      <c r="AE162" s="6"/>
      <c r="AF162" s="632">
        <f>スコア入力!N162</f>
        <v>3</v>
      </c>
      <c r="AG162" s="632">
        <f>スコア入力!P162</f>
        <v>3</v>
      </c>
      <c r="AH162" s="598">
        <f>スコア入力!AC162</f>
        <v>0.25</v>
      </c>
      <c r="AI162" s="598">
        <f>スコア入力!AE162</f>
        <v>0.25</v>
      </c>
      <c r="AJ162" s="632">
        <f>スコア入力!U162</f>
        <v>0</v>
      </c>
      <c r="AK162" s="632">
        <f>スコア入力!W162</f>
        <v>0</v>
      </c>
      <c r="AL162" s="598">
        <f>スコア入力!AJ162</f>
        <v>0</v>
      </c>
      <c r="AM162" s="598">
        <f>スコア入力!AL162</f>
        <v>0</v>
      </c>
      <c r="AN162" s="584"/>
      <c r="AO162" s="584"/>
    </row>
    <row r="163" spans="1:41" ht="14.25" thickBot="1">
      <c r="A163" s="408"/>
      <c r="B163" s="479"/>
      <c r="C163" s="419">
        <v>2.2000000000000002</v>
      </c>
      <c r="D163" s="404" t="s">
        <v>819</v>
      </c>
      <c r="E163" s="420"/>
      <c r="F163" s="337"/>
      <c r="G163" s="337"/>
      <c r="H163" s="2836"/>
      <c r="I163" s="2837"/>
      <c r="J163" s="2837"/>
      <c r="K163" s="2837"/>
      <c r="L163" s="462">
        <f t="shared" si="74"/>
        <v>3</v>
      </c>
      <c r="M163" s="462">
        <f t="shared" si="75"/>
        <v>3</v>
      </c>
      <c r="N163" s="652">
        <f>スコア入力!AC163</f>
        <v>0.5</v>
      </c>
      <c r="O163" s="586">
        <f>スコア入力!AE163</f>
        <v>0.5</v>
      </c>
      <c r="P163" s="462">
        <f t="shared" si="76"/>
        <v>0</v>
      </c>
      <c r="Q163" s="462">
        <f t="shared" si="77"/>
        <v>0</v>
      </c>
      <c r="R163" s="652">
        <f>スコア入力!AJ163</f>
        <v>0</v>
      </c>
      <c r="S163" s="586">
        <f>スコア入力!AL163</f>
        <v>0</v>
      </c>
      <c r="T163" s="581"/>
      <c r="U163" s="581"/>
      <c r="W163" s="254">
        <f t="shared" si="79"/>
        <v>3</v>
      </c>
      <c r="X163" s="254">
        <f t="shared" si="78"/>
        <v>3</v>
      </c>
      <c r="Y163" s="253">
        <f>スコア入力!AA163</f>
        <v>0.5</v>
      </c>
      <c r="Z163" s="253">
        <f>スコア入力!AB163</f>
        <v>0.50000000000000011</v>
      </c>
      <c r="AA163" s="254">
        <f t="shared" si="71"/>
        <v>0</v>
      </c>
      <c r="AB163" s="254">
        <f t="shared" si="72"/>
        <v>0</v>
      </c>
      <c r="AC163" s="253">
        <f>スコア入力!AH163</f>
        <v>0</v>
      </c>
      <c r="AD163" s="253">
        <f>スコア入力!AI163</f>
        <v>0</v>
      </c>
      <c r="AE163" s="6"/>
      <c r="AF163" s="602">
        <f>スコア入力!N163</f>
        <v>3</v>
      </c>
      <c r="AG163" s="602">
        <f>スコア入力!P163</f>
        <v>3</v>
      </c>
      <c r="AH163" s="580">
        <f>スコア入力!AC163</f>
        <v>0.5</v>
      </c>
      <c r="AI163" s="580">
        <f>スコア入力!AE163</f>
        <v>0.5</v>
      </c>
      <c r="AJ163" s="602">
        <f>スコア入力!U163</f>
        <v>0</v>
      </c>
      <c r="AK163" s="602">
        <f>スコア入力!W163</f>
        <v>0</v>
      </c>
      <c r="AL163" s="580">
        <f>スコア入力!AJ163</f>
        <v>0</v>
      </c>
      <c r="AM163" s="580">
        <f>スコア入力!AL163</f>
        <v>0</v>
      </c>
      <c r="AN163" s="581"/>
      <c r="AO163" s="581"/>
    </row>
    <row r="164" spans="1:41" ht="14.25" thickBot="1">
      <c r="A164" s="408"/>
      <c r="B164" s="479"/>
      <c r="C164" s="659">
        <v>2.2999999999999998</v>
      </c>
      <c r="D164" s="404" t="s">
        <v>820</v>
      </c>
      <c r="E164" s="420"/>
      <c r="F164" s="337"/>
      <c r="G164" s="337"/>
      <c r="H164" s="2836"/>
      <c r="I164" s="2837"/>
      <c r="J164" s="2837"/>
      <c r="K164" s="2837"/>
      <c r="L164" s="656">
        <f t="shared" si="74"/>
        <v>3</v>
      </c>
      <c r="M164" s="656">
        <f t="shared" si="75"/>
        <v>3</v>
      </c>
      <c r="N164" s="580">
        <f>スコア入力!AC164</f>
        <v>0.25</v>
      </c>
      <c r="O164" s="580">
        <f>スコア入力!AE164</f>
        <v>0.25</v>
      </c>
      <c r="P164" s="656">
        <f t="shared" si="76"/>
        <v>0</v>
      </c>
      <c r="Q164" s="656">
        <f t="shared" si="77"/>
        <v>0</v>
      </c>
      <c r="R164" s="580">
        <f>スコア入力!AJ164</f>
        <v>0</v>
      </c>
      <c r="S164" s="586">
        <f>スコア入力!AL164</f>
        <v>0</v>
      </c>
      <c r="T164" s="581"/>
      <c r="U164" s="581"/>
      <c r="W164" s="570">
        <f t="shared" si="79"/>
        <v>3</v>
      </c>
      <c r="X164" s="570">
        <f t="shared" si="78"/>
        <v>3</v>
      </c>
      <c r="Y164" s="253">
        <f>スコア入力!AA164</f>
        <v>0.25</v>
      </c>
      <c r="Z164" s="253">
        <f>スコア入力!AB164</f>
        <v>0.25000000000000006</v>
      </c>
      <c r="AA164" s="570">
        <f t="shared" si="71"/>
        <v>0</v>
      </c>
      <c r="AB164" s="570">
        <f t="shared" si="72"/>
        <v>0</v>
      </c>
      <c r="AC164" s="253">
        <f>スコア入力!AH164</f>
        <v>0</v>
      </c>
      <c r="AD164" s="253">
        <f>スコア入力!AI164</f>
        <v>0</v>
      </c>
      <c r="AE164" s="6"/>
      <c r="AF164" s="590">
        <f>SUMPRODUCT(AF165:AF168,AH165:AH168)</f>
        <v>3</v>
      </c>
      <c r="AG164" s="599">
        <f>SUMPRODUCT(AG165:AG168,AI165:AI168)</f>
        <v>3</v>
      </c>
      <c r="AH164" s="580">
        <f>スコア入力!AC164</f>
        <v>0.25</v>
      </c>
      <c r="AI164" s="580">
        <f>スコア入力!AE164</f>
        <v>0.25</v>
      </c>
      <c r="AJ164" s="590">
        <f>SUMPRODUCT(AJ165:AJ168,AL165:AL168)</f>
        <v>0</v>
      </c>
      <c r="AK164" s="599">
        <f>SUMPRODUCT(AK165:AK168,AM165:AM168)</f>
        <v>0</v>
      </c>
      <c r="AL164" s="580">
        <f>スコア入力!AJ164</f>
        <v>0</v>
      </c>
      <c r="AM164" s="580">
        <f>スコア入力!AL164</f>
        <v>0</v>
      </c>
      <c r="AN164" s="581"/>
      <c r="AO164" s="581"/>
    </row>
    <row r="165" spans="1:41" ht="13.5">
      <c r="A165" s="408"/>
      <c r="B165" s="489"/>
      <c r="C165" s="668"/>
      <c r="D165" s="314">
        <v>1</v>
      </c>
      <c r="E165" s="334" t="s">
        <v>823</v>
      </c>
      <c r="F165" s="337"/>
      <c r="G165" s="337"/>
      <c r="H165" s="2836"/>
      <c r="I165" s="2837"/>
      <c r="J165" s="2837"/>
      <c r="K165" s="2837"/>
      <c r="L165" s="460">
        <f t="shared" si="74"/>
        <v>3</v>
      </c>
      <c r="M165" s="460">
        <f t="shared" si="75"/>
        <v>3</v>
      </c>
      <c r="N165" s="652">
        <f>スコア入力!AC165</f>
        <v>0.25</v>
      </c>
      <c r="O165" s="586">
        <f>スコア入力!AE165</f>
        <v>0.25</v>
      </c>
      <c r="P165" s="460">
        <f t="shared" si="76"/>
        <v>0</v>
      </c>
      <c r="Q165" s="460">
        <f t="shared" si="77"/>
        <v>0</v>
      </c>
      <c r="R165" s="652">
        <f>スコア入力!AJ165</f>
        <v>0</v>
      </c>
      <c r="S165" s="586">
        <f>スコア入力!AL165</f>
        <v>0</v>
      </c>
      <c r="T165" s="581"/>
      <c r="U165" s="669"/>
      <c r="W165" s="254">
        <f t="shared" si="79"/>
        <v>3</v>
      </c>
      <c r="X165" s="254">
        <f t="shared" si="78"/>
        <v>3</v>
      </c>
      <c r="Y165" s="253">
        <f>スコア入力!AA165</f>
        <v>0.25</v>
      </c>
      <c r="Z165" s="253">
        <f>スコア入力!AB165</f>
        <v>0.25</v>
      </c>
      <c r="AA165" s="254">
        <f t="shared" si="71"/>
        <v>0</v>
      </c>
      <c r="AB165" s="254">
        <f t="shared" si="72"/>
        <v>0</v>
      </c>
      <c r="AC165" s="253">
        <f>スコア入力!AH165</f>
        <v>0</v>
      </c>
      <c r="AD165" s="253">
        <f>スコア入力!AI165</f>
        <v>0</v>
      </c>
      <c r="AE165" s="6"/>
      <c r="AF165" s="632">
        <f>スコア入力!N165</f>
        <v>3</v>
      </c>
      <c r="AG165" s="632">
        <f>スコア入力!P165</f>
        <v>3</v>
      </c>
      <c r="AH165" s="586">
        <f>スコア入力!AC165</f>
        <v>0.25</v>
      </c>
      <c r="AI165" s="586">
        <f>スコア入力!AE165</f>
        <v>0.25</v>
      </c>
      <c r="AJ165" s="632">
        <f>スコア入力!U165</f>
        <v>0</v>
      </c>
      <c r="AK165" s="632">
        <f>スコア入力!W165</f>
        <v>0</v>
      </c>
      <c r="AL165" s="586">
        <f>スコア入力!AJ165</f>
        <v>0</v>
      </c>
      <c r="AM165" s="586">
        <f>スコア入力!AL165</f>
        <v>0</v>
      </c>
      <c r="AN165" s="581"/>
      <c r="AO165" s="669"/>
    </row>
    <row r="166" spans="1:41" ht="13.5">
      <c r="A166" s="408"/>
      <c r="B166" s="489"/>
      <c r="C166" s="313"/>
      <c r="D166" s="314">
        <v>2</v>
      </c>
      <c r="E166" s="334" t="s">
        <v>824</v>
      </c>
      <c r="F166" s="337"/>
      <c r="G166" s="337"/>
      <c r="H166" s="2836"/>
      <c r="I166" s="2837"/>
      <c r="J166" s="2837"/>
      <c r="K166" s="2837"/>
      <c r="L166" s="461">
        <f t="shared" si="74"/>
        <v>3</v>
      </c>
      <c r="M166" s="461">
        <f t="shared" si="75"/>
        <v>3</v>
      </c>
      <c r="N166" s="652">
        <f>スコア入力!AC166</f>
        <v>0.25</v>
      </c>
      <c r="O166" s="586">
        <f>スコア入力!AE166</f>
        <v>0.25</v>
      </c>
      <c r="P166" s="461">
        <f t="shared" si="76"/>
        <v>0</v>
      </c>
      <c r="Q166" s="461">
        <f t="shared" si="77"/>
        <v>0</v>
      </c>
      <c r="R166" s="652">
        <f>スコア入力!AJ166</f>
        <v>0</v>
      </c>
      <c r="S166" s="586">
        <f>スコア入力!AL166</f>
        <v>0</v>
      </c>
      <c r="T166" s="581"/>
      <c r="U166" s="669"/>
      <c r="W166" s="254">
        <f t="shared" si="79"/>
        <v>3</v>
      </c>
      <c r="X166" s="254">
        <f t="shared" si="78"/>
        <v>3</v>
      </c>
      <c r="Y166" s="253">
        <f>スコア入力!AA166</f>
        <v>0.25</v>
      </c>
      <c r="Z166" s="253">
        <f>スコア入力!AB166</f>
        <v>0.25</v>
      </c>
      <c r="AA166" s="254">
        <f t="shared" si="71"/>
        <v>0</v>
      </c>
      <c r="AB166" s="254">
        <f t="shared" si="72"/>
        <v>0</v>
      </c>
      <c r="AC166" s="253">
        <f>スコア入力!AH166</f>
        <v>0</v>
      </c>
      <c r="AD166" s="253">
        <f>スコア入力!AI166</f>
        <v>0</v>
      </c>
      <c r="AE166" s="6"/>
      <c r="AF166" s="651">
        <f>スコア入力!N166</f>
        <v>3</v>
      </c>
      <c r="AG166" s="651">
        <f>スコア入力!P166</f>
        <v>3</v>
      </c>
      <c r="AH166" s="586">
        <f>スコア入力!AC166</f>
        <v>0.25</v>
      </c>
      <c r="AI166" s="586">
        <f>スコア入力!AE166</f>
        <v>0.25</v>
      </c>
      <c r="AJ166" s="651">
        <f>スコア入力!U166</f>
        <v>0</v>
      </c>
      <c r="AK166" s="651">
        <f>スコア入力!W166</f>
        <v>0</v>
      </c>
      <c r="AL166" s="586">
        <f>スコア入力!AJ166</f>
        <v>0</v>
      </c>
      <c r="AM166" s="586">
        <f>スコア入力!AL166</f>
        <v>0</v>
      </c>
      <c r="AN166" s="581"/>
      <c r="AO166" s="669"/>
    </row>
    <row r="167" spans="1:41" ht="13.5">
      <c r="A167" s="408"/>
      <c r="B167" s="357"/>
      <c r="C167" s="313"/>
      <c r="D167" s="314">
        <v>3</v>
      </c>
      <c r="E167" s="334" t="s">
        <v>825</v>
      </c>
      <c r="F167" s="337"/>
      <c r="G167" s="337"/>
      <c r="H167" s="2836"/>
      <c r="I167" s="2837"/>
      <c r="J167" s="2837"/>
      <c r="K167" s="2837"/>
      <c r="L167" s="461">
        <f t="shared" si="74"/>
        <v>3</v>
      </c>
      <c r="M167" s="461">
        <f t="shared" si="75"/>
        <v>3</v>
      </c>
      <c r="N167" s="652">
        <f>スコア入力!AC167</f>
        <v>0.25</v>
      </c>
      <c r="O167" s="586">
        <f>スコア入力!AE167</f>
        <v>0.25</v>
      </c>
      <c r="P167" s="461">
        <f t="shared" si="76"/>
        <v>0</v>
      </c>
      <c r="Q167" s="461">
        <f t="shared" si="77"/>
        <v>0</v>
      </c>
      <c r="R167" s="652">
        <f>スコア入力!AJ167</f>
        <v>0</v>
      </c>
      <c r="S167" s="586">
        <f>スコア入力!AL167</f>
        <v>0</v>
      </c>
      <c r="T167" s="581"/>
      <c r="U167" s="669"/>
      <c r="W167" s="254">
        <f t="shared" si="79"/>
        <v>3</v>
      </c>
      <c r="X167" s="254">
        <f t="shared" si="78"/>
        <v>3</v>
      </c>
      <c r="Y167" s="253">
        <f>スコア入力!AA167</f>
        <v>0.25</v>
      </c>
      <c r="Z167" s="253">
        <f>スコア入力!AB167</f>
        <v>0.25</v>
      </c>
      <c r="AA167" s="254">
        <f t="shared" si="71"/>
        <v>0</v>
      </c>
      <c r="AB167" s="254">
        <f t="shared" si="72"/>
        <v>0</v>
      </c>
      <c r="AC167" s="253">
        <f>スコア入力!AH167</f>
        <v>0</v>
      </c>
      <c r="AD167" s="253">
        <f>スコア入力!AI167</f>
        <v>0</v>
      </c>
      <c r="AE167" s="6"/>
      <c r="AF167" s="651">
        <f>スコア入力!N167</f>
        <v>3</v>
      </c>
      <c r="AG167" s="651">
        <f>スコア入力!P167</f>
        <v>3</v>
      </c>
      <c r="AH167" s="586">
        <f>スコア入力!AC167</f>
        <v>0.25</v>
      </c>
      <c r="AI167" s="586">
        <f>スコア入力!AE167</f>
        <v>0.25</v>
      </c>
      <c r="AJ167" s="651">
        <f>スコア入力!U167</f>
        <v>0</v>
      </c>
      <c r="AK167" s="651">
        <f>スコア入力!W167</f>
        <v>0</v>
      </c>
      <c r="AL167" s="586">
        <f>スコア入力!AJ167</f>
        <v>0</v>
      </c>
      <c r="AM167" s="586">
        <f>スコア入力!AL167</f>
        <v>0</v>
      </c>
      <c r="AN167" s="581"/>
      <c r="AO167" s="669"/>
    </row>
    <row r="168" spans="1:41" ht="14.25" thickBot="1">
      <c r="A168" s="408"/>
      <c r="B168" s="478"/>
      <c r="C168" s="313"/>
      <c r="D168" s="314">
        <v>4</v>
      </c>
      <c r="E168" s="334" t="s">
        <v>826</v>
      </c>
      <c r="F168" s="337"/>
      <c r="G168" s="337"/>
      <c r="H168" s="2836"/>
      <c r="I168" s="2837"/>
      <c r="J168" s="2837"/>
      <c r="K168" s="2837"/>
      <c r="L168" s="462">
        <f t="shared" si="74"/>
        <v>3</v>
      </c>
      <c r="M168" s="462">
        <f t="shared" si="75"/>
        <v>3</v>
      </c>
      <c r="N168" s="652">
        <f>スコア入力!AC168</f>
        <v>0.25</v>
      </c>
      <c r="O168" s="586">
        <f>スコア入力!AE168</f>
        <v>0.25</v>
      </c>
      <c r="P168" s="462">
        <f t="shared" si="76"/>
        <v>0</v>
      </c>
      <c r="Q168" s="462">
        <f t="shared" si="77"/>
        <v>0</v>
      </c>
      <c r="R168" s="652">
        <f>スコア入力!AJ168</f>
        <v>0</v>
      </c>
      <c r="S168" s="586">
        <f>スコア入力!AL168</f>
        <v>0</v>
      </c>
      <c r="T168" s="581"/>
      <c r="U168" s="669"/>
      <c r="W168" s="254">
        <f t="shared" si="79"/>
        <v>3</v>
      </c>
      <c r="X168" s="254">
        <f t="shared" si="78"/>
        <v>3</v>
      </c>
      <c r="Y168" s="253">
        <f>スコア入力!AA168</f>
        <v>0.25</v>
      </c>
      <c r="Z168" s="253">
        <f>スコア入力!AB168</f>
        <v>0.25</v>
      </c>
      <c r="AA168" s="254">
        <f t="shared" si="71"/>
        <v>0</v>
      </c>
      <c r="AB168" s="254">
        <f t="shared" si="72"/>
        <v>0</v>
      </c>
      <c r="AC168" s="253">
        <f>スコア入力!AH168</f>
        <v>0</v>
      </c>
      <c r="AD168" s="253">
        <f>スコア入力!AI168</f>
        <v>0</v>
      </c>
      <c r="AE168" s="6"/>
      <c r="AF168" s="602">
        <f>スコア入力!N168</f>
        <v>3</v>
      </c>
      <c r="AG168" s="602">
        <f>スコア入力!P168</f>
        <v>3</v>
      </c>
      <c r="AH168" s="605">
        <f>スコア入力!AC168</f>
        <v>0.25</v>
      </c>
      <c r="AI168" s="605">
        <f>スコア入力!AE168</f>
        <v>0.25</v>
      </c>
      <c r="AJ168" s="602">
        <f>スコア入力!U168</f>
        <v>0</v>
      </c>
      <c r="AK168" s="602">
        <f>スコア入力!W168</f>
        <v>0</v>
      </c>
      <c r="AL168" s="605">
        <f>スコア入力!AJ168</f>
        <v>0</v>
      </c>
      <c r="AM168" s="605">
        <f>スコア入力!AL168</f>
        <v>0</v>
      </c>
      <c r="AN168" s="606"/>
      <c r="AO168" s="670"/>
    </row>
    <row r="169" spans="1:41" ht="13.5">
      <c r="A169" s="408"/>
      <c r="B169" s="654">
        <v>3</v>
      </c>
      <c r="C169" s="336" t="s">
        <v>827</v>
      </c>
      <c r="D169" s="295"/>
      <c r="E169" s="295"/>
      <c r="F169" s="579"/>
      <c r="G169" s="579"/>
      <c r="H169" s="2855"/>
      <c r="I169" s="2856"/>
      <c r="J169" s="2856"/>
      <c r="K169" s="2856"/>
      <c r="L169" s="671">
        <f t="shared" si="74"/>
        <v>3</v>
      </c>
      <c r="M169" s="671">
        <f t="shared" si="75"/>
        <v>3</v>
      </c>
      <c r="N169" s="594">
        <f>スコア入力!AC170</f>
        <v>0.4</v>
      </c>
      <c r="O169" s="594">
        <f>スコア入力!AE170</f>
        <v>0.4</v>
      </c>
      <c r="P169" s="671">
        <f t="shared" si="76"/>
        <v>0</v>
      </c>
      <c r="Q169" s="671">
        <f t="shared" si="77"/>
        <v>0</v>
      </c>
      <c r="R169" s="594"/>
      <c r="S169" s="597"/>
      <c r="T169" s="596">
        <f>ROUNDDOWN(AN169,1)</f>
        <v>3</v>
      </c>
      <c r="U169" s="596">
        <f>ROUNDDOWN(AO169,1)</f>
        <v>3</v>
      </c>
      <c r="W169" s="570">
        <f t="shared" si="79"/>
        <v>3.0000000000000004</v>
      </c>
      <c r="X169" s="570">
        <f t="shared" si="78"/>
        <v>3.0000000000000004</v>
      </c>
      <c r="Y169" s="253">
        <f>スコア入力!AA169</f>
        <v>0.33333333333333331</v>
      </c>
      <c r="Z169" s="253">
        <f>スコア入力!AB169</f>
        <v>0.33333333333333331</v>
      </c>
      <c r="AA169" s="570">
        <f t="shared" si="71"/>
        <v>0</v>
      </c>
      <c r="AB169" s="570">
        <f t="shared" si="72"/>
        <v>0</v>
      </c>
      <c r="AC169" s="253">
        <f>スコア入力!AH169</f>
        <v>0</v>
      </c>
      <c r="AD169" s="253">
        <f>スコア入力!AI169</f>
        <v>0</v>
      </c>
      <c r="AE169" s="6"/>
      <c r="AF169" s="672">
        <f>AF170*AH170+AF174*AH174+AF178*AH178</f>
        <v>3.0000000000000004</v>
      </c>
      <c r="AG169" s="592">
        <f>AG170*AI170+AG174*AI174+AG178*AI178</f>
        <v>3.0000000000000004</v>
      </c>
      <c r="AH169" s="673">
        <f>スコア入力!AC169</f>
        <v>0.33333333333333331</v>
      </c>
      <c r="AI169" s="673">
        <f>スコア入力!AE169</f>
        <v>0.33333333333333331</v>
      </c>
      <c r="AJ169" s="672">
        <f>AJ170*AL170+AJ174*AL174+AJ178*AL178</f>
        <v>0</v>
      </c>
      <c r="AK169" s="592">
        <f>AK170*AM170+AK174*AM174+AK178*AM178</f>
        <v>0</v>
      </c>
      <c r="AL169" s="673">
        <f>スコア入力!AJ169</f>
        <v>0</v>
      </c>
      <c r="AM169" s="673">
        <f>スコア入力!AL169</f>
        <v>0</v>
      </c>
      <c r="AN169" s="674">
        <f>IF(AJ169=0,AF169,IF(AF169=0,AJ169,AF169*AH$6+AJ169*AL$6))</f>
        <v>3.0000000000000004</v>
      </c>
      <c r="AO169" s="674">
        <f>IF(AK169=0,AG169,IF(AG169=0,AK169,AG169*AI$6+AK169*AM$6))</f>
        <v>3.0000000000000004</v>
      </c>
    </row>
    <row r="170" spans="1:41" ht="14.25" thickBot="1">
      <c r="A170" s="408"/>
      <c r="B170" s="494"/>
      <c r="C170" s="659">
        <v>3.1</v>
      </c>
      <c r="D170" s="404" t="s">
        <v>828</v>
      </c>
      <c r="E170" s="420"/>
      <c r="F170" s="337"/>
      <c r="G170" s="337"/>
      <c r="H170" s="2836"/>
      <c r="I170" s="2837"/>
      <c r="J170" s="2837"/>
      <c r="K170" s="2837"/>
      <c r="L170" s="656">
        <f t="shared" si="74"/>
        <v>3</v>
      </c>
      <c r="M170" s="656">
        <f t="shared" si="75"/>
        <v>3</v>
      </c>
      <c r="N170" s="580">
        <f>スコア入力!AC171</f>
        <v>0.33333333333333331</v>
      </c>
      <c r="O170" s="580">
        <f>スコア入力!AE171</f>
        <v>0.33333333333333331</v>
      </c>
      <c r="P170" s="656">
        <f t="shared" si="76"/>
        <v>0</v>
      </c>
      <c r="Q170" s="656">
        <f t="shared" si="77"/>
        <v>0</v>
      </c>
      <c r="R170" s="580">
        <f>スコア入力!AJ171</f>
        <v>0</v>
      </c>
      <c r="S170" s="586">
        <f>スコア入力!AL171</f>
        <v>0</v>
      </c>
      <c r="T170" s="581"/>
      <c r="U170" s="581"/>
      <c r="W170" s="570">
        <f t="shared" si="79"/>
        <v>3</v>
      </c>
      <c r="X170" s="570">
        <f t="shared" si="78"/>
        <v>3</v>
      </c>
      <c r="Y170" s="253">
        <f>スコア入力!AA170</f>
        <v>0.4</v>
      </c>
      <c r="Z170" s="253">
        <f>スコア入力!AB170</f>
        <v>0.4</v>
      </c>
      <c r="AA170" s="570">
        <f t="shared" si="71"/>
        <v>0</v>
      </c>
      <c r="AB170" s="570">
        <f t="shared" si="72"/>
        <v>0</v>
      </c>
      <c r="AC170" s="253">
        <f>スコア入力!AH170</f>
        <v>0</v>
      </c>
      <c r="AD170" s="253">
        <f>スコア入力!AI170</f>
        <v>0</v>
      </c>
      <c r="AE170" s="6"/>
      <c r="AF170" s="599">
        <f>SUMPRODUCT(AF171:AF173,AH171:AH173)</f>
        <v>3</v>
      </c>
      <c r="AG170" s="599">
        <f>SUMPRODUCT(AG171:AG173,AI171:AI173)</f>
        <v>3</v>
      </c>
      <c r="AH170" s="598">
        <f>スコア入力!AC170</f>
        <v>0.4</v>
      </c>
      <c r="AI170" s="598">
        <f>スコア入力!AE170</f>
        <v>0.4</v>
      </c>
      <c r="AJ170" s="599">
        <f>SUMPRODUCT(AJ171:AJ173,AL171:AL173)</f>
        <v>0</v>
      </c>
      <c r="AK170" s="599">
        <f>SUMPRODUCT(AK171:AK173,AM171:AM173)</f>
        <v>0</v>
      </c>
      <c r="AL170" s="598">
        <f>スコア入力!AJ170</f>
        <v>0</v>
      </c>
      <c r="AM170" s="598">
        <f>スコア入力!AL170</f>
        <v>0</v>
      </c>
      <c r="AN170" s="581"/>
      <c r="AO170" s="581"/>
    </row>
    <row r="171" spans="1:41" ht="13.5">
      <c r="A171" s="408"/>
      <c r="B171" s="489"/>
      <c r="C171" s="668"/>
      <c r="D171" s="314">
        <v>1</v>
      </c>
      <c r="E171" s="334" t="s">
        <v>829</v>
      </c>
      <c r="F171" s="337"/>
      <c r="G171" s="337"/>
      <c r="H171" s="2836"/>
      <c r="I171" s="2837"/>
      <c r="J171" s="2837"/>
      <c r="K171" s="2837"/>
      <c r="L171" s="460">
        <f t="shared" si="74"/>
        <v>3</v>
      </c>
      <c r="M171" s="460">
        <f t="shared" si="75"/>
        <v>3</v>
      </c>
      <c r="N171" s="652">
        <f>スコア入力!AC171</f>
        <v>0.33333333333333331</v>
      </c>
      <c r="O171" s="586">
        <f>スコア入力!AE171</f>
        <v>0.33333333333333331</v>
      </c>
      <c r="P171" s="460">
        <f t="shared" si="76"/>
        <v>0</v>
      </c>
      <c r="Q171" s="460">
        <f t="shared" si="77"/>
        <v>0</v>
      </c>
      <c r="R171" s="652">
        <f>スコア入力!AJ171</f>
        <v>0</v>
      </c>
      <c r="S171" s="586">
        <f>スコア入力!AL171</f>
        <v>0</v>
      </c>
      <c r="T171" s="581"/>
      <c r="U171" s="581"/>
      <c r="W171" s="254">
        <f t="shared" si="79"/>
        <v>3</v>
      </c>
      <c r="X171" s="254">
        <f t="shared" si="78"/>
        <v>3</v>
      </c>
      <c r="Y171" s="253">
        <f>スコア入力!AA171</f>
        <v>0.33333333333333331</v>
      </c>
      <c r="Z171" s="253">
        <f>スコア入力!AB171</f>
        <v>0.33333333333333331</v>
      </c>
      <c r="AA171" s="254">
        <f t="shared" si="71"/>
        <v>0</v>
      </c>
      <c r="AB171" s="254">
        <f t="shared" si="72"/>
        <v>0</v>
      </c>
      <c r="AC171" s="253">
        <f>スコア入力!AH171</f>
        <v>0</v>
      </c>
      <c r="AD171" s="253">
        <f>スコア入力!AI171</f>
        <v>0</v>
      </c>
      <c r="AE171" s="6"/>
      <c r="AF171" s="632">
        <f>スコア入力!N171</f>
        <v>3</v>
      </c>
      <c r="AG171" s="632">
        <f>スコア入力!P171</f>
        <v>3</v>
      </c>
      <c r="AH171" s="580">
        <f>スコア入力!AC171</f>
        <v>0.33333333333333331</v>
      </c>
      <c r="AI171" s="580">
        <f>スコア入力!AE171</f>
        <v>0.33333333333333331</v>
      </c>
      <c r="AJ171" s="632">
        <f>スコア入力!U171</f>
        <v>0</v>
      </c>
      <c r="AK171" s="632">
        <f>スコア入力!W171</f>
        <v>0</v>
      </c>
      <c r="AL171" s="580">
        <f>スコア入力!AJ171</f>
        <v>0</v>
      </c>
      <c r="AM171" s="580">
        <f>スコア入力!AL171</f>
        <v>0</v>
      </c>
      <c r="AN171" s="581"/>
      <c r="AO171" s="581"/>
    </row>
    <row r="172" spans="1:41" ht="13.5">
      <c r="A172" s="408"/>
      <c r="B172" s="489"/>
      <c r="C172" s="313"/>
      <c r="D172" s="314">
        <v>2</v>
      </c>
      <c r="E172" s="334" t="s">
        <v>830</v>
      </c>
      <c r="F172" s="337"/>
      <c r="G172" s="337"/>
      <c r="H172" s="2836"/>
      <c r="I172" s="2837"/>
      <c r="J172" s="2837"/>
      <c r="K172" s="2837"/>
      <c r="L172" s="461">
        <f t="shared" si="74"/>
        <v>3</v>
      </c>
      <c r="M172" s="461">
        <f t="shared" si="75"/>
        <v>3</v>
      </c>
      <c r="N172" s="652">
        <f>スコア入力!AC172</f>
        <v>0.33333333333333331</v>
      </c>
      <c r="O172" s="586">
        <f>スコア入力!AE172</f>
        <v>0.33333333333333331</v>
      </c>
      <c r="P172" s="461">
        <f t="shared" si="76"/>
        <v>0</v>
      </c>
      <c r="Q172" s="461">
        <f t="shared" si="77"/>
        <v>0</v>
      </c>
      <c r="R172" s="652">
        <f>スコア入力!AJ172</f>
        <v>0</v>
      </c>
      <c r="S172" s="586">
        <f>スコア入力!AL172</f>
        <v>0</v>
      </c>
      <c r="T172" s="581"/>
      <c r="U172" s="581"/>
      <c r="W172" s="254">
        <f t="shared" si="79"/>
        <v>3</v>
      </c>
      <c r="X172" s="254">
        <f t="shared" si="78"/>
        <v>3</v>
      </c>
      <c r="Y172" s="253">
        <f>スコア入力!AA172</f>
        <v>0.33333333333333331</v>
      </c>
      <c r="Z172" s="253">
        <f>スコア入力!AB172</f>
        <v>0.33333333333333331</v>
      </c>
      <c r="AA172" s="254">
        <f t="shared" si="71"/>
        <v>0</v>
      </c>
      <c r="AB172" s="254">
        <f t="shared" si="72"/>
        <v>0</v>
      </c>
      <c r="AC172" s="253">
        <f>スコア入力!AH172</f>
        <v>0</v>
      </c>
      <c r="AD172" s="253">
        <f>スコア入力!AI172</f>
        <v>0</v>
      </c>
      <c r="AE172" s="6"/>
      <c r="AF172" s="651">
        <f>スコア入力!N172</f>
        <v>3</v>
      </c>
      <c r="AG172" s="651">
        <f>スコア入力!P172</f>
        <v>3</v>
      </c>
      <c r="AH172" s="580">
        <f>スコア入力!AC172</f>
        <v>0.33333333333333331</v>
      </c>
      <c r="AI172" s="580">
        <f>スコア入力!AE172</f>
        <v>0.33333333333333331</v>
      </c>
      <c r="AJ172" s="651">
        <f>スコア入力!U172</f>
        <v>0</v>
      </c>
      <c r="AK172" s="651">
        <f>スコア入力!W172</f>
        <v>0</v>
      </c>
      <c r="AL172" s="580">
        <f>スコア入力!AJ172</f>
        <v>0</v>
      </c>
      <c r="AM172" s="580">
        <f>スコア入力!AL172</f>
        <v>0</v>
      </c>
      <c r="AN172" s="581"/>
      <c r="AO172" s="581"/>
    </row>
    <row r="173" spans="1:41" ht="14.25" thickBot="1">
      <c r="A173" s="408"/>
      <c r="B173" s="357"/>
      <c r="C173" s="313"/>
      <c r="D173" s="314">
        <v>3</v>
      </c>
      <c r="E173" s="334" t="s">
        <v>831</v>
      </c>
      <c r="F173" s="337"/>
      <c r="G173" s="337"/>
      <c r="H173" s="2836"/>
      <c r="I173" s="2837"/>
      <c r="J173" s="2837"/>
      <c r="K173" s="2837"/>
      <c r="L173" s="462">
        <f t="shared" si="74"/>
        <v>3</v>
      </c>
      <c r="M173" s="462">
        <f t="shared" si="75"/>
        <v>3</v>
      </c>
      <c r="N173" s="652">
        <f>スコア入力!AC173</f>
        <v>0.33333333333333331</v>
      </c>
      <c r="O173" s="586">
        <f>スコア入力!AE173</f>
        <v>0.33333333333333331</v>
      </c>
      <c r="P173" s="462">
        <f t="shared" si="76"/>
        <v>0</v>
      </c>
      <c r="Q173" s="462">
        <f t="shared" si="77"/>
        <v>0</v>
      </c>
      <c r="R173" s="652">
        <f>スコア入力!AJ173</f>
        <v>0</v>
      </c>
      <c r="S173" s="586">
        <f>スコア入力!AL173</f>
        <v>0</v>
      </c>
      <c r="T173" s="581"/>
      <c r="U173" s="581"/>
      <c r="W173" s="254">
        <f t="shared" si="79"/>
        <v>3</v>
      </c>
      <c r="X173" s="254">
        <f t="shared" si="78"/>
        <v>3</v>
      </c>
      <c r="Y173" s="253">
        <f>スコア入力!AA173</f>
        <v>0.33333333333333331</v>
      </c>
      <c r="Z173" s="253">
        <f>スコア入力!AB173</f>
        <v>0.33333333333333331</v>
      </c>
      <c r="AA173" s="254">
        <f t="shared" si="71"/>
        <v>0</v>
      </c>
      <c r="AB173" s="254">
        <f t="shared" si="72"/>
        <v>0</v>
      </c>
      <c r="AC173" s="253">
        <f>スコア入力!AH173</f>
        <v>0</v>
      </c>
      <c r="AD173" s="253">
        <f>スコア入力!AI173</f>
        <v>0</v>
      </c>
      <c r="AE173" s="6"/>
      <c r="AF173" s="602">
        <f>スコア入力!N173</f>
        <v>3</v>
      </c>
      <c r="AG173" s="602">
        <f>スコア入力!P173</f>
        <v>3</v>
      </c>
      <c r="AH173" s="580">
        <f>スコア入力!AC173</f>
        <v>0.33333333333333331</v>
      </c>
      <c r="AI173" s="580">
        <f>スコア入力!AE173</f>
        <v>0.33333333333333331</v>
      </c>
      <c r="AJ173" s="602">
        <f>スコア入力!U173</f>
        <v>0</v>
      </c>
      <c r="AK173" s="602">
        <f>スコア入力!W173</f>
        <v>0</v>
      </c>
      <c r="AL173" s="580">
        <f>スコア入力!AJ173</f>
        <v>0</v>
      </c>
      <c r="AM173" s="580">
        <f>スコア入力!AL173</f>
        <v>0</v>
      </c>
      <c r="AN173" s="581"/>
      <c r="AO173" s="581"/>
    </row>
    <row r="174" spans="1:41" ht="14.25" thickBot="1">
      <c r="A174" s="408"/>
      <c r="B174" s="494"/>
      <c r="C174" s="659">
        <v>3.2</v>
      </c>
      <c r="D174" s="404" t="s">
        <v>669</v>
      </c>
      <c r="E174" s="415"/>
      <c r="F174" s="337"/>
      <c r="G174" s="337"/>
      <c r="H174" s="2836"/>
      <c r="I174" s="2837"/>
      <c r="J174" s="2837"/>
      <c r="K174" s="2837"/>
      <c r="L174" s="656">
        <f t="shared" si="74"/>
        <v>3</v>
      </c>
      <c r="M174" s="656">
        <f t="shared" si="75"/>
        <v>3</v>
      </c>
      <c r="N174" s="580">
        <f>スコア入力!AC174</f>
        <v>0.4</v>
      </c>
      <c r="O174" s="580">
        <f>スコア入力!AE174</f>
        <v>0.4</v>
      </c>
      <c r="P174" s="656">
        <f t="shared" si="76"/>
        <v>0</v>
      </c>
      <c r="Q174" s="656">
        <f t="shared" si="77"/>
        <v>0</v>
      </c>
      <c r="R174" s="580">
        <f>スコア入力!AJ174</f>
        <v>0</v>
      </c>
      <c r="S174" s="586">
        <f>スコア入力!AL174</f>
        <v>0</v>
      </c>
      <c r="T174" s="581"/>
      <c r="U174" s="581"/>
      <c r="W174" s="600">
        <f t="shared" si="79"/>
        <v>2.9999999999999996</v>
      </c>
      <c r="X174" s="600">
        <f t="shared" si="78"/>
        <v>2.9999999999999996</v>
      </c>
      <c r="Y174" s="253">
        <f>スコア入力!AA174</f>
        <v>0.4</v>
      </c>
      <c r="Z174" s="253">
        <f>スコア入力!AB174</f>
        <v>0.4</v>
      </c>
      <c r="AA174" s="600">
        <f t="shared" si="71"/>
        <v>0</v>
      </c>
      <c r="AB174" s="600">
        <f t="shared" si="72"/>
        <v>0</v>
      </c>
      <c r="AC174" s="253">
        <f>スコア入力!AH174</f>
        <v>0</v>
      </c>
      <c r="AD174" s="253">
        <f>スコア入力!AI174</f>
        <v>0</v>
      </c>
      <c r="AE174" s="6"/>
      <c r="AF174" s="599">
        <f>SUMPRODUCT(AF175:AF177,AH175:AH177)</f>
        <v>2.9999999999999996</v>
      </c>
      <c r="AG174" s="599">
        <f>SUMPRODUCT(AG175:AG177,AI175:AI177)</f>
        <v>2.9999999999999996</v>
      </c>
      <c r="AH174" s="580">
        <f>スコア入力!AC174</f>
        <v>0.4</v>
      </c>
      <c r="AI174" s="580">
        <f>スコア入力!AE174</f>
        <v>0.4</v>
      </c>
      <c r="AJ174" s="599">
        <f>SUMPRODUCT(AJ175:AJ177,AL175:AL177)</f>
        <v>0</v>
      </c>
      <c r="AK174" s="599">
        <f>SUMPRODUCT(AK175:AK177,AM175:AM177)</f>
        <v>0</v>
      </c>
      <c r="AL174" s="580">
        <f>スコア入力!AJ174</f>
        <v>0</v>
      </c>
      <c r="AM174" s="580">
        <f>スコア入力!AL174</f>
        <v>0</v>
      </c>
      <c r="AN174" s="581"/>
      <c r="AO174" s="581"/>
    </row>
    <row r="175" spans="1:41" ht="13.5">
      <c r="A175" s="408"/>
      <c r="B175" s="486"/>
      <c r="C175" s="668"/>
      <c r="D175" s="314">
        <v>1</v>
      </c>
      <c r="E175" s="404" t="s">
        <v>863</v>
      </c>
      <c r="F175" s="337"/>
      <c r="G175" s="337"/>
      <c r="H175" s="2836"/>
      <c r="I175" s="2837"/>
      <c r="J175" s="2837"/>
      <c r="K175" s="2837"/>
      <c r="L175" s="460">
        <f t="shared" ref="L175:M177" si="80">IF(Y175=0,0,ROUNDDOWN(AF175,1))</f>
        <v>3</v>
      </c>
      <c r="M175" s="460">
        <f t="shared" si="80"/>
        <v>3</v>
      </c>
      <c r="N175" s="652">
        <f>スコア入力!AC175</f>
        <v>0.7</v>
      </c>
      <c r="O175" s="586">
        <f>スコア入力!AE175</f>
        <v>0.7</v>
      </c>
      <c r="P175" s="460">
        <f t="shared" ref="P175:Q177" si="81">IF(AC175=0,0,ROUNDDOWN(AJ175,1))</f>
        <v>0</v>
      </c>
      <c r="Q175" s="460">
        <f t="shared" si="81"/>
        <v>0</v>
      </c>
      <c r="R175" s="652">
        <f>スコア入力!AJ175</f>
        <v>0</v>
      </c>
      <c r="S175" s="586">
        <f>スコア入力!AL175</f>
        <v>0</v>
      </c>
      <c r="T175" s="581"/>
      <c r="U175" s="581"/>
      <c r="W175" s="254">
        <f t="shared" si="79"/>
        <v>3</v>
      </c>
      <c r="X175" s="254">
        <f t="shared" si="78"/>
        <v>3</v>
      </c>
      <c r="Y175" s="253">
        <f>スコア入力!AA175</f>
        <v>0.7</v>
      </c>
      <c r="Z175" s="253">
        <f>スコア入力!AB175</f>
        <v>0.7</v>
      </c>
      <c r="AA175" s="254">
        <f t="shared" si="71"/>
        <v>0</v>
      </c>
      <c r="AB175" s="254">
        <f t="shared" si="72"/>
        <v>0</v>
      </c>
      <c r="AC175" s="253">
        <f>スコア入力!AH175</f>
        <v>0</v>
      </c>
      <c r="AD175" s="253">
        <f>スコア入力!AI175</f>
        <v>0</v>
      </c>
      <c r="AE175" s="6"/>
      <c r="AF175" s="632">
        <f>スコア入力!N175</f>
        <v>3</v>
      </c>
      <c r="AG175" s="632">
        <f>スコア入力!P175</f>
        <v>3</v>
      </c>
      <c r="AH175" s="580">
        <f>スコア入力!AC175</f>
        <v>0.7</v>
      </c>
      <c r="AI175" s="580">
        <f>スコア入力!AE175</f>
        <v>0.7</v>
      </c>
      <c r="AJ175" s="632">
        <f>スコア入力!U175</f>
        <v>0</v>
      </c>
      <c r="AK175" s="632">
        <f>スコア入力!W175</f>
        <v>0</v>
      </c>
      <c r="AL175" s="580">
        <f>スコア入力!AJ175</f>
        <v>0</v>
      </c>
      <c r="AM175" s="580">
        <f>スコア入力!AL175</f>
        <v>0</v>
      </c>
      <c r="AN175" s="581"/>
      <c r="AO175" s="581"/>
    </row>
    <row r="176" spans="1:41" ht="13.5">
      <c r="A176" s="408"/>
      <c r="B176" s="494"/>
      <c r="C176" s="313"/>
      <c r="D176" s="314">
        <v>2</v>
      </c>
      <c r="E176" s="404" t="s">
        <v>1158</v>
      </c>
      <c r="F176" s="337"/>
      <c r="G176" s="337"/>
      <c r="H176" s="2836"/>
      <c r="I176" s="2837"/>
      <c r="J176" s="2837"/>
      <c r="K176" s="2837"/>
      <c r="L176" s="461">
        <f t="shared" si="80"/>
        <v>0</v>
      </c>
      <c r="M176" s="461">
        <f t="shared" si="80"/>
        <v>0</v>
      </c>
      <c r="N176" s="652">
        <f>スコア入力!AC176</f>
        <v>0</v>
      </c>
      <c r="O176" s="586">
        <f>スコア入力!AE176</f>
        <v>0</v>
      </c>
      <c r="P176" s="461">
        <f t="shared" si="81"/>
        <v>0</v>
      </c>
      <c r="Q176" s="461">
        <f t="shared" si="81"/>
        <v>0</v>
      </c>
      <c r="R176" s="652">
        <f>スコア入力!AJ176</f>
        <v>0</v>
      </c>
      <c r="S176" s="586">
        <f>スコア入力!AL176</f>
        <v>0</v>
      </c>
      <c r="T176" s="581"/>
      <c r="U176" s="581"/>
      <c r="W176" s="254">
        <f t="shared" si="79"/>
        <v>3</v>
      </c>
      <c r="X176" s="254">
        <f t="shared" si="78"/>
        <v>3</v>
      </c>
      <c r="Y176" s="253">
        <f>スコア入力!AA176</f>
        <v>0</v>
      </c>
      <c r="Z176" s="253">
        <f>スコア入力!AB176</f>
        <v>0</v>
      </c>
      <c r="AA176" s="254">
        <f t="shared" si="71"/>
        <v>0</v>
      </c>
      <c r="AB176" s="254">
        <f t="shared" si="72"/>
        <v>0</v>
      </c>
      <c r="AC176" s="253">
        <f>スコア入力!AH176</f>
        <v>0</v>
      </c>
      <c r="AD176" s="253">
        <f>スコア入力!AI176</f>
        <v>0</v>
      </c>
      <c r="AE176" s="6"/>
      <c r="AF176" s="651">
        <f>スコア入力!N176</f>
        <v>3</v>
      </c>
      <c r="AG176" s="651">
        <f>スコア入力!P176</f>
        <v>3</v>
      </c>
      <c r="AH176" s="580">
        <f>スコア入力!AC176</f>
        <v>0</v>
      </c>
      <c r="AI176" s="580">
        <f>スコア入力!AE176</f>
        <v>0</v>
      </c>
      <c r="AJ176" s="651">
        <f>スコア入力!U176</f>
        <v>0</v>
      </c>
      <c r="AK176" s="651">
        <f>スコア入力!W176</f>
        <v>0</v>
      </c>
      <c r="AL176" s="580">
        <f>スコア入力!AJ176</f>
        <v>0</v>
      </c>
      <c r="AM176" s="580">
        <f>スコア入力!AL176</f>
        <v>0</v>
      </c>
      <c r="AN176" s="581"/>
      <c r="AO176" s="581"/>
    </row>
    <row r="177" spans="1:41" ht="14.25" thickBot="1">
      <c r="A177" s="408"/>
      <c r="B177" s="494"/>
      <c r="C177" s="313"/>
      <c r="D177" s="403">
        <v>3</v>
      </c>
      <c r="E177" s="404" t="s">
        <v>1159</v>
      </c>
      <c r="F177" s="337"/>
      <c r="G177" s="337"/>
      <c r="H177" s="2836"/>
      <c r="I177" s="2879"/>
      <c r="J177" s="2879"/>
      <c r="K177" s="2880"/>
      <c r="L177" s="462">
        <f t="shared" si="80"/>
        <v>3</v>
      </c>
      <c r="M177" s="462">
        <f t="shared" si="80"/>
        <v>3</v>
      </c>
      <c r="N177" s="652">
        <f>スコア入力!AC177</f>
        <v>0.3</v>
      </c>
      <c r="O177" s="586">
        <f>スコア入力!AE177</f>
        <v>0.3</v>
      </c>
      <c r="P177" s="462">
        <f t="shared" si="81"/>
        <v>0</v>
      </c>
      <c r="Q177" s="462">
        <f t="shared" si="81"/>
        <v>0</v>
      </c>
      <c r="R177" s="652">
        <f>スコア入力!AJ177</f>
        <v>0</v>
      </c>
      <c r="S177" s="586">
        <f>スコア入力!AL177</f>
        <v>0</v>
      </c>
      <c r="T177" s="581"/>
      <c r="U177" s="581"/>
      <c r="W177" s="254">
        <f>AF177</f>
        <v>3</v>
      </c>
      <c r="X177" s="254">
        <f>AG177</f>
        <v>3</v>
      </c>
      <c r="Y177" s="253">
        <f>スコア入力!AA177</f>
        <v>0.3</v>
      </c>
      <c r="Z177" s="253">
        <f>スコア入力!AB177</f>
        <v>0.3</v>
      </c>
      <c r="AA177" s="254">
        <f>AJ177</f>
        <v>0</v>
      </c>
      <c r="AB177" s="254">
        <f>AK177</f>
        <v>0</v>
      </c>
      <c r="AC177" s="253">
        <f>スコア入力!AH177</f>
        <v>0</v>
      </c>
      <c r="AD177" s="253">
        <f>スコア入力!AI177</f>
        <v>0</v>
      </c>
      <c r="AE177" s="6"/>
      <c r="AF177" s="602">
        <f>スコア入力!N177</f>
        <v>3</v>
      </c>
      <c r="AG177" s="602">
        <f>スコア入力!P177</f>
        <v>3</v>
      </c>
      <c r="AH177" s="580">
        <f>スコア入力!AC177</f>
        <v>0.3</v>
      </c>
      <c r="AI177" s="580">
        <f>スコア入力!AE177</f>
        <v>0.3</v>
      </c>
      <c r="AJ177" s="602">
        <f>スコア入力!U177</f>
        <v>0</v>
      </c>
      <c r="AK177" s="602">
        <f>スコア入力!W177</f>
        <v>0</v>
      </c>
      <c r="AL177" s="580">
        <f>スコア入力!AJ177</f>
        <v>0</v>
      </c>
      <c r="AM177" s="580">
        <f>スコア入力!AL177</f>
        <v>0</v>
      </c>
      <c r="AN177" s="581"/>
      <c r="AO177" s="581"/>
    </row>
    <row r="178" spans="1:41" ht="14.25" thickBot="1">
      <c r="A178" s="408"/>
      <c r="B178" s="479"/>
      <c r="C178" s="659">
        <v>3.3</v>
      </c>
      <c r="D178" s="404" t="s">
        <v>832</v>
      </c>
      <c r="E178" s="420"/>
      <c r="F178" s="337"/>
      <c r="G178" s="337"/>
      <c r="H178" s="2836"/>
      <c r="I178" s="2837"/>
      <c r="J178" s="2837"/>
      <c r="K178" s="2837"/>
      <c r="L178" s="656">
        <f t="shared" si="74"/>
        <v>3</v>
      </c>
      <c r="M178" s="656">
        <f t="shared" si="75"/>
        <v>3</v>
      </c>
      <c r="N178" s="580">
        <f>スコア入力!AC178</f>
        <v>0.2</v>
      </c>
      <c r="O178" s="580">
        <f>スコア入力!AE178</f>
        <v>0.2</v>
      </c>
      <c r="P178" s="656">
        <f t="shared" si="76"/>
        <v>0</v>
      </c>
      <c r="Q178" s="656">
        <f t="shared" si="77"/>
        <v>0</v>
      </c>
      <c r="R178" s="580">
        <f>スコア入力!AJ178</f>
        <v>0</v>
      </c>
      <c r="S178" s="586">
        <f>スコア入力!AL178</f>
        <v>0</v>
      </c>
      <c r="T178" s="581"/>
      <c r="U178" s="581"/>
      <c r="W178" s="600">
        <f t="shared" si="79"/>
        <v>2.9999999999999996</v>
      </c>
      <c r="X178" s="600">
        <f t="shared" si="78"/>
        <v>2.9999999999999996</v>
      </c>
      <c r="Y178" s="253">
        <f>スコア入力!AA178</f>
        <v>0.2</v>
      </c>
      <c r="Z178" s="253">
        <f>スコア入力!AB178</f>
        <v>0.2</v>
      </c>
      <c r="AA178" s="600">
        <f t="shared" si="71"/>
        <v>0</v>
      </c>
      <c r="AB178" s="600">
        <f t="shared" si="72"/>
        <v>0</v>
      </c>
      <c r="AC178" s="253">
        <f>スコア入力!AH178</f>
        <v>0</v>
      </c>
      <c r="AD178" s="253">
        <f>スコア入力!AI178</f>
        <v>0</v>
      </c>
      <c r="AE178" s="6"/>
      <c r="AF178" s="599">
        <f>SUMPRODUCT(AF179:AF180,AH179:AH180)</f>
        <v>2.9999999999999996</v>
      </c>
      <c r="AG178" s="599">
        <f>SUMPRODUCT(AG179:AG180,AI179:AI180)</f>
        <v>2.9999999999999996</v>
      </c>
      <c r="AH178" s="580">
        <f>スコア入力!AC178</f>
        <v>0.2</v>
      </c>
      <c r="AI178" s="580">
        <f>スコア入力!AE178</f>
        <v>0.2</v>
      </c>
      <c r="AJ178" s="599">
        <f>SUMPRODUCT(AJ179:AJ180,AL179:AL180)</f>
        <v>0</v>
      </c>
      <c r="AK178" s="599">
        <f>SUMPRODUCT(AK179:AK180,AM179:AM180)</f>
        <v>0</v>
      </c>
      <c r="AL178" s="580">
        <f>スコア入力!AJ178</f>
        <v>0</v>
      </c>
      <c r="AM178" s="580">
        <f>スコア入力!AL178</f>
        <v>0</v>
      </c>
      <c r="AN178" s="581"/>
      <c r="AO178" s="581"/>
    </row>
    <row r="179" spans="1:41" ht="13.5">
      <c r="A179" s="408"/>
      <c r="B179" s="486"/>
      <c r="C179" s="313"/>
      <c r="D179" s="314">
        <v>1</v>
      </c>
      <c r="E179" s="334" t="s">
        <v>835</v>
      </c>
      <c r="F179" s="337"/>
      <c r="G179" s="337"/>
      <c r="H179" s="2836"/>
      <c r="I179" s="2837"/>
      <c r="J179" s="2837"/>
      <c r="K179" s="2837"/>
      <c r="L179" s="460">
        <f t="shared" si="74"/>
        <v>3</v>
      </c>
      <c r="M179" s="460">
        <f t="shared" si="75"/>
        <v>3</v>
      </c>
      <c r="N179" s="652">
        <f>スコア入力!AC179</f>
        <v>0.7</v>
      </c>
      <c r="O179" s="586">
        <f>スコア入力!AE179</f>
        <v>0.7</v>
      </c>
      <c r="P179" s="460">
        <f t="shared" si="76"/>
        <v>0</v>
      </c>
      <c r="Q179" s="460">
        <f t="shared" si="77"/>
        <v>0</v>
      </c>
      <c r="R179" s="652">
        <f>スコア入力!AJ179</f>
        <v>0</v>
      </c>
      <c r="S179" s="586">
        <f>スコア入力!AL179</f>
        <v>0</v>
      </c>
      <c r="T179" s="581"/>
      <c r="U179" s="581"/>
      <c r="W179" s="254">
        <f t="shared" si="79"/>
        <v>3</v>
      </c>
      <c r="X179" s="254">
        <f t="shared" si="78"/>
        <v>3</v>
      </c>
      <c r="Y179" s="253">
        <f>スコア入力!AA179</f>
        <v>0.7</v>
      </c>
      <c r="Z179" s="253">
        <f>スコア入力!AB179</f>
        <v>0.7</v>
      </c>
      <c r="AA179" s="254">
        <f t="shared" si="71"/>
        <v>0</v>
      </c>
      <c r="AB179" s="254">
        <f t="shared" si="72"/>
        <v>0</v>
      </c>
      <c r="AC179" s="253">
        <f>スコア入力!AH179</f>
        <v>0</v>
      </c>
      <c r="AD179" s="253">
        <f>スコア入力!AI179</f>
        <v>0</v>
      </c>
      <c r="AE179" s="6"/>
      <c r="AF179" s="632">
        <f>スコア入力!N179</f>
        <v>3</v>
      </c>
      <c r="AG179" s="632">
        <f>スコア入力!P179</f>
        <v>3</v>
      </c>
      <c r="AH179" s="580">
        <f>スコア入力!AC179</f>
        <v>0.7</v>
      </c>
      <c r="AI179" s="580">
        <f>スコア入力!AE179</f>
        <v>0.7</v>
      </c>
      <c r="AJ179" s="632">
        <f>スコア入力!U179</f>
        <v>0</v>
      </c>
      <c r="AK179" s="632">
        <f>スコア入力!W179</f>
        <v>0</v>
      </c>
      <c r="AL179" s="580">
        <f>スコア入力!AJ179</f>
        <v>0</v>
      </c>
      <c r="AM179" s="580">
        <f>スコア入力!AL179</f>
        <v>0</v>
      </c>
      <c r="AN179" s="581"/>
      <c r="AO179" s="581"/>
    </row>
    <row r="180" spans="1:41" ht="14.25" thickBot="1">
      <c r="A180" s="408"/>
      <c r="B180" s="498"/>
      <c r="C180" s="364"/>
      <c r="D180" s="365">
        <v>2</v>
      </c>
      <c r="E180" s="2884" t="s">
        <v>836</v>
      </c>
      <c r="F180" s="2885"/>
      <c r="G180" s="604"/>
      <c r="H180" s="2849"/>
      <c r="I180" s="2850"/>
      <c r="J180" s="2850"/>
      <c r="K180" s="2850"/>
      <c r="L180" s="462">
        <f t="shared" si="74"/>
        <v>3</v>
      </c>
      <c r="M180" s="462">
        <f t="shared" si="75"/>
        <v>3</v>
      </c>
      <c r="N180" s="660">
        <f>スコア入力!AC180</f>
        <v>0.3</v>
      </c>
      <c r="O180" s="605">
        <f>スコア入力!AE180</f>
        <v>0.3</v>
      </c>
      <c r="P180" s="462">
        <f t="shared" si="76"/>
        <v>0</v>
      </c>
      <c r="Q180" s="462">
        <f t="shared" si="77"/>
        <v>0</v>
      </c>
      <c r="R180" s="660">
        <f>スコア入力!AJ180</f>
        <v>0</v>
      </c>
      <c r="S180" s="605">
        <f>スコア入力!AL180</f>
        <v>0</v>
      </c>
      <c r="T180" s="606"/>
      <c r="U180" s="606"/>
      <c r="W180" s="254">
        <f t="shared" si="79"/>
        <v>3</v>
      </c>
      <c r="X180" s="254">
        <f t="shared" si="78"/>
        <v>3</v>
      </c>
      <c r="Y180" s="253">
        <f>スコア入力!AA180</f>
        <v>0.3</v>
      </c>
      <c r="Z180" s="253">
        <f>スコア入力!AB180</f>
        <v>0.3</v>
      </c>
      <c r="AA180" s="254">
        <f t="shared" si="71"/>
        <v>0</v>
      </c>
      <c r="AB180" s="254">
        <f t="shared" si="72"/>
        <v>0</v>
      </c>
      <c r="AC180" s="253">
        <f>スコア入力!AH180</f>
        <v>0</v>
      </c>
      <c r="AD180" s="253">
        <f>スコア入力!AI180</f>
        <v>0</v>
      </c>
      <c r="AE180" s="6"/>
      <c r="AF180" s="602">
        <f>スコア入力!N180</f>
        <v>3</v>
      </c>
      <c r="AG180" s="602">
        <f>スコア入力!P180</f>
        <v>3</v>
      </c>
      <c r="AH180" s="629">
        <f>スコア入力!AC180</f>
        <v>0.3</v>
      </c>
      <c r="AI180" s="629">
        <f>スコア入力!AE180</f>
        <v>0.3</v>
      </c>
      <c r="AJ180" s="602">
        <f>スコア入力!U180</f>
        <v>0</v>
      </c>
      <c r="AK180" s="602">
        <f>スコア入力!W180</f>
        <v>0</v>
      </c>
      <c r="AL180" s="629">
        <f>スコア入力!AJ180</f>
        <v>0</v>
      </c>
      <c r="AM180" s="629">
        <f>スコア入力!AL180</f>
        <v>0</v>
      </c>
      <c r="AN180" s="606"/>
      <c r="AO180" s="606"/>
    </row>
    <row r="181" spans="1:41" ht="13.5">
      <c r="A181"/>
      <c r="B181"/>
      <c r="C181" s="503"/>
      <c r="D181" s="504"/>
      <c r="E181" s="505"/>
      <c r="F181" s="221"/>
      <c r="G181" s="204"/>
      <c r="H181" s="506"/>
      <c r="J181" s="506"/>
      <c r="K181" s="506"/>
      <c r="L181" s="506"/>
      <c r="M181" s="506"/>
      <c r="N181" s="506"/>
      <c r="O181" s="506"/>
      <c r="P181" s="506"/>
      <c r="Q181" s="506"/>
      <c r="R181" s="506"/>
      <c r="S181" s="506"/>
      <c r="T181" s="506"/>
      <c r="U181" s="506"/>
      <c r="V181" s="507"/>
      <c r="W181" s="507"/>
      <c r="X181" s="507"/>
      <c r="Y181" s="675"/>
      <c r="Z181" s="675"/>
      <c r="AA181" s="676"/>
      <c r="AB181" s="222"/>
      <c r="AC181" s="222"/>
      <c r="AD181" s="677"/>
      <c r="AE181" s="677"/>
      <c r="AF181" s="677"/>
      <c r="AH181" s="677"/>
      <c r="AI181" s="677"/>
      <c r="AJ181" s="677"/>
    </row>
    <row r="182" spans="1:41" ht="12" hidden="1" customHeight="1"/>
    <row r="183" spans="1:41" ht="12" hidden="1" customHeight="1"/>
  </sheetData>
  <sheetProtection password="8D30" sheet="1" objects="1" scenarios="1" formatRows="0"/>
  <mergeCells count="178">
    <mergeCell ref="B3:F3"/>
    <mergeCell ref="D46:E46"/>
    <mergeCell ref="H125:K125"/>
    <mergeCell ref="E180:F180"/>
    <mergeCell ref="E72:F72"/>
    <mergeCell ref="E73:F73"/>
    <mergeCell ref="E74:F74"/>
    <mergeCell ref="E144:F144"/>
    <mergeCell ref="E145:F145"/>
    <mergeCell ref="H180:K180"/>
    <mergeCell ref="H81:K81"/>
    <mergeCell ref="H84:K84"/>
    <mergeCell ref="H161:K161"/>
    <mergeCell ref="H162:K162"/>
    <mergeCell ref="H151:K151"/>
    <mergeCell ref="H150:K150"/>
    <mergeCell ref="H155:K155"/>
    <mergeCell ref="H96:K96"/>
    <mergeCell ref="H170:K170"/>
    <mergeCell ref="H112:K112"/>
    <mergeCell ref="H137:K137"/>
    <mergeCell ref="H134:K134"/>
    <mergeCell ref="H179:K179"/>
    <mergeCell ref="H168:K168"/>
    <mergeCell ref="H167:K167"/>
    <mergeCell ref="H165:K165"/>
    <mergeCell ref="H166:K166"/>
    <mergeCell ref="H178:K178"/>
    <mergeCell ref="H174:K174"/>
    <mergeCell ref="H140:K140"/>
    <mergeCell ref="H130:K130"/>
    <mergeCell ref="H131:K131"/>
    <mergeCell ref="H132:K132"/>
    <mergeCell ref="H175:K175"/>
    <mergeCell ref="H176:K176"/>
    <mergeCell ref="H177:K177"/>
    <mergeCell ref="H164:K164"/>
    <mergeCell ref="H163:K163"/>
    <mergeCell ref="H153:K153"/>
    <mergeCell ref="H159:K159"/>
    <mergeCell ref="H154:K154"/>
    <mergeCell ref="H135:K135"/>
    <mergeCell ref="H136:K136"/>
    <mergeCell ref="H138:K138"/>
    <mergeCell ref="H139:K139"/>
    <mergeCell ref="H123:K123"/>
    <mergeCell ref="T5:U5"/>
    <mergeCell ref="H173:K173"/>
    <mergeCell ref="H172:K172"/>
    <mergeCell ref="H171:K171"/>
    <mergeCell ref="H169:K169"/>
    <mergeCell ref="H160:K160"/>
    <mergeCell ref="H158:K158"/>
    <mergeCell ref="H157:K157"/>
    <mergeCell ref="H156:K156"/>
    <mergeCell ref="H149:K149"/>
    <mergeCell ref="T6:U6"/>
    <mergeCell ref="H147:K147"/>
    <mergeCell ref="H146:K146"/>
    <mergeCell ref="H145:K145"/>
    <mergeCell ref="H144:K144"/>
    <mergeCell ref="H143:K143"/>
    <mergeCell ref="H119:K119"/>
    <mergeCell ref="H118:K118"/>
    <mergeCell ref="H114:K114"/>
    <mergeCell ref="H113:K113"/>
    <mergeCell ref="H117:K117"/>
    <mergeCell ref="H108:K108"/>
    <mergeCell ref="H152:K152"/>
    <mergeCell ref="H126:K126"/>
    <mergeCell ref="H127:K127"/>
    <mergeCell ref="H128:K128"/>
    <mergeCell ref="H148:K148"/>
    <mergeCell ref="H129:K129"/>
    <mergeCell ref="H141:K141"/>
    <mergeCell ref="H142:K142"/>
    <mergeCell ref="H133:K133"/>
    <mergeCell ref="H124:K124"/>
    <mergeCell ref="H109:K109"/>
    <mergeCell ref="H115:K115"/>
    <mergeCell ref="H116:K116"/>
    <mergeCell ref="H111:K111"/>
    <mergeCell ref="H101:K101"/>
    <mergeCell ref="H100:K100"/>
    <mergeCell ref="H99:K99"/>
    <mergeCell ref="H98:K98"/>
    <mergeCell ref="H97:K97"/>
    <mergeCell ref="H110:K110"/>
    <mergeCell ref="H95:K95"/>
    <mergeCell ref="H107:K107"/>
    <mergeCell ref="H106:K106"/>
    <mergeCell ref="H105:K105"/>
    <mergeCell ref="H104:K104"/>
    <mergeCell ref="H103:K103"/>
    <mergeCell ref="H102:K102"/>
    <mergeCell ref="H88:K88"/>
    <mergeCell ref="H87:K87"/>
    <mergeCell ref="H86:K86"/>
    <mergeCell ref="H85:K85"/>
    <mergeCell ref="H83:K83"/>
    <mergeCell ref="H82:K82"/>
    <mergeCell ref="H94:K94"/>
    <mergeCell ref="H93:K93"/>
    <mergeCell ref="H92:K92"/>
    <mergeCell ref="H91:K91"/>
    <mergeCell ref="H90:K90"/>
    <mergeCell ref="H89:K89"/>
    <mergeCell ref="H70:K70"/>
    <mergeCell ref="H74:K74"/>
    <mergeCell ref="H69:K69"/>
    <mergeCell ref="H71:K71"/>
    <mergeCell ref="H72:K72"/>
    <mergeCell ref="H73:K73"/>
    <mergeCell ref="H80:K80"/>
    <mergeCell ref="H79:K79"/>
    <mergeCell ref="H78:K78"/>
    <mergeCell ref="H77:K77"/>
    <mergeCell ref="H76:K76"/>
    <mergeCell ref="H75:K75"/>
    <mergeCell ref="H34:K34"/>
    <mergeCell ref="H46:K46"/>
    <mergeCell ref="H62:K62"/>
    <mergeCell ref="H60:K60"/>
    <mergeCell ref="H61:K61"/>
    <mergeCell ref="H59:K59"/>
    <mergeCell ref="H58:K58"/>
    <mergeCell ref="H57:K57"/>
    <mergeCell ref="H68:K68"/>
    <mergeCell ref="H67:K67"/>
    <mergeCell ref="H66:K66"/>
    <mergeCell ref="H65:K65"/>
    <mergeCell ref="H64:K64"/>
    <mergeCell ref="H63:K63"/>
    <mergeCell ref="H50:K50"/>
    <mergeCell ref="H49:K49"/>
    <mergeCell ref="H48:K48"/>
    <mergeCell ref="H47:K47"/>
    <mergeCell ref="H56:K56"/>
    <mergeCell ref="H55:K55"/>
    <mergeCell ref="H54:K54"/>
    <mergeCell ref="H53:K53"/>
    <mergeCell ref="H52:K52"/>
    <mergeCell ref="H51:K51"/>
    <mergeCell ref="H41:K41"/>
    <mergeCell ref="H40:K40"/>
    <mergeCell ref="H39:K39"/>
    <mergeCell ref="H38:K38"/>
    <mergeCell ref="H36:K36"/>
    <mergeCell ref="H35:K35"/>
    <mergeCell ref="H45:K45"/>
    <mergeCell ref="H44:K44"/>
    <mergeCell ref="H43:K43"/>
    <mergeCell ref="H37:K37"/>
    <mergeCell ref="H42:K42"/>
    <mergeCell ref="H10:K10"/>
    <mergeCell ref="H11:K11"/>
    <mergeCell ref="H12:K12"/>
    <mergeCell ref="H13:K13"/>
    <mergeCell ref="H14:K14"/>
    <mergeCell ref="H30:K30"/>
    <mergeCell ref="H31:K31"/>
    <mergeCell ref="H32:K32"/>
    <mergeCell ref="H33:K33"/>
    <mergeCell ref="H22:K22"/>
    <mergeCell ref="H15:K15"/>
    <mergeCell ref="H26:K26"/>
    <mergeCell ref="H27:K27"/>
    <mergeCell ref="H16:K16"/>
    <mergeCell ref="H17:K17"/>
    <mergeCell ref="H23:K23"/>
    <mergeCell ref="H20:K20"/>
    <mergeCell ref="H18:K18"/>
    <mergeCell ref="H19:K19"/>
    <mergeCell ref="H21:K21"/>
    <mergeCell ref="H24:K24"/>
    <mergeCell ref="H25:K25"/>
    <mergeCell ref="H28:K28"/>
    <mergeCell ref="H29:K29"/>
  </mergeCells>
  <phoneticPr fontId="20"/>
  <conditionalFormatting sqref="H12:K13 H15:K19 H22:K30 H32:K33 H36:K38 I175:K176 H49:K52 H54:K57 H59:K60 H64:K66 H68:K70 H72:K74 H77:K78 H99:K101 H103:K108 H110:K111 H113:K114 H118:K118 H120:K120 H122:K123 H40:K46 H142:K142 H144:K145 H148:K152 H154:K154 H156:K158 H160:K160 H162:K163 H165:K168 H171:K173 H179:K180 H175:H177 H80:K95">
    <cfRule type="expression" dxfId="22" priority="12" stopIfTrue="1">
      <formula>OR(L12&gt;=4,M12&gt;=4,P12&gt;=4,Q12&gt;=4)</formula>
    </cfRule>
  </conditionalFormatting>
  <conditionalFormatting sqref="H125:K125">
    <cfRule type="expression" dxfId="21" priority="11" stopIfTrue="1">
      <formula>OR(L125&gt;=4,M125&gt;=4,P125&gt;=4,Q125&gt;=4)</formula>
    </cfRule>
  </conditionalFormatting>
  <conditionalFormatting sqref="H126:K126">
    <cfRule type="expression" dxfId="20" priority="10" stopIfTrue="1">
      <formula>OR(L126&gt;=4,M126&gt;=4,P126&gt;=4,Q126&gt;=4)</formula>
    </cfRule>
  </conditionalFormatting>
  <conditionalFormatting sqref="H121:K121">
    <cfRule type="expression" dxfId="19" priority="5" stopIfTrue="1">
      <formula>OR(L121&gt;=4,M121&gt;=4,P121&gt;=4,Q121&gt;=4)</formula>
    </cfRule>
  </conditionalFormatting>
  <conditionalFormatting sqref="H11:K11">
    <cfRule type="expression" dxfId="18" priority="4" stopIfTrue="1">
      <formula>OR(L11&gt;=4,M11&gt;=4,P11&gt;=4,Q11&gt;=4)</formula>
    </cfRule>
  </conditionalFormatting>
  <conditionalFormatting sqref="H135:K136">
    <cfRule type="expression" dxfId="17" priority="3" stopIfTrue="1">
      <formula>OR(L135&gt;=4,M135&gt;=4,P135&gt;=4,Q135&gt;=4)</formula>
    </cfRule>
  </conditionalFormatting>
  <conditionalFormatting sqref="H138:K139">
    <cfRule type="expression" dxfId="16" priority="2" stopIfTrue="1">
      <formula>OR(L138&gt;=4,M138&gt;=4,P138&gt;=4,Q138&gt;=4)</formula>
    </cfRule>
  </conditionalFormatting>
  <conditionalFormatting sqref="H119:K119">
    <cfRule type="expression" dxfId="15" priority="1" stopIfTrue="1">
      <formula>OR(L119&gt;=4,M119&gt;=4,P119&gt;=4,Q119&gt;=4)</formula>
    </cfRule>
  </conditionalFormatting>
  <dataValidations xWindow="1076" yWindow="324" count="1">
    <dataValidation allowBlank="1" showErrorMessage="1" sqref="AH152:AM180 AH9:AI151 AL9:AM151 AJ10:AK151 AF10:AG180"/>
  </dataValidations>
  <printOptions horizontalCentered="1"/>
  <pageMargins left="0.59055118110236227" right="0.59055118110236227" top="0.78740157480314965" bottom="0.59055118110236227" header="0.51181102362204722" footer="0.51181102362204722"/>
  <pageSetup paperSize="9" scale="61" fitToHeight="2" orientation="portrait" verticalDpi="4294967293" r:id="rId1"/>
  <headerFooter alignWithMargins="0">
    <oddHeader>&amp;L&amp;F&amp;R&amp;A</oddHeader>
    <oddFooter>&amp;C&amp;P/&amp;N</oddFooter>
  </headerFooter>
  <rowBreaks count="1" manualBreakCount="1">
    <brk id="95"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B1:AI45"/>
  <sheetViews>
    <sheetView showGridLines="0" zoomScale="75" zoomScaleNormal="100" workbookViewId="0">
      <selection activeCell="G20" sqref="G20"/>
    </sheetView>
  </sheetViews>
  <sheetFormatPr defaultRowHeight="13.5"/>
  <cols>
    <col min="1" max="1" width="1.625" style="2527" customWidth="1"/>
    <col min="2" max="2" width="2.625" style="2527" customWidth="1"/>
    <col min="3" max="3" width="12.625" style="2527" customWidth="1"/>
    <col min="4" max="4" width="30.625" style="2527" customWidth="1"/>
    <col min="5" max="5" width="8.625" style="2527" customWidth="1"/>
    <col min="6" max="7" width="6.625" style="2527" customWidth="1"/>
    <col min="8" max="8" width="8.625" style="2527" customWidth="1"/>
    <col min="9" max="9" width="10.625" style="2527" customWidth="1"/>
    <col min="10" max="10" width="10.875" style="2527" customWidth="1"/>
    <col min="11" max="11" width="1.625" style="2527" customWidth="1"/>
    <col min="12" max="13" width="9" style="2527"/>
    <col min="14" max="26" width="10.625" style="2527" customWidth="1"/>
    <col min="27" max="27" width="9" style="2527"/>
    <col min="28" max="28" width="3.625" style="2527" customWidth="1"/>
    <col min="29" max="29" width="15.625" style="2527" customWidth="1"/>
    <col min="30" max="30" width="10.625" style="2527" customWidth="1"/>
    <col min="31" max="31" width="8.75" style="2527" bestFit="1" customWidth="1"/>
    <col min="32" max="34" width="5.625" style="2527" customWidth="1"/>
    <col min="35" max="35" width="14" style="2527" bestFit="1" customWidth="1"/>
    <col min="36" max="256" width="9" style="2527"/>
    <col min="257" max="257" width="1.625" style="2527" customWidth="1"/>
    <col min="258" max="258" width="2.625" style="2527" customWidth="1"/>
    <col min="259" max="259" width="12.625" style="2527" customWidth="1"/>
    <col min="260" max="260" width="30.625" style="2527" customWidth="1"/>
    <col min="261" max="261" width="8.625" style="2527" customWidth="1"/>
    <col min="262" max="263" width="6.625" style="2527" customWidth="1"/>
    <col min="264" max="264" width="8.625" style="2527" customWidth="1"/>
    <col min="265" max="265" width="10.625" style="2527" customWidth="1"/>
    <col min="266" max="266" width="10.875" style="2527" customWidth="1"/>
    <col min="267" max="267" width="1.625" style="2527" customWidth="1"/>
    <col min="268" max="269" width="9" style="2527"/>
    <col min="270" max="282" width="10.625" style="2527" customWidth="1"/>
    <col min="283" max="283" width="9" style="2527"/>
    <col min="284" max="284" width="3.625" style="2527" customWidth="1"/>
    <col min="285" max="285" width="15.625" style="2527" customWidth="1"/>
    <col min="286" max="286" width="10.625" style="2527" customWidth="1"/>
    <col min="287" max="287" width="8.75" style="2527" bestFit="1" customWidth="1"/>
    <col min="288" max="290" width="5.625" style="2527" customWidth="1"/>
    <col min="291" max="291" width="14" style="2527" bestFit="1" customWidth="1"/>
    <col min="292" max="512" width="9" style="2527"/>
    <col min="513" max="513" width="1.625" style="2527" customWidth="1"/>
    <col min="514" max="514" width="2.625" style="2527" customWidth="1"/>
    <col min="515" max="515" width="12.625" style="2527" customWidth="1"/>
    <col min="516" max="516" width="30.625" style="2527" customWidth="1"/>
    <col min="517" max="517" width="8.625" style="2527" customWidth="1"/>
    <col min="518" max="519" width="6.625" style="2527" customWidth="1"/>
    <col min="520" max="520" width="8.625" style="2527" customWidth="1"/>
    <col min="521" max="521" width="10.625" style="2527" customWidth="1"/>
    <col min="522" max="522" width="10.875" style="2527" customWidth="1"/>
    <col min="523" max="523" width="1.625" style="2527" customWidth="1"/>
    <col min="524" max="525" width="9" style="2527"/>
    <col min="526" max="538" width="10.625" style="2527" customWidth="1"/>
    <col min="539" max="539" width="9" style="2527"/>
    <col min="540" max="540" width="3.625" style="2527" customWidth="1"/>
    <col min="541" max="541" width="15.625" style="2527" customWidth="1"/>
    <col min="542" max="542" width="10.625" style="2527" customWidth="1"/>
    <col min="543" max="543" width="8.75" style="2527" bestFit="1" customWidth="1"/>
    <col min="544" max="546" width="5.625" style="2527" customWidth="1"/>
    <col min="547" max="547" width="14" style="2527" bestFit="1" customWidth="1"/>
    <col min="548" max="768" width="9" style="2527"/>
    <col min="769" max="769" width="1.625" style="2527" customWidth="1"/>
    <col min="770" max="770" width="2.625" style="2527" customWidth="1"/>
    <col min="771" max="771" width="12.625" style="2527" customWidth="1"/>
    <col min="772" max="772" width="30.625" style="2527" customWidth="1"/>
    <col min="773" max="773" width="8.625" style="2527" customWidth="1"/>
    <col min="774" max="775" width="6.625" style="2527" customWidth="1"/>
    <col min="776" max="776" width="8.625" style="2527" customWidth="1"/>
    <col min="777" max="777" width="10.625" style="2527" customWidth="1"/>
    <col min="778" max="778" width="10.875" style="2527" customWidth="1"/>
    <col min="779" max="779" width="1.625" style="2527" customWidth="1"/>
    <col min="780" max="781" width="9" style="2527"/>
    <col min="782" max="794" width="10.625" style="2527" customWidth="1"/>
    <col min="795" max="795" width="9" style="2527"/>
    <col min="796" max="796" width="3.625" style="2527" customWidth="1"/>
    <col min="797" max="797" width="15.625" style="2527" customWidth="1"/>
    <col min="798" max="798" width="10.625" style="2527" customWidth="1"/>
    <col min="799" max="799" width="8.75" style="2527" bestFit="1" customWidth="1"/>
    <col min="800" max="802" width="5.625" style="2527" customWidth="1"/>
    <col min="803" max="803" width="14" style="2527" bestFit="1" customWidth="1"/>
    <col min="804" max="1024" width="9" style="2527"/>
    <col min="1025" max="1025" width="1.625" style="2527" customWidth="1"/>
    <col min="1026" max="1026" width="2.625" style="2527" customWidth="1"/>
    <col min="1027" max="1027" width="12.625" style="2527" customWidth="1"/>
    <col min="1028" max="1028" width="30.625" style="2527" customWidth="1"/>
    <col min="1029" max="1029" width="8.625" style="2527" customWidth="1"/>
    <col min="1030" max="1031" width="6.625" style="2527" customWidth="1"/>
    <col min="1032" max="1032" width="8.625" style="2527" customWidth="1"/>
    <col min="1033" max="1033" width="10.625" style="2527" customWidth="1"/>
    <col min="1034" max="1034" width="10.875" style="2527" customWidth="1"/>
    <col min="1035" max="1035" width="1.625" style="2527" customWidth="1"/>
    <col min="1036" max="1037" width="9" style="2527"/>
    <col min="1038" max="1050" width="10.625" style="2527" customWidth="1"/>
    <col min="1051" max="1051" width="9" style="2527"/>
    <col min="1052" max="1052" width="3.625" style="2527" customWidth="1"/>
    <col min="1053" max="1053" width="15.625" style="2527" customWidth="1"/>
    <col min="1054" max="1054" width="10.625" style="2527" customWidth="1"/>
    <col min="1055" max="1055" width="8.75" style="2527" bestFit="1" customWidth="1"/>
    <col min="1056" max="1058" width="5.625" style="2527" customWidth="1"/>
    <col min="1059" max="1059" width="14" style="2527" bestFit="1" customWidth="1"/>
    <col min="1060" max="1280" width="9" style="2527"/>
    <col min="1281" max="1281" width="1.625" style="2527" customWidth="1"/>
    <col min="1282" max="1282" width="2.625" style="2527" customWidth="1"/>
    <col min="1283" max="1283" width="12.625" style="2527" customWidth="1"/>
    <col min="1284" max="1284" width="30.625" style="2527" customWidth="1"/>
    <col min="1285" max="1285" width="8.625" style="2527" customWidth="1"/>
    <col min="1286" max="1287" width="6.625" style="2527" customWidth="1"/>
    <col min="1288" max="1288" width="8.625" style="2527" customWidth="1"/>
    <col min="1289" max="1289" width="10.625" style="2527" customWidth="1"/>
    <col min="1290" max="1290" width="10.875" style="2527" customWidth="1"/>
    <col min="1291" max="1291" width="1.625" style="2527" customWidth="1"/>
    <col min="1292" max="1293" width="9" style="2527"/>
    <col min="1294" max="1306" width="10.625" style="2527" customWidth="1"/>
    <col min="1307" max="1307" width="9" style="2527"/>
    <col min="1308" max="1308" width="3.625" style="2527" customWidth="1"/>
    <col min="1309" max="1309" width="15.625" style="2527" customWidth="1"/>
    <col min="1310" max="1310" width="10.625" style="2527" customWidth="1"/>
    <col min="1311" max="1311" width="8.75" style="2527" bestFit="1" customWidth="1"/>
    <col min="1312" max="1314" width="5.625" style="2527" customWidth="1"/>
    <col min="1315" max="1315" width="14" style="2527" bestFit="1" customWidth="1"/>
    <col min="1316" max="1536" width="9" style="2527"/>
    <col min="1537" max="1537" width="1.625" style="2527" customWidth="1"/>
    <col min="1538" max="1538" width="2.625" style="2527" customWidth="1"/>
    <col min="1539" max="1539" width="12.625" style="2527" customWidth="1"/>
    <col min="1540" max="1540" width="30.625" style="2527" customWidth="1"/>
    <col min="1541" max="1541" width="8.625" style="2527" customWidth="1"/>
    <col min="1542" max="1543" width="6.625" style="2527" customWidth="1"/>
    <col min="1544" max="1544" width="8.625" style="2527" customWidth="1"/>
    <col min="1545" max="1545" width="10.625" style="2527" customWidth="1"/>
    <col min="1546" max="1546" width="10.875" style="2527" customWidth="1"/>
    <col min="1547" max="1547" width="1.625" style="2527" customWidth="1"/>
    <col min="1548" max="1549" width="9" style="2527"/>
    <col min="1550" max="1562" width="10.625" style="2527" customWidth="1"/>
    <col min="1563" max="1563" width="9" style="2527"/>
    <col min="1564" max="1564" width="3.625" style="2527" customWidth="1"/>
    <col min="1565" max="1565" width="15.625" style="2527" customWidth="1"/>
    <col min="1566" max="1566" width="10.625" style="2527" customWidth="1"/>
    <col min="1567" max="1567" width="8.75" style="2527" bestFit="1" customWidth="1"/>
    <col min="1568" max="1570" width="5.625" style="2527" customWidth="1"/>
    <col min="1571" max="1571" width="14" style="2527" bestFit="1" customWidth="1"/>
    <col min="1572" max="1792" width="9" style="2527"/>
    <col min="1793" max="1793" width="1.625" style="2527" customWidth="1"/>
    <col min="1794" max="1794" width="2.625" style="2527" customWidth="1"/>
    <col min="1795" max="1795" width="12.625" style="2527" customWidth="1"/>
    <col min="1796" max="1796" width="30.625" style="2527" customWidth="1"/>
    <col min="1797" max="1797" width="8.625" style="2527" customWidth="1"/>
    <col min="1798" max="1799" width="6.625" style="2527" customWidth="1"/>
    <col min="1800" max="1800" width="8.625" style="2527" customWidth="1"/>
    <col min="1801" max="1801" width="10.625" style="2527" customWidth="1"/>
    <col min="1802" max="1802" width="10.875" style="2527" customWidth="1"/>
    <col min="1803" max="1803" width="1.625" style="2527" customWidth="1"/>
    <col min="1804" max="1805" width="9" style="2527"/>
    <col min="1806" max="1818" width="10.625" style="2527" customWidth="1"/>
    <col min="1819" max="1819" width="9" style="2527"/>
    <col min="1820" max="1820" width="3.625" style="2527" customWidth="1"/>
    <col min="1821" max="1821" width="15.625" style="2527" customWidth="1"/>
    <col min="1822" max="1822" width="10.625" style="2527" customWidth="1"/>
    <col min="1823" max="1823" width="8.75" style="2527" bestFit="1" customWidth="1"/>
    <col min="1824" max="1826" width="5.625" style="2527" customWidth="1"/>
    <col min="1827" max="1827" width="14" style="2527" bestFit="1" customWidth="1"/>
    <col min="1828" max="2048" width="9" style="2527"/>
    <col min="2049" max="2049" width="1.625" style="2527" customWidth="1"/>
    <col min="2050" max="2050" width="2.625" style="2527" customWidth="1"/>
    <col min="2051" max="2051" width="12.625" style="2527" customWidth="1"/>
    <col min="2052" max="2052" width="30.625" style="2527" customWidth="1"/>
    <col min="2053" max="2053" width="8.625" style="2527" customWidth="1"/>
    <col min="2054" max="2055" width="6.625" style="2527" customWidth="1"/>
    <col min="2056" max="2056" width="8.625" style="2527" customWidth="1"/>
    <col min="2057" max="2057" width="10.625" style="2527" customWidth="1"/>
    <col min="2058" max="2058" width="10.875" style="2527" customWidth="1"/>
    <col min="2059" max="2059" width="1.625" style="2527" customWidth="1"/>
    <col min="2060" max="2061" width="9" style="2527"/>
    <col min="2062" max="2074" width="10.625" style="2527" customWidth="1"/>
    <col min="2075" max="2075" width="9" style="2527"/>
    <col min="2076" max="2076" width="3.625" style="2527" customWidth="1"/>
    <col min="2077" max="2077" width="15.625" style="2527" customWidth="1"/>
    <col min="2078" max="2078" width="10.625" style="2527" customWidth="1"/>
    <col min="2079" max="2079" width="8.75" style="2527" bestFit="1" customWidth="1"/>
    <col min="2080" max="2082" width="5.625" style="2527" customWidth="1"/>
    <col min="2083" max="2083" width="14" style="2527" bestFit="1" customWidth="1"/>
    <col min="2084" max="2304" width="9" style="2527"/>
    <col min="2305" max="2305" width="1.625" style="2527" customWidth="1"/>
    <col min="2306" max="2306" width="2.625" style="2527" customWidth="1"/>
    <col min="2307" max="2307" width="12.625" style="2527" customWidth="1"/>
    <col min="2308" max="2308" width="30.625" style="2527" customWidth="1"/>
    <col min="2309" max="2309" width="8.625" style="2527" customWidth="1"/>
    <col min="2310" max="2311" width="6.625" style="2527" customWidth="1"/>
    <col min="2312" max="2312" width="8.625" style="2527" customWidth="1"/>
    <col min="2313" max="2313" width="10.625" style="2527" customWidth="1"/>
    <col min="2314" max="2314" width="10.875" style="2527" customWidth="1"/>
    <col min="2315" max="2315" width="1.625" style="2527" customWidth="1"/>
    <col min="2316" max="2317" width="9" style="2527"/>
    <col min="2318" max="2330" width="10.625" style="2527" customWidth="1"/>
    <col min="2331" max="2331" width="9" style="2527"/>
    <col min="2332" max="2332" width="3.625" style="2527" customWidth="1"/>
    <col min="2333" max="2333" width="15.625" style="2527" customWidth="1"/>
    <col min="2334" max="2334" width="10.625" style="2527" customWidth="1"/>
    <col min="2335" max="2335" width="8.75" style="2527" bestFit="1" customWidth="1"/>
    <col min="2336" max="2338" width="5.625" style="2527" customWidth="1"/>
    <col min="2339" max="2339" width="14" style="2527" bestFit="1" customWidth="1"/>
    <col min="2340" max="2560" width="9" style="2527"/>
    <col min="2561" max="2561" width="1.625" style="2527" customWidth="1"/>
    <col min="2562" max="2562" width="2.625" style="2527" customWidth="1"/>
    <col min="2563" max="2563" width="12.625" style="2527" customWidth="1"/>
    <col min="2564" max="2564" width="30.625" style="2527" customWidth="1"/>
    <col min="2565" max="2565" width="8.625" style="2527" customWidth="1"/>
    <col min="2566" max="2567" width="6.625" style="2527" customWidth="1"/>
    <col min="2568" max="2568" width="8.625" style="2527" customWidth="1"/>
    <col min="2569" max="2569" width="10.625" style="2527" customWidth="1"/>
    <col min="2570" max="2570" width="10.875" style="2527" customWidth="1"/>
    <col min="2571" max="2571" width="1.625" style="2527" customWidth="1"/>
    <col min="2572" max="2573" width="9" style="2527"/>
    <col min="2574" max="2586" width="10.625" style="2527" customWidth="1"/>
    <col min="2587" max="2587" width="9" style="2527"/>
    <col min="2588" max="2588" width="3.625" style="2527" customWidth="1"/>
    <col min="2589" max="2589" width="15.625" style="2527" customWidth="1"/>
    <col min="2590" max="2590" width="10.625" style="2527" customWidth="1"/>
    <col min="2591" max="2591" width="8.75" style="2527" bestFit="1" customWidth="1"/>
    <col min="2592" max="2594" width="5.625" style="2527" customWidth="1"/>
    <col min="2595" max="2595" width="14" style="2527" bestFit="1" customWidth="1"/>
    <col min="2596" max="2816" width="9" style="2527"/>
    <col min="2817" max="2817" width="1.625" style="2527" customWidth="1"/>
    <col min="2818" max="2818" width="2.625" style="2527" customWidth="1"/>
    <col min="2819" max="2819" width="12.625" style="2527" customWidth="1"/>
    <col min="2820" max="2820" width="30.625" style="2527" customWidth="1"/>
    <col min="2821" max="2821" width="8.625" style="2527" customWidth="1"/>
    <col min="2822" max="2823" width="6.625" style="2527" customWidth="1"/>
    <col min="2824" max="2824" width="8.625" style="2527" customWidth="1"/>
    <col min="2825" max="2825" width="10.625" style="2527" customWidth="1"/>
    <col min="2826" max="2826" width="10.875" style="2527" customWidth="1"/>
    <col min="2827" max="2827" width="1.625" style="2527" customWidth="1"/>
    <col min="2828" max="2829" width="9" style="2527"/>
    <col min="2830" max="2842" width="10.625" style="2527" customWidth="1"/>
    <col min="2843" max="2843" width="9" style="2527"/>
    <col min="2844" max="2844" width="3.625" style="2527" customWidth="1"/>
    <col min="2845" max="2845" width="15.625" style="2527" customWidth="1"/>
    <col min="2846" max="2846" width="10.625" style="2527" customWidth="1"/>
    <col min="2847" max="2847" width="8.75" style="2527" bestFit="1" customWidth="1"/>
    <col min="2848" max="2850" width="5.625" style="2527" customWidth="1"/>
    <col min="2851" max="2851" width="14" style="2527" bestFit="1" customWidth="1"/>
    <col min="2852" max="3072" width="9" style="2527"/>
    <col min="3073" max="3073" width="1.625" style="2527" customWidth="1"/>
    <col min="3074" max="3074" width="2.625" style="2527" customWidth="1"/>
    <col min="3075" max="3075" width="12.625" style="2527" customWidth="1"/>
    <col min="3076" max="3076" width="30.625" style="2527" customWidth="1"/>
    <col min="3077" max="3077" width="8.625" style="2527" customWidth="1"/>
    <col min="3078" max="3079" width="6.625" style="2527" customWidth="1"/>
    <col min="3080" max="3080" width="8.625" style="2527" customWidth="1"/>
    <col min="3081" max="3081" width="10.625" style="2527" customWidth="1"/>
    <col min="3082" max="3082" width="10.875" style="2527" customWidth="1"/>
    <col min="3083" max="3083" width="1.625" style="2527" customWidth="1"/>
    <col min="3084" max="3085" width="9" style="2527"/>
    <col min="3086" max="3098" width="10.625" style="2527" customWidth="1"/>
    <col min="3099" max="3099" width="9" style="2527"/>
    <col min="3100" max="3100" width="3.625" style="2527" customWidth="1"/>
    <col min="3101" max="3101" width="15.625" style="2527" customWidth="1"/>
    <col min="3102" max="3102" width="10.625" style="2527" customWidth="1"/>
    <col min="3103" max="3103" width="8.75" style="2527" bestFit="1" customWidth="1"/>
    <col min="3104" max="3106" width="5.625" style="2527" customWidth="1"/>
    <col min="3107" max="3107" width="14" style="2527" bestFit="1" customWidth="1"/>
    <col min="3108" max="3328" width="9" style="2527"/>
    <col min="3329" max="3329" width="1.625" style="2527" customWidth="1"/>
    <col min="3330" max="3330" width="2.625" style="2527" customWidth="1"/>
    <col min="3331" max="3331" width="12.625" style="2527" customWidth="1"/>
    <col min="3332" max="3332" width="30.625" style="2527" customWidth="1"/>
    <col min="3333" max="3333" width="8.625" style="2527" customWidth="1"/>
    <col min="3334" max="3335" width="6.625" style="2527" customWidth="1"/>
    <col min="3336" max="3336" width="8.625" style="2527" customWidth="1"/>
    <col min="3337" max="3337" width="10.625" style="2527" customWidth="1"/>
    <col min="3338" max="3338" width="10.875" style="2527" customWidth="1"/>
    <col min="3339" max="3339" width="1.625" style="2527" customWidth="1"/>
    <col min="3340" max="3341" width="9" style="2527"/>
    <col min="3342" max="3354" width="10.625" style="2527" customWidth="1"/>
    <col min="3355" max="3355" width="9" style="2527"/>
    <col min="3356" max="3356" width="3.625" style="2527" customWidth="1"/>
    <col min="3357" max="3357" width="15.625" style="2527" customWidth="1"/>
    <col min="3358" max="3358" width="10.625" style="2527" customWidth="1"/>
    <col min="3359" max="3359" width="8.75" style="2527" bestFit="1" customWidth="1"/>
    <col min="3360" max="3362" width="5.625" style="2527" customWidth="1"/>
    <col min="3363" max="3363" width="14" style="2527" bestFit="1" customWidth="1"/>
    <col min="3364" max="3584" width="9" style="2527"/>
    <col min="3585" max="3585" width="1.625" style="2527" customWidth="1"/>
    <col min="3586" max="3586" width="2.625" style="2527" customWidth="1"/>
    <col min="3587" max="3587" width="12.625" style="2527" customWidth="1"/>
    <col min="3588" max="3588" width="30.625" style="2527" customWidth="1"/>
    <col min="3589" max="3589" width="8.625" style="2527" customWidth="1"/>
    <col min="3590" max="3591" width="6.625" style="2527" customWidth="1"/>
    <col min="3592" max="3592" width="8.625" style="2527" customWidth="1"/>
    <col min="3593" max="3593" width="10.625" style="2527" customWidth="1"/>
    <col min="3594" max="3594" width="10.875" style="2527" customWidth="1"/>
    <col min="3595" max="3595" width="1.625" style="2527" customWidth="1"/>
    <col min="3596" max="3597" width="9" style="2527"/>
    <col min="3598" max="3610" width="10.625" style="2527" customWidth="1"/>
    <col min="3611" max="3611" width="9" style="2527"/>
    <col min="3612" max="3612" width="3.625" style="2527" customWidth="1"/>
    <col min="3613" max="3613" width="15.625" style="2527" customWidth="1"/>
    <col min="3614" max="3614" width="10.625" style="2527" customWidth="1"/>
    <col min="3615" max="3615" width="8.75" style="2527" bestFit="1" customWidth="1"/>
    <col min="3616" max="3618" width="5.625" style="2527" customWidth="1"/>
    <col min="3619" max="3619" width="14" style="2527" bestFit="1" customWidth="1"/>
    <col min="3620" max="3840" width="9" style="2527"/>
    <col min="3841" max="3841" width="1.625" style="2527" customWidth="1"/>
    <col min="3842" max="3842" width="2.625" style="2527" customWidth="1"/>
    <col min="3843" max="3843" width="12.625" style="2527" customWidth="1"/>
    <col min="3844" max="3844" width="30.625" style="2527" customWidth="1"/>
    <col min="3845" max="3845" width="8.625" style="2527" customWidth="1"/>
    <col min="3846" max="3847" width="6.625" style="2527" customWidth="1"/>
    <col min="3848" max="3848" width="8.625" style="2527" customWidth="1"/>
    <col min="3849" max="3849" width="10.625" style="2527" customWidth="1"/>
    <col min="3850" max="3850" width="10.875" style="2527" customWidth="1"/>
    <col min="3851" max="3851" width="1.625" style="2527" customWidth="1"/>
    <col min="3852" max="3853" width="9" style="2527"/>
    <col min="3854" max="3866" width="10.625" style="2527" customWidth="1"/>
    <col min="3867" max="3867" width="9" style="2527"/>
    <col min="3868" max="3868" width="3.625" style="2527" customWidth="1"/>
    <col min="3869" max="3869" width="15.625" style="2527" customWidth="1"/>
    <col min="3870" max="3870" width="10.625" style="2527" customWidth="1"/>
    <col min="3871" max="3871" width="8.75" style="2527" bestFit="1" customWidth="1"/>
    <col min="3872" max="3874" width="5.625" style="2527" customWidth="1"/>
    <col min="3875" max="3875" width="14" style="2527" bestFit="1" customWidth="1"/>
    <col min="3876" max="4096" width="9" style="2527"/>
    <col min="4097" max="4097" width="1.625" style="2527" customWidth="1"/>
    <col min="4098" max="4098" width="2.625" style="2527" customWidth="1"/>
    <col min="4099" max="4099" width="12.625" style="2527" customWidth="1"/>
    <col min="4100" max="4100" width="30.625" style="2527" customWidth="1"/>
    <col min="4101" max="4101" width="8.625" style="2527" customWidth="1"/>
    <col min="4102" max="4103" width="6.625" style="2527" customWidth="1"/>
    <col min="4104" max="4104" width="8.625" style="2527" customWidth="1"/>
    <col min="4105" max="4105" width="10.625" style="2527" customWidth="1"/>
    <col min="4106" max="4106" width="10.875" style="2527" customWidth="1"/>
    <col min="4107" max="4107" width="1.625" style="2527" customWidth="1"/>
    <col min="4108" max="4109" width="9" style="2527"/>
    <col min="4110" max="4122" width="10.625" style="2527" customWidth="1"/>
    <col min="4123" max="4123" width="9" style="2527"/>
    <col min="4124" max="4124" width="3.625" style="2527" customWidth="1"/>
    <col min="4125" max="4125" width="15.625" style="2527" customWidth="1"/>
    <col min="4126" max="4126" width="10.625" style="2527" customWidth="1"/>
    <col min="4127" max="4127" width="8.75" style="2527" bestFit="1" customWidth="1"/>
    <col min="4128" max="4130" width="5.625" style="2527" customWidth="1"/>
    <col min="4131" max="4131" width="14" style="2527" bestFit="1" customWidth="1"/>
    <col min="4132" max="4352" width="9" style="2527"/>
    <col min="4353" max="4353" width="1.625" style="2527" customWidth="1"/>
    <col min="4354" max="4354" width="2.625" style="2527" customWidth="1"/>
    <col min="4355" max="4355" width="12.625" style="2527" customWidth="1"/>
    <col min="4356" max="4356" width="30.625" style="2527" customWidth="1"/>
    <col min="4357" max="4357" width="8.625" style="2527" customWidth="1"/>
    <col min="4358" max="4359" width="6.625" style="2527" customWidth="1"/>
    <col min="4360" max="4360" width="8.625" style="2527" customWidth="1"/>
    <col min="4361" max="4361" width="10.625" style="2527" customWidth="1"/>
    <col min="4362" max="4362" width="10.875" style="2527" customWidth="1"/>
    <col min="4363" max="4363" width="1.625" style="2527" customWidth="1"/>
    <col min="4364" max="4365" width="9" style="2527"/>
    <col min="4366" max="4378" width="10.625" style="2527" customWidth="1"/>
    <col min="4379" max="4379" width="9" style="2527"/>
    <col min="4380" max="4380" width="3.625" style="2527" customWidth="1"/>
    <col min="4381" max="4381" width="15.625" style="2527" customWidth="1"/>
    <col min="4382" max="4382" width="10.625" style="2527" customWidth="1"/>
    <col min="4383" max="4383" width="8.75" style="2527" bestFit="1" customWidth="1"/>
    <col min="4384" max="4386" width="5.625" style="2527" customWidth="1"/>
    <col min="4387" max="4387" width="14" style="2527" bestFit="1" customWidth="1"/>
    <col min="4388" max="4608" width="9" style="2527"/>
    <col min="4609" max="4609" width="1.625" style="2527" customWidth="1"/>
    <col min="4610" max="4610" width="2.625" style="2527" customWidth="1"/>
    <col min="4611" max="4611" width="12.625" style="2527" customWidth="1"/>
    <col min="4612" max="4612" width="30.625" style="2527" customWidth="1"/>
    <col min="4613" max="4613" width="8.625" style="2527" customWidth="1"/>
    <col min="4614" max="4615" width="6.625" style="2527" customWidth="1"/>
    <col min="4616" max="4616" width="8.625" style="2527" customWidth="1"/>
    <col min="4617" max="4617" width="10.625" style="2527" customWidth="1"/>
    <col min="4618" max="4618" width="10.875" style="2527" customWidth="1"/>
    <col min="4619" max="4619" width="1.625" style="2527" customWidth="1"/>
    <col min="4620" max="4621" width="9" style="2527"/>
    <col min="4622" max="4634" width="10.625" style="2527" customWidth="1"/>
    <col min="4635" max="4635" width="9" style="2527"/>
    <col min="4636" max="4636" width="3.625" style="2527" customWidth="1"/>
    <col min="4637" max="4637" width="15.625" style="2527" customWidth="1"/>
    <col min="4638" max="4638" width="10.625" style="2527" customWidth="1"/>
    <col min="4639" max="4639" width="8.75" style="2527" bestFit="1" customWidth="1"/>
    <col min="4640" max="4642" width="5.625" style="2527" customWidth="1"/>
    <col min="4643" max="4643" width="14" style="2527" bestFit="1" customWidth="1"/>
    <col min="4644" max="4864" width="9" style="2527"/>
    <col min="4865" max="4865" width="1.625" style="2527" customWidth="1"/>
    <col min="4866" max="4866" width="2.625" style="2527" customWidth="1"/>
    <col min="4867" max="4867" width="12.625" style="2527" customWidth="1"/>
    <col min="4868" max="4868" width="30.625" style="2527" customWidth="1"/>
    <col min="4869" max="4869" width="8.625" style="2527" customWidth="1"/>
    <col min="4870" max="4871" width="6.625" style="2527" customWidth="1"/>
    <col min="4872" max="4872" width="8.625" style="2527" customWidth="1"/>
    <col min="4873" max="4873" width="10.625" style="2527" customWidth="1"/>
    <col min="4874" max="4874" width="10.875" style="2527" customWidth="1"/>
    <col min="4875" max="4875" width="1.625" style="2527" customWidth="1"/>
    <col min="4876" max="4877" width="9" style="2527"/>
    <col min="4878" max="4890" width="10.625" style="2527" customWidth="1"/>
    <col min="4891" max="4891" width="9" style="2527"/>
    <col min="4892" max="4892" width="3.625" style="2527" customWidth="1"/>
    <col min="4893" max="4893" width="15.625" style="2527" customWidth="1"/>
    <col min="4894" max="4894" width="10.625" style="2527" customWidth="1"/>
    <col min="4895" max="4895" width="8.75" style="2527" bestFit="1" customWidth="1"/>
    <col min="4896" max="4898" width="5.625" style="2527" customWidth="1"/>
    <col min="4899" max="4899" width="14" style="2527" bestFit="1" customWidth="1"/>
    <col min="4900" max="5120" width="9" style="2527"/>
    <col min="5121" max="5121" width="1.625" style="2527" customWidth="1"/>
    <col min="5122" max="5122" width="2.625" style="2527" customWidth="1"/>
    <col min="5123" max="5123" width="12.625" style="2527" customWidth="1"/>
    <col min="5124" max="5124" width="30.625" style="2527" customWidth="1"/>
    <col min="5125" max="5125" width="8.625" style="2527" customWidth="1"/>
    <col min="5126" max="5127" width="6.625" style="2527" customWidth="1"/>
    <col min="5128" max="5128" width="8.625" style="2527" customWidth="1"/>
    <col min="5129" max="5129" width="10.625" style="2527" customWidth="1"/>
    <col min="5130" max="5130" width="10.875" style="2527" customWidth="1"/>
    <col min="5131" max="5131" width="1.625" style="2527" customWidth="1"/>
    <col min="5132" max="5133" width="9" style="2527"/>
    <col min="5134" max="5146" width="10.625" style="2527" customWidth="1"/>
    <col min="5147" max="5147" width="9" style="2527"/>
    <col min="5148" max="5148" width="3.625" style="2527" customWidth="1"/>
    <col min="5149" max="5149" width="15.625" style="2527" customWidth="1"/>
    <col min="5150" max="5150" width="10.625" style="2527" customWidth="1"/>
    <col min="5151" max="5151" width="8.75" style="2527" bestFit="1" customWidth="1"/>
    <col min="5152" max="5154" width="5.625" style="2527" customWidth="1"/>
    <col min="5155" max="5155" width="14" style="2527" bestFit="1" customWidth="1"/>
    <col min="5156" max="5376" width="9" style="2527"/>
    <col min="5377" max="5377" width="1.625" style="2527" customWidth="1"/>
    <col min="5378" max="5378" width="2.625" style="2527" customWidth="1"/>
    <col min="5379" max="5379" width="12.625" style="2527" customWidth="1"/>
    <col min="5380" max="5380" width="30.625" style="2527" customWidth="1"/>
    <col min="5381" max="5381" width="8.625" style="2527" customWidth="1"/>
    <col min="5382" max="5383" width="6.625" style="2527" customWidth="1"/>
    <col min="5384" max="5384" width="8.625" style="2527" customWidth="1"/>
    <col min="5385" max="5385" width="10.625" style="2527" customWidth="1"/>
    <col min="5386" max="5386" width="10.875" style="2527" customWidth="1"/>
    <col min="5387" max="5387" width="1.625" style="2527" customWidth="1"/>
    <col min="5388" max="5389" width="9" style="2527"/>
    <col min="5390" max="5402" width="10.625" style="2527" customWidth="1"/>
    <col min="5403" max="5403" width="9" style="2527"/>
    <col min="5404" max="5404" width="3.625" style="2527" customWidth="1"/>
    <col min="5405" max="5405" width="15.625" style="2527" customWidth="1"/>
    <col min="5406" max="5406" width="10.625" style="2527" customWidth="1"/>
    <col min="5407" max="5407" width="8.75" style="2527" bestFit="1" customWidth="1"/>
    <col min="5408" max="5410" width="5.625" style="2527" customWidth="1"/>
    <col min="5411" max="5411" width="14" style="2527" bestFit="1" customWidth="1"/>
    <col min="5412" max="5632" width="9" style="2527"/>
    <col min="5633" max="5633" width="1.625" style="2527" customWidth="1"/>
    <col min="5634" max="5634" width="2.625" style="2527" customWidth="1"/>
    <col min="5635" max="5635" width="12.625" style="2527" customWidth="1"/>
    <col min="5636" max="5636" width="30.625" style="2527" customWidth="1"/>
    <col min="5637" max="5637" width="8.625" style="2527" customWidth="1"/>
    <col min="5638" max="5639" width="6.625" style="2527" customWidth="1"/>
    <col min="5640" max="5640" width="8.625" style="2527" customWidth="1"/>
    <col min="5641" max="5641" width="10.625" style="2527" customWidth="1"/>
    <col min="5642" max="5642" width="10.875" style="2527" customWidth="1"/>
    <col min="5643" max="5643" width="1.625" style="2527" customWidth="1"/>
    <col min="5644" max="5645" width="9" style="2527"/>
    <col min="5646" max="5658" width="10.625" style="2527" customWidth="1"/>
    <col min="5659" max="5659" width="9" style="2527"/>
    <col min="5660" max="5660" width="3.625" style="2527" customWidth="1"/>
    <col min="5661" max="5661" width="15.625" style="2527" customWidth="1"/>
    <col min="5662" max="5662" width="10.625" style="2527" customWidth="1"/>
    <col min="5663" max="5663" width="8.75" style="2527" bestFit="1" customWidth="1"/>
    <col min="5664" max="5666" width="5.625" style="2527" customWidth="1"/>
    <col min="5667" max="5667" width="14" style="2527" bestFit="1" customWidth="1"/>
    <col min="5668" max="5888" width="9" style="2527"/>
    <col min="5889" max="5889" width="1.625" style="2527" customWidth="1"/>
    <col min="5890" max="5890" width="2.625" style="2527" customWidth="1"/>
    <col min="5891" max="5891" width="12.625" style="2527" customWidth="1"/>
    <col min="5892" max="5892" width="30.625" style="2527" customWidth="1"/>
    <col min="5893" max="5893" width="8.625" style="2527" customWidth="1"/>
    <col min="5894" max="5895" width="6.625" style="2527" customWidth="1"/>
    <col min="5896" max="5896" width="8.625" style="2527" customWidth="1"/>
    <col min="5897" max="5897" width="10.625" style="2527" customWidth="1"/>
    <col min="5898" max="5898" width="10.875" style="2527" customWidth="1"/>
    <col min="5899" max="5899" width="1.625" style="2527" customWidth="1"/>
    <col min="5900" max="5901" width="9" style="2527"/>
    <col min="5902" max="5914" width="10.625" style="2527" customWidth="1"/>
    <col min="5915" max="5915" width="9" style="2527"/>
    <col min="5916" max="5916" width="3.625" style="2527" customWidth="1"/>
    <col min="5917" max="5917" width="15.625" style="2527" customWidth="1"/>
    <col min="5918" max="5918" width="10.625" style="2527" customWidth="1"/>
    <col min="5919" max="5919" width="8.75" style="2527" bestFit="1" customWidth="1"/>
    <col min="5920" max="5922" width="5.625" style="2527" customWidth="1"/>
    <col min="5923" max="5923" width="14" style="2527" bestFit="1" customWidth="1"/>
    <col min="5924" max="6144" width="9" style="2527"/>
    <col min="6145" max="6145" width="1.625" style="2527" customWidth="1"/>
    <col min="6146" max="6146" width="2.625" style="2527" customWidth="1"/>
    <col min="6147" max="6147" width="12.625" style="2527" customWidth="1"/>
    <col min="6148" max="6148" width="30.625" style="2527" customWidth="1"/>
    <col min="6149" max="6149" width="8.625" style="2527" customWidth="1"/>
    <col min="6150" max="6151" width="6.625" style="2527" customWidth="1"/>
    <col min="6152" max="6152" width="8.625" style="2527" customWidth="1"/>
    <col min="6153" max="6153" width="10.625" style="2527" customWidth="1"/>
    <col min="6154" max="6154" width="10.875" style="2527" customWidth="1"/>
    <col min="6155" max="6155" width="1.625" style="2527" customWidth="1"/>
    <col min="6156" max="6157" width="9" style="2527"/>
    <col min="6158" max="6170" width="10.625" style="2527" customWidth="1"/>
    <col min="6171" max="6171" width="9" style="2527"/>
    <col min="6172" max="6172" width="3.625" style="2527" customWidth="1"/>
    <col min="6173" max="6173" width="15.625" style="2527" customWidth="1"/>
    <col min="6174" max="6174" width="10.625" style="2527" customWidth="1"/>
    <col min="6175" max="6175" width="8.75" style="2527" bestFit="1" customWidth="1"/>
    <col min="6176" max="6178" width="5.625" style="2527" customWidth="1"/>
    <col min="6179" max="6179" width="14" style="2527" bestFit="1" customWidth="1"/>
    <col min="6180" max="6400" width="9" style="2527"/>
    <col min="6401" max="6401" width="1.625" style="2527" customWidth="1"/>
    <col min="6402" max="6402" width="2.625" style="2527" customWidth="1"/>
    <col min="6403" max="6403" width="12.625" style="2527" customWidth="1"/>
    <col min="6404" max="6404" width="30.625" style="2527" customWidth="1"/>
    <col min="6405" max="6405" width="8.625" style="2527" customWidth="1"/>
    <col min="6406" max="6407" width="6.625" style="2527" customWidth="1"/>
    <col min="6408" max="6408" width="8.625" style="2527" customWidth="1"/>
    <col min="6409" max="6409" width="10.625" style="2527" customWidth="1"/>
    <col min="6410" max="6410" width="10.875" style="2527" customWidth="1"/>
    <col min="6411" max="6411" width="1.625" style="2527" customWidth="1"/>
    <col min="6412" max="6413" width="9" style="2527"/>
    <col min="6414" max="6426" width="10.625" style="2527" customWidth="1"/>
    <col min="6427" max="6427" width="9" style="2527"/>
    <col min="6428" max="6428" width="3.625" style="2527" customWidth="1"/>
    <col min="6429" max="6429" width="15.625" style="2527" customWidth="1"/>
    <col min="6430" max="6430" width="10.625" style="2527" customWidth="1"/>
    <col min="6431" max="6431" width="8.75" style="2527" bestFit="1" customWidth="1"/>
    <col min="6432" max="6434" width="5.625" style="2527" customWidth="1"/>
    <col min="6435" max="6435" width="14" style="2527" bestFit="1" customWidth="1"/>
    <col min="6436" max="6656" width="9" style="2527"/>
    <col min="6657" max="6657" width="1.625" style="2527" customWidth="1"/>
    <col min="6658" max="6658" width="2.625" style="2527" customWidth="1"/>
    <col min="6659" max="6659" width="12.625" style="2527" customWidth="1"/>
    <col min="6660" max="6660" width="30.625" style="2527" customWidth="1"/>
    <col min="6661" max="6661" width="8.625" style="2527" customWidth="1"/>
    <col min="6662" max="6663" width="6.625" style="2527" customWidth="1"/>
    <col min="6664" max="6664" width="8.625" style="2527" customWidth="1"/>
    <col min="6665" max="6665" width="10.625" style="2527" customWidth="1"/>
    <col min="6666" max="6666" width="10.875" style="2527" customWidth="1"/>
    <col min="6667" max="6667" width="1.625" style="2527" customWidth="1"/>
    <col min="6668" max="6669" width="9" style="2527"/>
    <col min="6670" max="6682" width="10.625" style="2527" customWidth="1"/>
    <col min="6683" max="6683" width="9" style="2527"/>
    <col min="6684" max="6684" width="3.625" style="2527" customWidth="1"/>
    <col min="6685" max="6685" width="15.625" style="2527" customWidth="1"/>
    <col min="6686" max="6686" width="10.625" style="2527" customWidth="1"/>
    <col min="6687" max="6687" width="8.75" style="2527" bestFit="1" customWidth="1"/>
    <col min="6688" max="6690" width="5.625" style="2527" customWidth="1"/>
    <col min="6691" max="6691" width="14" style="2527" bestFit="1" customWidth="1"/>
    <col min="6692" max="6912" width="9" style="2527"/>
    <col min="6913" max="6913" width="1.625" style="2527" customWidth="1"/>
    <col min="6914" max="6914" width="2.625" style="2527" customWidth="1"/>
    <col min="6915" max="6915" width="12.625" style="2527" customWidth="1"/>
    <col min="6916" max="6916" width="30.625" style="2527" customWidth="1"/>
    <col min="6917" max="6917" width="8.625" style="2527" customWidth="1"/>
    <col min="6918" max="6919" width="6.625" style="2527" customWidth="1"/>
    <col min="6920" max="6920" width="8.625" style="2527" customWidth="1"/>
    <col min="6921" max="6921" width="10.625" style="2527" customWidth="1"/>
    <col min="6922" max="6922" width="10.875" style="2527" customWidth="1"/>
    <col min="6923" max="6923" width="1.625" style="2527" customWidth="1"/>
    <col min="6924" max="6925" width="9" style="2527"/>
    <col min="6926" max="6938" width="10.625" style="2527" customWidth="1"/>
    <col min="6939" max="6939" width="9" style="2527"/>
    <col min="6940" max="6940" width="3.625" style="2527" customWidth="1"/>
    <col min="6941" max="6941" width="15.625" style="2527" customWidth="1"/>
    <col min="6942" max="6942" width="10.625" style="2527" customWidth="1"/>
    <col min="6943" max="6943" width="8.75" style="2527" bestFit="1" customWidth="1"/>
    <col min="6944" max="6946" width="5.625" style="2527" customWidth="1"/>
    <col min="6947" max="6947" width="14" style="2527" bestFit="1" customWidth="1"/>
    <col min="6948" max="7168" width="9" style="2527"/>
    <col min="7169" max="7169" width="1.625" style="2527" customWidth="1"/>
    <col min="7170" max="7170" width="2.625" style="2527" customWidth="1"/>
    <col min="7171" max="7171" width="12.625" style="2527" customWidth="1"/>
    <col min="7172" max="7172" width="30.625" style="2527" customWidth="1"/>
    <col min="7173" max="7173" width="8.625" style="2527" customWidth="1"/>
    <col min="7174" max="7175" width="6.625" style="2527" customWidth="1"/>
    <col min="7176" max="7176" width="8.625" style="2527" customWidth="1"/>
    <col min="7177" max="7177" width="10.625" style="2527" customWidth="1"/>
    <col min="7178" max="7178" width="10.875" style="2527" customWidth="1"/>
    <col min="7179" max="7179" width="1.625" style="2527" customWidth="1"/>
    <col min="7180" max="7181" width="9" style="2527"/>
    <col min="7182" max="7194" width="10.625" style="2527" customWidth="1"/>
    <col min="7195" max="7195" width="9" style="2527"/>
    <col min="7196" max="7196" width="3.625" style="2527" customWidth="1"/>
    <col min="7197" max="7197" width="15.625" style="2527" customWidth="1"/>
    <col min="7198" max="7198" width="10.625" style="2527" customWidth="1"/>
    <col min="7199" max="7199" width="8.75" style="2527" bestFit="1" customWidth="1"/>
    <col min="7200" max="7202" width="5.625" style="2527" customWidth="1"/>
    <col min="7203" max="7203" width="14" style="2527" bestFit="1" customWidth="1"/>
    <col min="7204" max="7424" width="9" style="2527"/>
    <col min="7425" max="7425" width="1.625" style="2527" customWidth="1"/>
    <col min="7426" max="7426" width="2.625" style="2527" customWidth="1"/>
    <col min="7427" max="7427" width="12.625" style="2527" customWidth="1"/>
    <col min="7428" max="7428" width="30.625" style="2527" customWidth="1"/>
    <col min="7429" max="7429" width="8.625" style="2527" customWidth="1"/>
    <col min="7430" max="7431" width="6.625" style="2527" customWidth="1"/>
    <col min="7432" max="7432" width="8.625" style="2527" customWidth="1"/>
    <col min="7433" max="7433" width="10.625" style="2527" customWidth="1"/>
    <col min="7434" max="7434" width="10.875" style="2527" customWidth="1"/>
    <col min="7435" max="7435" width="1.625" style="2527" customWidth="1"/>
    <col min="7436" max="7437" width="9" style="2527"/>
    <col min="7438" max="7450" width="10.625" style="2527" customWidth="1"/>
    <col min="7451" max="7451" width="9" style="2527"/>
    <col min="7452" max="7452" width="3.625" style="2527" customWidth="1"/>
    <col min="7453" max="7453" width="15.625" style="2527" customWidth="1"/>
    <col min="7454" max="7454" width="10.625" style="2527" customWidth="1"/>
    <col min="7455" max="7455" width="8.75" style="2527" bestFit="1" customWidth="1"/>
    <col min="7456" max="7458" width="5.625" style="2527" customWidth="1"/>
    <col min="7459" max="7459" width="14" style="2527" bestFit="1" customWidth="1"/>
    <col min="7460" max="7680" width="9" style="2527"/>
    <col min="7681" max="7681" width="1.625" style="2527" customWidth="1"/>
    <col min="7682" max="7682" width="2.625" style="2527" customWidth="1"/>
    <col min="7683" max="7683" width="12.625" style="2527" customWidth="1"/>
    <col min="7684" max="7684" width="30.625" style="2527" customWidth="1"/>
    <col min="7685" max="7685" width="8.625" style="2527" customWidth="1"/>
    <col min="7686" max="7687" width="6.625" style="2527" customWidth="1"/>
    <col min="7688" max="7688" width="8.625" style="2527" customWidth="1"/>
    <col min="7689" max="7689" width="10.625" style="2527" customWidth="1"/>
    <col min="7690" max="7690" width="10.875" style="2527" customWidth="1"/>
    <col min="7691" max="7691" width="1.625" style="2527" customWidth="1"/>
    <col min="7692" max="7693" width="9" style="2527"/>
    <col min="7694" max="7706" width="10.625" style="2527" customWidth="1"/>
    <col min="7707" max="7707" width="9" style="2527"/>
    <col min="7708" max="7708" width="3.625" style="2527" customWidth="1"/>
    <col min="7709" max="7709" width="15.625" style="2527" customWidth="1"/>
    <col min="7710" max="7710" width="10.625" style="2527" customWidth="1"/>
    <col min="7711" max="7711" width="8.75" style="2527" bestFit="1" customWidth="1"/>
    <col min="7712" max="7714" width="5.625" style="2527" customWidth="1"/>
    <col min="7715" max="7715" width="14" style="2527" bestFit="1" customWidth="1"/>
    <col min="7716" max="7936" width="9" style="2527"/>
    <col min="7937" max="7937" width="1.625" style="2527" customWidth="1"/>
    <col min="7938" max="7938" width="2.625" style="2527" customWidth="1"/>
    <col min="7939" max="7939" width="12.625" style="2527" customWidth="1"/>
    <col min="7940" max="7940" width="30.625" style="2527" customWidth="1"/>
    <col min="7941" max="7941" width="8.625" style="2527" customWidth="1"/>
    <col min="7942" max="7943" width="6.625" style="2527" customWidth="1"/>
    <col min="7944" max="7944" width="8.625" style="2527" customWidth="1"/>
    <col min="7945" max="7945" width="10.625" style="2527" customWidth="1"/>
    <col min="7946" max="7946" width="10.875" style="2527" customWidth="1"/>
    <col min="7947" max="7947" width="1.625" style="2527" customWidth="1"/>
    <col min="7948" max="7949" width="9" style="2527"/>
    <col min="7950" max="7962" width="10.625" style="2527" customWidth="1"/>
    <col min="7963" max="7963" width="9" style="2527"/>
    <col min="7964" max="7964" width="3.625" style="2527" customWidth="1"/>
    <col min="7965" max="7965" width="15.625" style="2527" customWidth="1"/>
    <col min="7966" max="7966" width="10.625" style="2527" customWidth="1"/>
    <col min="7967" max="7967" width="8.75" style="2527" bestFit="1" customWidth="1"/>
    <col min="7968" max="7970" width="5.625" style="2527" customWidth="1"/>
    <col min="7971" max="7971" width="14" style="2527" bestFit="1" customWidth="1"/>
    <col min="7972" max="8192" width="9" style="2527"/>
    <col min="8193" max="8193" width="1.625" style="2527" customWidth="1"/>
    <col min="8194" max="8194" width="2.625" style="2527" customWidth="1"/>
    <col min="8195" max="8195" width="12.625" style="2527" customWidth="1"/>
    <col min="8196" max="8196" width="30.625" style="2527" customWidth="1"/>
    <col min="8197" max="8197" width="8.625" style="2527" customWidth="1"/>
    <col min="8198" max="8199" width="6.625" style="2527" customWidth="1"/>
    <col min="8200" max="8200" width="8.625" style="2527" customWidth="1"/>
    <col min="8201" max="8201" width="10.625" style="2527" customWidth="1"/>
    <col min="8202" max="8202" width="10.875" style="2527" customWidth="1"/>
    <col min="8203" max="8203" width="1.625" style="2527" customWidth="1"/>
    <col min="8204" max="8205" width="9" style="2527"/>
    <col min="8206" max="8218" width="10.625" style="2527" customWidth="1"/>
    <col min="8219" max="8219" width="9" style="2527"/>
    <col min="8220" max="8220" width="3.625" style="2527" customWidth="1"/>
    <col min="8221" max="8221" width="15.625" style="2527" customWidth="1"/>
    <col min="8222" max="8222" width="10.625" style="2527" customWidth="1"/>
    <col min="8223" max="8223" width="8.75" style="2527" bestFit="1" customWidth="1"/>
    <col min="8224" max="8226" width="5.625" style="2527" customWidth="1"/>
    <col min="8227" max="8227" width="14" style="2527" bestFit="1" customWidth="1"/>
    <col min="8228" max="8448" width="9" style="2527"/>
    <col min="8449" max="8449" width="1.625" style="2527" customWidth="1"/>
    <col min="8450" max="8450" width="2.625" style="2527" customWidth="1"/>
    <col min="8451" max="8451" width="12.625" style="2527" customWidth="1"/>
    <col min="8452" max="8452" width="30.625" style="2527" customWidth="1"/>
    <col min="8453" max="8453" width="8.625" style="2527" customWidth="1"/>
    <col min="8454" max="8455" width="6.625" style="2527" customWidth="1"/>
    <col min="8456" max="8456" width="8.625" style="2527" customWidth="1"/>
    <col min="8457" max="8457" width="10.625" style="2527" customWidth="1"/>
    <col min="8458" max="8458" width="10.875" style="2527" customWidth="1"/>
    <col min="8459" max="8459" width="1.625" style="2527" customWidth="1"/>
    <col min="8460" max="8461" width="9" style="2527"/>
    <col min="8462" max="8474" width="10.625" style="2527" customWidth="1"/>
    <col min="8475" max="8475" width="9" style="2527"/>
    <col min="8476" max="8476" width="3.625" style="2527" customWidth="1"/>
    <col min="8477" max="8477" width="15.625" style="2527" customWidth="1"/>
    <col min="8478" max="8478" width="10.625" style="2527" customWidth="1"/>
    <col min="8479" max="8479" width="8.75" style="2527" bestFit="1" customWidth="1"/>
    <col min="8480" max="8482" width="5.625" style="2527" customWidth="1"/>
    <col min="8483" max="8483" width="14" style="2527" bestFit="1" customWidth="1"/>
    <col min="8484" max="8704" width="9" style="2527"/>
    <col min="8705" max="8705" width="1.625" style="2527" customWidth="1"/>
    <col min="8706" max="8706" width="2.625" style="2527" customWidth="1"/>
    <col min="8707" max="8707" width="12.625" style="2527" customWidth="1"/>
    <col min="8708" max="8708" width="30.625" style="2527" customWidth="1"/>
    <col min="8709" max="8709" width="8.625" style="2527" customWidth="1"/>
    <col min="8710" max="8711" width="6.625" style="2527" customWidth="1"/>
    <col min="8712" max="8712" width="8.625" style="2527" customWidth="1"/>
    <col min="8713" max="8713" width="10.625" style="2527" customWidth="1"/>
    <col min="8714" max="8714" width="10.875" style="2527" customWidth="1"/>
    <col min="8715" max="8715" width="1.625" style="2527" customWidth="1"/>
    <col min="8716" max="8717" width="9" style="2527"/>
    <col min="8718" max="8730" width="10.625" style="2527" customWidth="1"/>
    <col min="8731" max="8731" width="9" style="2527"/>
    <col min="8732" max="8732" width="3.625" style="2527" customWidth="1"/>
    <col min="8733" max="8733" width="15.625" style="2527" customWidth="1"/>
    <col min="8734" max="8734" width="10.625" style="2527" customWidth="1"/>
    <col min="8735" max="8735" width="8.75" style="2527" bestFit="1" customWidth="1"/>
    <col min="8736" max="8738" width="5.625" style="2527" customWidth="1"/>
    <col min="8739" max="8739" width="14" style="2527" bestFit="1" customWidth="1"/>
    <col min="8740" max="8960" width="9" style="2527"/>
    <col min="8961" max="8961" width="1.625" style="2527" customWidth="1"/>
    <col min="8962" max="8962" width="2.625" style="2527" customWidth="1"/>
    <col min="8963" max="8963" width="12.625" style="2527" customWidth="1"/>
    <col min="8964" max="8964" width="30.625" style="2527" customWidth="1"/>
    <col min="8965" max="8965" width="8.625" style="2527" customWidth="1"/>
    <col min="8966" max="8967" width="6.625" style="2527" customWidth="1"/>
    <col min="8968" max="8968" width="8.625" style="2527" customWidth="1"/>
    <col min="8969" max="8969" width="10.625" style="2527" customWidth="1"/>
    <col min="8970" max="8970" width="10.875" style="2527" customWidth="1"/>
    <col min="8971" max="8971" width="1.625" style="2527" customWidth="1"/>
    <col min="8972" max="8973" width="9" style="2527"/>
    <col min="8974" max="8986" width="10.625" style="2527" customWidth="1"/>
    <col min="8987" max="8987" width="9" style="2527"/>
    <col min="8988" max="8988" width="3.625" style="2527" customWidth="1"/>
    <col min="8989" max="8989" width="15.625" style="2527" customWidth="1"/>
    <col min="8990" max="8990" width="10.625" style="2527" customWidth="1"/>
    <col min="8991" max="8991" width="8.75" style="2527" bestFit="1" customWidth="1"/>
    <col min="8992" max="8994" width="5.625" style="2527" customWidth="1"/>
    <col min="8995" max="8995" width="14" style="2527" bestFit="1" customWidth="1"/>
    <col min="8996" max="9216" width="9" style="2527"/>
    <col min="9217" max="9217" width="1.625" style="2527" customWidth="1"/>
    <col min="9218" max="9218" width="2.625" style="2527" customWidth="1"/>
    <col min="9219" max="9219" width="12.625" style="2527" customWidth="1"/>
    <col min="9220" max="9220" width="30.625" style="2527" customWidth="1"/>
    <col min="9221" max="9221" width="8.625" style="2527" customWidth="1"/>
    <col min="9222" max="9223" width="6.625" style="2527" customWidth="1"/>
    <col min="9224" max="9224" width="8.625" style="2527" customWidth="1"/>
    <col min="9225" max="9225" width="10.625" style="2527" customWidth="1"/>
    <col min="9226" max="9226" width="10.875" style="2527" customWidth="1"/>
    <col min="9227" max="9227" width="1.625" style="2527" customWidth="1"/>
    <col min="9228" max="9229" width="9" style="2527"/>
    <col min="9230" max="9242" width="10.625" style="2527" customWidth="1"/>
    <col min="9243" max="9243" width="9" style="2527"/>
    <col min="9244" max="9244" width="3.625" style="2527" customWidth="1"/>
    <col min="9245" max="9245" width="15.625" style="2527" customWidth="1"/>
    <col min="9246" max="9246" width="10.625" style="2527" customWidth="1"/>
    <col min="9247" max="9247" width="8.75" style="2527" bestFit="1" customWidth="1"/>
    <col min="9248" max="9250" width="5.625" style="2527" customWidth="1"/>
    <col min="9251" max="9251" width="14" style="2527" bestFit="1" customWidth="1"/>
    <col min="9252" max="9472" width="9" style="2527"/>
    <col min="9473" max="9473" width="1.625" style="2527" customWidth="1"/>
    <col min="9474" max="9474" width="2.625" style="2527" customWidth="1"/>
    <col min="9475" max="9475" width="12.625" style="2527" customWidth="1"/>
    <col min="9476" max="9476" width="30.625" style="2527" customWidth="1"/>
    <col min="9477" max="9477" width="8.625" style="2527" customWidth="1"/>
    <col min="9478" max="9479" width="6.625" style="2527" customWidth="1"/>
    <col min="9480" max="9480" width="8.625" style="2527" customWidth="1"/>
    <col min="9481" max="9481" width="10.625" style="2527" customWidth="1"/>
    <col min="9482" max="9482" width="10.875" style="2527" customWidth="1"/>
    <col min="9483" max="9483" width="1.625" style="2527" customWidth="1"/>
    <col min="9484" max="9485" width="9" style="2527"/>
    <col min="9486" max="9498" width="10.625" style="2527" customWidth="1"/>
    <col min="9499" max="9499" width="9" style="2527"/>
    <col min="9500" max="9500" width="3.625" style="2527" customWidth="1"/>
    <col min="9501" max="9501" width="15.625" style="2527" customWidth="1"/>
    <col min="9502" max="9502" width="10.625" style="2527" customWidth="1"/>
    <col min="9503" max="9503" width="8.75" style="2527" bestFit="1" customWidth="1"/>
    <col min="9504" max="9506" width="5.625" style="2527" customWidth="1"/>
    <col min="9507" max="9507" width="14" style="2527" bestFit="1" customWidth="1"/>
    <col min="9508" max="9728" width="9" style="2527"/>
    <col min="9729" max="9729" width="1.625" style="2527" customWidth="1"/>
    <col min="9730" max="9730" width="2.625" style="2527" customWidth="1"/>
    <col min="9731" max="9731" width="12.625" style="2527" customWidth="1"/>
    <col min="9732" max="9732" width="30.625" style="2527" customWidth="1"/>
    <col min="9733" max="9733" width="8.625" style="2527" customWidth="1"/>
    <col min="9734" max="9735" width="6.625" style="2527" customWidth="1"/>
    <col min="9736" max="9736" width="8.625" style="2527" customWidth="1"/>
    <col min="9737" max="9737" width="10.625" style="2527" customWidth="1"/>
    <col min="9738" max="9738" width="10.875" style="2527" customWidth="1"/>
    <col min="9739" max="9739" width="1.625" style="2527" customWidth="1"/>
    <col min="9740" max="9741" width="9" style="2527"/>
    <col min="9742" max="9754" width="10.625" style="2527" customWidth="1"/>
    <col min="9755" max="9755" width="9" style="2527"/>
    <col min="9756" max="9756" width="3.625" style="2527" customWidth="1"/>
    <col min="9757" max="9757" width="15.625" style="2527" customWidth="1"/>
    <col min="9758" max="9758" width="10.625" style="2527" customWidth="1"/>
    <col min="9759" max="9759" width="8.75" style="2527" bestFit="1" customWidth="1"/>
    <col min="9760" max="9762" width="5.625" style="2527" customWidth="1"/>
    <col min="9763" max="9763" width="14" style="2527" bestFit="1" customWidth="1"/>
    <col min="9764" max="9984" width="9" style="2527"/>
    <col min="9985" max="9985" width="1.625" style="2527" customWidth="1"/>
    <col min="9986" max="9986" width="2.625" style="2527" customWidth="1"/>
    <col min="9987" max="9987" width="12.625" style="2527" customWidth="1"/>
    <col min="9988" max="9988" width="30.625" style="2527" customWidth="1"/>
    <col min="9989" max="9989" width="8.625" style="2527" customWidth="1"/>
    <col min="9990" max="9991" width="6.625" style="2527" customWidth="1"/>
    <col min="9992" max="9992" width="8.625" style="2527" customWidth="1"/>
    <col min="9993" max="9993" width="10.625" style="2527" customWidth="1"/>
    <col min="9994" max="9994" width="10.875" style="2527" customWidth="1"/>
    <col min="9995" max="9995" width="1.625" style="2527" customWidth="1"/>
    <col min="9996" max="9997" width="9" style="2527"/>
    <col min="9998" max="10010" width="10.625" style="2527" customWidth="1"/>
    <col min="10011" max="10011" width="9" style="2527"/>
    <col min="10012" max="10012" width="3.625" style="2527" customWidth="1"/>
    <col min="10013" max="10013" width="15.625" style="2527" customWidth="1"/>
    <col min="10014" max="10014" width="10.625" style="2527" customWidth="1"/>
    <col min="10015" max="10015" width="8.75" style="2527" bestFit="1" customWidth="1"/>
    <col min="10016" max="10018" width="5.625" style="2527" customWidth="1"/>
    <col min="10019" max="10019" width="14" style="2527" bestFit="1" customWidth="1"/>
    <col min="10020" max="10240" width="9" style="2527"/>
    <col min="10241" max="10241" width="1.625" style="2527" customWidth="1"/>
    <col min="10242" max="10242" width="2.625" style="2527" customWidth="1"/>
    <col min="10243" max="10243" width="12.625" style="2527" customWidth="1"/>
    <col min="10244" max="10244" width="30.625" style="2527" customWidth="1"/>
    <col min="10245" max="10245" width="8.625" style="2527" customWidth="1"/>
    <col min="10246" max="10247" width="6.625" style="2527" customWidth="1"/>
    <col min="10248" max="10248" width="8.625" style="2527" customWidth="1"/>
    <col min="10249" max="10249" width="10.625" style="2527" customWidth="1"/>
    <col min="10250" max="10250" width="10.875" style="2527" customWidth="1"/>
    <col min="10251" max="10251" width="1.625" style="2527" customWidth="1"/>
    <col min="10252" max="10253" width="9" style="2527"/>
    <col min="10254" max="10266" width="10.625" style="2527" customWidth="1"/>
    <col min="10267" max="10267" width="9" style="2527"/>
    <col min="10268" max="10268" width="3.625" style="2527" customWidth="1"/>
    <col min="10269" max="10269" width="15.625" style="2527" customWidth="1"/>
    <col min="10270" max="10270" width="10.625" style="2527" customWidth="1"/>
    <col min="10271" max="10271" width="8.75" style="2527" bestFit="1" customWidth="1"/>
    <col min="10272" max="10274" width="5.625" style="2527" customWidth="1"/>
    <col min="10275" max="10275" width="14" style="2527" bestFit="1" customWidth="1"/>
    <col min="10276" max="10496" width="9" style="2527"/>
    <col min="10497" max="10497" width="1.625" style="2527" customWidth="1"/>
    <col min="10498" max="10498" width="2.625" style="2527" customWidth="1"/>
    <col min="10499" max="10499" width="12.625" style="2527" customWidth="1"/>
    <col min="10500" max="10500" width="30.625" style="2527" customWidth="1"/>
    <col min="10501" max="10501" width="8.625" style="2527" customWidth="1"/>
    <col min="10502" max="10503" width="6.625" style="2527" customWidth="1"/>
    <col min="10504" max="10504" width="8.625" style="2527" customWidth="1"/>
    <col min="10505" max="10505" width="10.625" style="2527" customWidth="1"/>
    <col min="10506" max="10506" width="10.875" style="2527" customWidth="1"/>
    <col min="10507" max="10507" width="1.625" style="2527" customWidth="1"/>
    <col min="10508" max="10509" width="9" style="2527"/>
    <col min="10510" max="10522" width="10.625" style="2527" customWidth="1"/>
    <col min="10523" max="10523" width="9" style="2527"/>
    <col min="10524" max="10524" width="3.625" style="2527" customWidth="1"/>
    <col min="10525" max="10525" width="15.625" style="2527" customWidth="1"/>
    <col min="10526" max="10526" width="10.625" style="2527" customWidth="1"/>
    <col min="10527" max="10527" width="8.75" style="2527" bestFit="1" customWidth="1"/>
    <col min="10528" max="10530" width="5.625" style="2527" customWidth="1"/>
    <col min="10531" max="10531" width="14" style="2527" bestFit="1" customWidth="1"/>
    <col min="10532" max="10752" width="9" style="2527"/>
    <col min="10753" max="10753" width="1.625" style="2527" customWidth="1"/>
    <col min="10754" max="10754" width="2.625" style="2527" customWidth="1"/>
    <col min="10755" max="10755" width="12.625" style="2527" customWidth="1"/>
    <col min="10756" max="10756" width="30.625" style="2527" customWidth="1"/>
    <col min="10757" max="10757" width="8.625" style="2527" customWidth="1"/>
    <col min="10758" max="10759" width="6.625" style="2527" customWidth="1"/>
    <col min="10760" max="10760" width="8.625" style="2527" customWidth="1"/>
    <col min="10761" max="10761" width="10.625" style="2527" customWidth="1"/>
    <col min="10762" max="10762" width="10.875" style="2527" customWidth="1"/>
    <col min="10763" max="10763" width="1.625" style="2527" customWidth="1"/>
    <col min="10764" max="10765" width="9" style="2527"/>
    <col min="10766" max="10778" width="10.625" style="2527" customWidth="1"/>
    <col min="10779" max="10779" width="9" style="2527"/>
    <col min="10780" max="10780" width="3.625" style="2527" customWidth="1"/>
    <col min="10781" max="10781" width="15.625" style="2527" customWidth="1"/>
    <col min="10782" max="10782" width="10.625" style="2527" customWidth="1"/>
    <col min="10783" max="10783" width="8.75" style="2527" bestFit="1" customWidth="1"/>
    <col min="10784" max="10786" width="5.625" style="2527" customWidth="1"/>
    <col min="10787" max="10787" width="14" style="2527" bestFit="1" customWidth="1"/>
    <col min="10788" max="11008" width="9" style="2527"/>
    <col min="11009" max="11009" width="1.625" style="2527" customWidth="1"/>
    <col min="11010" max="11010" width="2.625" style="2527" customWidth="1"/>
    <col min="11011" max="11011" width="12.625" style="2527" customWidth="1"/>
    <col min="11012" max="11012" width="30.625" style="2527" customWidth="1"/>
    <col min="11013" max="11013" width="8.625" style="2527" customWidth="1"/>
    <col min="11014" max="11015" width="6.625" style="2527" customWidth="1"/>
    <col min="11016" max="11016" width="8.625" style="2527" customWidth="1"/>
    <col min="11017" max="11017" width="10.625" style="2527" customWidth="1"/>
    <col min="11018" max="11018" width="10.875" style="2527" customWidth="1"/>
    <col min="11019" max="11019" width="1.625" style="2527" customWidth="1"/>
    <col min="11020" max="11021" width="9" style="2527"/>
    <col min="11022" max="11034" width="10.625" style="2527" customWidth="1"/>
    <col min="11035" max="11035" width="9" style="2527"/>
    <col min="11036" max="11036" width="3.625" style="2527" customWidth="1"/>
    <col min="11037" max="11037" width="15.625" style="2527" customWidth="1"/>
    <col min="11038" max="11038" width="10.625" style="2527" customWidth="1"/>
    <col min="11039" max="11039" width="8.75" style="2527" bestFit="1" customWidth="1"/>
    <col min="11040" max="11042" width="5.625" style="2527" customWidth="1"/>
    <col min="11043" max="11043" width="14" style="2527" bestFit="1" customWidth="1"/>
    <col min="11044" max="11264" width="9" style="2527"/>
    <col min="11265" max="11265" width="1.625" style="2527" customWidth="1"/>
    <col min="11266" max="11266" width="2.625" style="2527" customWidth="1"/>
    <col min="11267" max="11267" width="12.625" style="2527" customWidth="1"/>
    <col min="11268" max="11268" width="30.625" style="2527" customWidth="1"/>
    <col min="11269" max="11269" width="8.625" style="2527" customWidth="1"/>
    <col min="11270" max="11271" width="6.625" style="2527" customWidth="1"/>
    <col min="11272" max="11272" width="8.625" style="2527" customWidth="1"/>
    <col min="11273" max="11273" width="10.625" style="2527" customWidth="1"/>
    <col min="11274" max="11274" width="10.875" style="2527" customWidth="1"/>
    <col min="11275" max="11275" width="1.625" style="2527" customWidth="1"/>
    <col min="11276" max="11277" width="9" style="2527"/>
    <col min="11278" max="11290" width="10.625" style="2527" customWidth="1"/>
    <col min="11291" max="11291" width="9" style="2527"/>
    <col min="11292" max="11292" width="3.625" style="2527" customWidth="1"/>
    <col min="11293" max="11293" width="15.625" style="2527" customWidth="1"/>
    <col min="11294" max="11294" width="10.625" style="2527" customWidth="1"/>
    <col min="11295" max="11295" width="8.75" style="2527" bestFit="1" customWidth="1"/>
    <col min="11296" max="11298" width="5.625" style="2527" customWidth="1"/>
    <col min="11299" max="11299" width="14" style="2527" bestFit="1" customWidth="1"/>
    <col min="11300" max="11520" width="9" style="2527"/>
    <col min="11521" max="11521" width="1.625" style="2527" customWidth="1"/>
    <col min="11522" max="11522" width="2.625" style="2527" customWidth="1"/>
    <col min="11523" max="11523" width="12.625" style="2527" customWidth="1"/>
    <col min="11524" max="11524" width="30.625" style="2527" customWidth="1"/>
    <col min="11525" max="11525" width="8.625" style="2527" customWidth="1"/>
    <col min="11526" max="11527" width="6.625" style="2527" customWidth="1"/>
    <col min="11528" max="11528" width="8.625" style="2527" customWidth="1"/>
    <col min="11529" max="11529" width="10.625" style="2527" customWidth="1"/>
    <col min="11530" max="11530" width="10.875" style="2527" customWidth="1"/>
    <col min="11531" max="11531" width="1.625" style="2527" customWidth="1"/>
    <col min="11532" max="11533" width="9" style="2527"/>
    <col min="11534" max="11546" width="10.625" style="2527" customWidth="1"/>
    <col min="11547" max="11547" width="9" style="2527"/>
    <col min="11548" max="11548" width="3.625" style="2527" customWidth="1"/>
    <col min="11549" max="11549" width="15.625" style="2527" customWidth="1"/>
    <col min="11550" max="11550" width="10.625" style="2527" customWidth="1"/>
    <col min="11551" max="11551" width="8.75" style="2527" bestFit="1" customWidth="1"/>
    <col min="11552" max="11554" width="5.625" style="2527" customWidth="1"/>
    <col min="11555" max="11555" width="14" style="2527" bestFit="1" customWidth="1"/>
    <col min="11556" max="11776" width="9" style="2527"/>
    <col min="11777" max="11777" width="1.625" style="2527" customWidth="1"/>
    <col min="11778" max="11778" width="2.625" style="2527" customWidth="1"/>
    <col min="11779" max="11779" width="12.625" style="2527" customWidth="1"/>
    <col min="11780" max="11780" width="30.625" style="2527" customWidth="1"/>
    <col min="11781" max="11781" width="8.625" style="2527" customWidth="1"/>
    <col min="11782" max="11783" width="6.625" style="2527" customWidth="1"/>
    <col min="11784" max="11784" width="8.625" style="2527" customWidth="1"/>
    <col min="11785" max="11785" width="10.625" style="2527" customWidth="1"/>
    <col min="11786" max="11786" width="10.875" style="2527" customWidth="1"/>
    <col min="11787" max="11787" width="1.625" style="2527" customWidth="1"/>
    <col min="11788" max="11789" width="9" style="2527"/>
    <col min="11790" max="11802" width="10.625" style="2527" customWidth="1"/>
    <col min="11803" max="11803" width="9" style="2527"/>
    <col min="11804" max="11804" width="3.625" style="2527" customWidth="1"/>
    <col min="11805" max="11805" width="15.625" style="2527" customWidth="1"/>
    <col min="11806" max="11806" width="10.625" style="2527" customWidth="1"/>
    <col min="11807" max="11807" width="8.75" style="2527" bestFit="1" customWidth="1"/>
    <col min="11808" max="11810" width="5.625" style="2527" customWidth="1"/>
    <col min="11811" max="11811" width="14" style="2527" bestFit="1" customWidth="1"/>
    <col min="11812" max="12032" width="9" style="2527"/>
    <col min="12033" max="12033" width="1.625" style="2527" customWidth="1"/>
    <col min="12034" max="12034" width="2.625" style="2527" customWidth="1"/>
    <col min="12035" max="12035" width="12.625" style="2527" customWidth="1"/>
    <col min="12036" max="12036" width="30.625" style="2527" customWidth="1"/>
    <col min="12037" max="12037" width="8.625" style="2527" customWidth="1"/>
    <col min="12038" max="12039" width="6.625" style="2527" customWidth="1"/>
    <col min="12040" max="12040" width="8.625" style="2527" customWidth="1"/>
    <col min="12041" max="12041" width="10.625" style="2527" customWidth="1"/>
    <col min="12042" max="12042" width="10.875" style="2527" customWidth="1"/>
    <col min="12043" max="12043" width="1.625" style="2527" customWidth="1"/>
    <col min="12044" max="12045" width="9" style="2527"/>
    <col min="12046" max="12058" width="10.625" style="2527" customWidth="1"/>
    <col min="12059" max="12059" width="9" style="2527"/>
    <col min="12060" max="12060" width="3.625" style="2527" customWidth="1"/>
    <col min="12061" max="12061" width="15.625" style="2527" customWidth="1"/>
    <col min="12062" max="12062" width="10.625" style="2527" customWidth="1"/>
    <col min="12063" max="12063" width="8.75" style="2527" bestFit="1" customWidth="1"/>
    <col min="12064" max="12066" width="5.625" style="2527" customWidth="1"/>
    <col min="12067" max="12067" width="14" style="2527" bestFit="1" customWidth="1"/>
    <col min="12068" max="12288" width="9" style="2527"/>
    <col min="12289" max="12289" width="1.625" style="2527" customWidth="1"/>
    <col min="12290" max="12290" width="2.625" style="2527" customWidth="1"/>
    <col min="12291" max="12291" width="12.625" style="2527" customWidth="1"/>
    <col min="12292" max="12292" width="30.625" style="2527" customWidth="1"/>
    <col min="12293" max="12293" width="8.625" style="2527" customWidth="1"/>
    <col min="12294" max="12295" width="6.625" style="2527" customWidth="1"/>
    <col min="12296" max="12296" width="8.625" style="2527" customWidth="1"/>
    <col min="12297" max="12297" width="10.625" style="2527" customWidth="1"/>
    <col min="12298" max="12298" width="10.875" style="2527" customWidth="1"/>
    <col min="12299" max="12299" width="1.625" style="2527" customWidth="1"/>
    <col min="12300" max="12301" width="9" style="2527"/>
    <col min="12302" max="12314" width="10.625" style="2527" customWidth="1"/>
    <col min="12315" max="12315" width="9" style="2527"/>
    <col min="12316" max="12316" width="3.625" style="2527" customWidth="1"/>
    <col min="12317" max="12317" width="15.625" style="2527" customWidth="1"/>
    <col min="12318" max="12318" width="10.625" style="2527" customWidth="1"/>
    <col min="12319" max="12319" width="8.75" style="2527" bestFit="1" customWidth="1"/>
    <col min="12320" max="12322" width="5.625" style="2527" customWidth="1"/>
    <col min="12323" max="12323" width="14" style="2527" bestFit="1" customWidth="1"/>
    <col min="12324" max="12544" width="9" style="2527"/>
    <col min="12545" max="12545" width="1.625" style="2527" customWidth="1"/>
    <col min="12546" max="12546" width="2.625" style="2527" customWidth="1"/>
    <col min="12547" max="12547" width="12.625" style="2527" customWidth="1"/>
    <col min="12548" max="12548" width="30.625" style="2527" customWidth="1"/>
    <col min="12549" max="12549" width="8.625" style="2527" customWidth="1"/>
    <col min="12550" max="12551" width="6.625" style="2527" customWidth="1"/>
    <col min="12552" max="12552" width="8.625" style="2527" customWidth="1"/>
    <col min="12553" max="12553" width="10.625" style="2527" customWidth="1"/>
    <col min="12554" max="12554" width="10.875" style="2527" customWidth="1"/>
    <col min="12555" max="12555" width="1.625" style="2527" customWidth="1"/>
    <col min="12556" max="12557" width="9" style="2527"/>
    <col min="12558" max="12570" width="10.625" style="2527" customWidth="1"/>
    <col min="12571" max="12571" width="9" style="2527"/>
    <col min="12572" max="12572" width="3.625" style="2527" customWidth="1"/>
    <col min="12573" max="12573" width="15.625" style="2527" customWidth="1"/>
    <col min="12574" max="12574" width="10.625" style="2527" customWidth="1"/>
    <col min="12575" max="12575" width="8.75" style="2527" bestFit="1" customWidth="1"/>
    <col min="12576" max="12578" width="5.625" style="2527" customWidth="1"/>
    <col min="12579" max="12579" width="14" style="2527" bestFit="1" customWidth="1"/>
    <col min="12580" max="12800" width="9" style="2527"/>
    <col min="12801" max="12801" width="1.625" style="2527" customWidth="1"/>
    <col min="12802" max="12802" width="2.625" style="2527" customWidth="1"/>
    <col min="12803" max="12803" width="12.625" style="2527" customWidth="1"/>
    <col min="12804" max="12804" width="30.625" style="2527" customWidth="1"/>
    <col min="12805" max="12805" width="8.625" style="2527" customWidth="1"/>
    <col min="12806" max="12807" width="6.625" style="2527" customWidth="1"/>
    <col min="12808" max="12808" width="8.625" style="2527" customWidth="1"/>
    <col min="12809" max="12809" width="10.625" style="2527" customWidth="1"/>
    <col min="12810" max="12810" width="10.875" style="2527" customWidth="1"/>
    <col min="12811" max="12811" width="1.625" style="2527" customWidth="1"/>
    <col min="12812" max="12813" width="9" style="2527"/>
    <col min="12814" max="12826" width="10.625" style="2527" customWidth="1"/>
    <col min="12827" max="12827" width="9" style="2527"/>
    <col min="12828" max="12828" width="3.625" style="2527" customWidth="1"/>
    <col min="12829" max="12829" width="15.625" style="2527" customWidth="1"/>
    <col min="12830" max="12830" width="10.625" style="2527" customWidth="1"/>
    <col min="12831" max="12831" width="8.75" style="2527" bestFit="1" customWidth="1"/>
    <col min="12832" max="12834" width="5.625" style="2527" customWidth="1"/>
    <col min="12835" max="12835" width="14" style="2527" bestFit="1" customWidth="1"/>
    <col min="12836" max="13056" width="9" style="2527"/>
    <col min="13057" max="13057" width="1.625" style="2527" customWidth="1"/>
    <col min="13058" max="13058" width="2.625" style="2527" customWidth="1"/>
    <col min="13059" max="13059" width="12.625" style="2527" customWidth="1"/>
    <col min="13060" max="13060" width="30.625" style="2527" customWidth="1"/>
    <col min="13061" max="13061" width="8.625" style="2527" customWidth="1"/>
    <col min="13062" max="13063" width="6.625" style="2527" customWidth="1"/>
    <col min="13064" max="13064" width="8.625" style="2527" customWidth="1"/>
    <col min="13065" max="13065" width="10.625" style="2527" customWidth="1"/>
    <col min="13066" max="13066" width="10.875" style="2527" customWidth="1"/>
    <col min="13067" max="13067" width="1.625" style="2527" customWidth="1"/>
    <col min="13068" max="13069" width="9" style="2527"/>
    <col min="13070" max="13082" width="10.625" style="2527" customWidth="1"/>
    <col min="13083" max="13083" width="9" style="2527"/>
    <col min="13084" max="13084" width="3.625" style="2527" customWidth="1"/>
    <col min="13085" max="13085" width="15.625" style="2527" customWidth="1"/>
    <col min="13086" max="13086" width="10.625" style="2527" customWidth="1"/>
    <col min="13087" max="13087" width="8.75" style="2527" bestFit="1" customWidth="1"/>
    <col min="13088" max="13090" width="5.625" style="2527" customWidth="1"/>
    <col min="13091" max="13091" width="14" style="2527" bestFit="1" customWidth="1"/>
    <col min="13092" max="13312" width="9" style="2527"/>
    <col min="13313" max="13313" width="1.625" style="2527" customWidth="1"/>
    <col min="13314" max="13314" width="2.625" style="2527" customWidth="1"/>
    <col min="13315" max="13315" width="12.625" style="2527" customWidth="1"/>
    <col min="13316" max="13316" width="30.625" style="2527" customWidth="1"/>
    <col min="13317" max="13317" width="8.625" style="2527" customWidth="1"/>
    <col min="13318" max="13319" width="6.625" style="2527" customWidth="1"/>
    <col min="13320" max="13320" width="8.625" style="2527" customWidth="1"/>
    <col min="13321" max="13321" width="10.625" style="2527" customWidth="1"/>
    <col min="13322" max="13322" width="10.875" style="2527" customWidth="1"/>
    <col min="13323" max="13323" width="1.625" style="2527" customWidth="1"/>
    <col min="13324" max="13325" width="9" style="2527"/>
    <col min="13326" max="13338" width="10.625" style="2527" customWidth="1"/>
    <col min="13339" max="13339" width="9" style="2527"/>
    <col min="13340" max="13340" width="3.625" style="2527" customWidth="1"/>
    <col min="13341" max="13341" width="15.625" style="2527" customWidth="1"/>
    <col min="13342" max="13342" width="10.625" style="2527" customWidth="1"/>
    <col min="13343" max="13343" width="8.75" style="2527" bestFit="1" customWidth="1"/>
    <col min="13344" max="13346" width="5.625" style="2527" customWidth="1"/>
    <col min="13347" max="13347" width="14" style="2527" bestFit="1" customWidth="1"/>
    <col min="13348" max="13568" width="9" style="2527"/>
    <col min="13569" max="13569" width="1.625" style="2527" customWidth="1"/>
    <col min="13570" max="13570" width="2.625" style="2527" customWidth="1"/>
    <col min="13571" max="13571" width="12.625" style="2527" customWidth="1"/>
    <col min="13572" max="13572" width="30.625" style="2527" customWidth="1"/>
    <col min="13573" max="13573" width="8.625" style="2527" customWidth="1"/>
    <col min="13574" max="13575" width="6.625" style="2527" customWidth="1"/>
    <col min="13576" max="13576" width="8.625" style="2527" customWidth="1"/>
    <col min="13577" max="13577" width="10.625" style="2527" customWidth="1"/>
    <col min="13578" max="13578" width="10.875" style="2527" customWidth="1"/>
    <col min="13579" max="13579" width="1.625" style="2527" customWidth="1"/>
    <col min="13580" max="13581" width="9" style="2527"/>
    <col min="13582" max="13594" width="10.625" style="2527" customWidth="1"/>
    <col min="13595" max="13595" width="9" style="2527"/>
    <col min="13596" max="13596" width="3.625" style="2527" customWidth="1"/>
    <col min="13597" max="13597" width="15.625" style="2527" customWidth="1"/>
    <col min="13598" max="13598" width="10.625" style="2527" customWidth="1"/>
    <col min="13599" max="13599" width="8.75" style="2527" bestFit="1" customWidth="1"/>
    <col min="13600" max="13602" width="5.625" style="2527" customWidth="1"/>
    <col min="13603" max="13603" width="14" style="2527" bestFit="1" customWidth="1"/>
    <col min="13604" max="13824" width="9" style="2527"/>
    <col min="13825" max="13825" width="1.625" style="2527" customWidth="1"/>
    <col min="13826" max="13826" width="2.625" style="2527" customWidth="1"/>
    <col min="13827" max="13827" width="12.625" style="2527" customWidth="1"/>
    <col min="13828" max="13828" width="30.625" style="2527" customWidth="1"/>
    <col min="13829" max="13829" width="8.625" style="2527" customWidth="1"/>
    <col min="13830" max="13831" width="6.625" style="2527" customWidth="1"/>
    <col min="13832" max="13832" width="8.625" style="2527" customWidth="1"/>
    <col min="13833" max="13833" width="10.625" style="2527" customWidth="1"/>
    <col min="13834" max="13834" width="10.875" style="2527" customWidth="1"/>
    <col min="13835" max="13835" width="1.625" style="2527" customWidth="1"/>
    <col min="13836" max="13837" width="9" style="2527"/>
    <col min="13838" max="13850" width="10.625" style="2527" customWidth="1"/>
    <col min="13851" max="13851" width="9" style="2527"/>
    <col min="13852" max="13852" width="3.625" style="2527" customWidth="1"/>
    <col min="13853" max="13853" width="15.625" style="2527" customWidth="1"/>
    <col min="13854" max="13854" width="10.625" style="2527" customWidth="1"/>
    <col min="13855" max="13855" width="8.75" style="2527" bestFit="1" customWidth="1"/>
    <col min="13856" max="13858" width="5.625" style="2527" customWidth="1"/>
    <col min="13859" max="13859" width="14" style="2527" bestFit="1" customWidth="1"/>
    <col min="13860" max="14080" width="9" style="2527"/>
    <col min="14081" max="14081" width="1.625" style="2527" customWidth="1"/>
    <col min="14082" max="14082" width="2.625" style="2527" customWidth="1"/>
    <col min="14083" max="14083" width="12.625" style="2527" customWidth="1"/>
    <col min="14084" max="14084" width="30.625" style="2527" customWidth="1"/>
    <col min="14085" max="14085" width="8.625" style="2527" customWidth="1"/>
    <col min="14086" max="14087" width="6.625" style="2527" customWidth="1"/>
    <col min="14088" max="14088" width="8.625" style="2527" customWidth="1"/>
    <col min="14089" max="14089" width="10.625" style="2527" customWidth="1"/>
    <col min="14090" max="14090" width="10.875" style="2527" customWidth="1"/>
    <col min="14091" max="14091" width="1.625" style="2527" customWidth="1"/>
    <col min="14092" max="14093" width="9" style="2527"/>
    <col min="14094" max="14106" width="10.625" style="2527" customWidth="1"/>
    <col min="14107" max="14107" width="9" style="2527"/>
    <col min="14108" max="14108" width="3.625" style="2527" customWidth="1"/>
    <col min="14109" max="14109" width="15.625" style="2527" customWidth="1"/>
    <col min="14110" max="14110" width="10.625" style="2527" customWidth="1"/>
    <col min="14111" max="14111" width="8.75" style="2527" bestFit="1" customWidth="1"/>
    <col min="14112" max="14114" width="5.625" style="2527" customWidth="1"/>
    <col min="14115" max="14115" width="14" style="2527" bestFit="1" customWidth="1"/>
    <col min="14116" max="14336" width="9" style="2527"/>
    <col min="14337" max="14337" width="1.625" style="2527" customWidth="1"/>
    <col min="14338" max="14338" width="2.625" style="2527" customWidth="1"/>
    <col min="14339" max="14339" width="12.625" style="2527" customWidth="1"/>
    <col min="14340" max="14340" width="30.625" style="2527" customWidth="1"/>
    <col min="14341" max="14341" width="8.625" style="2527" customWidth="1"/>
    <col min="14342" max="14343" width="6.625" style="2527" customWidth="1"/>
    <col min="14344" max="14344" width="8.625" style="2527" customWidth="1"/>
    <col min="14345" max="14345" width="10.625" style="2527" customWidth="1"/>
    <col min="14346" max="14346" width="10.875" style="2527" customWidth="1"/>
    <col min="14347" max="14347" width="1.625" style="2527" customWidth="1"/>
    <col min="14348" max="14349" width="9" style="2527"/>
    <col min="14350" max="14362" width="10.625" style="2527" customWidth="1"/>
    <col min="14363" max="14363" width="9" style="2527"/>
    <col min="14364" max="14364" width="3.625" style="2527" customWidth="1"/>
    <col min="14365" max="14365" width="15.625" style="2527" customWidth="1"/>
    <col min="14366" max="14366" width="10.625" style="2527" customWidth="1"/>
    <col min="14367" max="14367" width="8.75" style="2527" bestFit="1" customWidth="1"/>
    <col min="14368" max="14370" width="5.625" style="2527" customWidth="1"/>
    <col min="14371" max="14371" width="14" style="2527" bestFit="1" customWidth="1"/>
    <col min="14372" max="14592" width="9" style="2527"/>
    <col min="14593" max="14593" width="1.625" style="2527" customWidth="1"/>
    <col min="14594" max="14594" width="2.625" style="2527" customWidth="1"/>
    <col min="14595" max="14595" width="12.625" style="2527" customWidth="1"/>
    <col min="14596" max="14596" width="30.625" style="2527" customWidth="1"/>
    <col min="14597" max="14597" width="8.625" style="2527" customWidth="1"/>
    <col min="14598" max="14599" width="6.625" style="2527" customWidth="1"/>
    <col min="14600" max="14600" width="8.625" style="2527" customWidth="1"/>
    <col min="14601" max="14601" width="10.625" style="2527" customWidth="1"/>
    <col min="14602" max="14602" width="10.875" style="2527" customWidth="1"/>
    <col min="14603" max="14603" width="1.625" style="2527" customWidth="1"/>
    <col min="14604" max="14605" width="9" style="2527"/>
    <col min="14606" max="14618" width="10.625" style="2527" customWidth="1"/>
    <col min="14619" max="14619" width="9" style="2527"/>
    <col min="14620" max="14620" width="3.625" style="2527" customWidth="1"/>
    <col min="14621" max="14621" width="15.625" style="2527" customWidth="1"/>
    <col min="14622" max="14622" width="10.625" style="2527" customWidth="1"/>
    <col min="14623" max="14623" width="8.75" style="2527" bestFit="1" customWidth="1"/>
    <col min="14624" max="14626" width="5.625" style="2527" customWidth="1"/>
    <col min="14627" max="14627" width="14" style="2527" bestFit="1" customWidth="1"/>
    <col min="14628" max="14848" width="9" style="2527"/>
    <col min="14849" max="14849" width="1.625" style="2527" customWidth="1"/>
    <col min="14850" max="14850" width="2.625" style="2527" customWidth="1"/>
    <col min="14851" max="14851" width="12.625" style="2527" customWidth="1"/>
    <col min="14852" max="14852" width="30.625" style="2527" customWidth="1"/>
    <col min="14853" max="14853" width="8.625" style="2527" customWidth="1"/>
    <col min="14854" max="14855" width="6.625" style="2527" customWidth="1"/>
    <col min="14856" max="14856" width="8.625" style="2527" customWidth="1"/>
    <col min="14857" max="14857" width="10.625" style="2527" customWidth="1"/>
    <col min="14858" max="14858" width="10.875" style="2527" customWidth="1"/>
    <col min="14859" max="14859" width="1.625" style="2527" customWidth="1"/>
    <col min="14860" max="14861" width="9" style="2527"/>
    <col min="14862" max="14874" width="10.625" style="2527" customWidth="1"/>
    <col min="14875" max="14875" width="9" style="2527"/>
    <col min="14876" max="14876" width="3.625" style="2527" customWidth="1"/>
    <col min="14877" max="14877" width="15.625" style="2527" customWidth="1"/>
    <col min="14878" max="14878" width="10.625" style="2527" customWidth="1"/>
    <col min="14879" max="14879" width="8.75" style="2527" bestFit="1" customWidth="1"/>
    <col min="14880" max="14882" width="5.625" style="2527" customWidth="1"/>
    <col min="14883" max="14883" width="14" style="2527" bestFit="1" customWidth="1"/>
    <col min="14884" max="15104" width="9" style="2527"/>
    <col min="15105" max="15105" width="1.625" style="2527" customWidth="1"/>
    <col min="15106" max="15106" width="2.625" style="2527" customWidth="1"/>
    <col min="15107" max="15107" width="12.625" style="2527" customWidth="1"/>
    <col min="15108" max="15108" width="30.625" style="2527" customWidth="1"/>
    <col min="15109" max="15109" width="8.625" style="2527" customWidth="1"/>
    <col min="15110" max="15111" width="6.625" style="2527" customWidth="1"/>
    <col min="15112" max="15112" width="8.625" style="2527" customWidth="1"/>
    <col min="15113" max="15113" width="10.625" style="2527" customWidth="1"/>
    <col min="15114" max="15114" width="10.875" style="2527" customWidth="1"/>
    <col min="15115" max="15115" width="1.625" style="2527" customWidth="1"/>
    <col min="15116" max="15117" width="9" style="2527"/>
    <col min="15118" max="15130" width="10.625" style="2527" customWidth="1"/>
    <col min="15131" max="15131" width="9" style="2527"/>
    <col min="15132" max="15132" width="3.625" style="2527" customWidth="1"/>
    <col min="15133" max="15133" width="15.625" style="2527" customWidth="1"/>
    <col min="15134" max="15134" width="10.625" style="2527" customWidth="1"/>
    <col min="15135" max="15135" width="8.75" style="2527" bestFit="1" customWidth="1"/>
    <col min="15136" max="15138" width="5.625" style="2527" customWidth="1"/>
    <col min="15139" max="15139" width="14" style="2527" bestFit="1" customWidth="1"/>
    <col min="15140" max="15360" width="9" style="2527"/>
    <col min="15361" max="15361" width="1.625" style="2527" customWidth="1"/>
    <col min="15362" max="15362" width="2.625" style="2527" customWidth="1"/>
    <col min="15363" max="15363" width="12.625" style="2527" customWidth="1"/>
    <col min="15364" max="15364" width="30.625" style="2527" customWidth="1"/>
    <col min="15365" max="15365" width="8.625" style="2527" customWidth="1"/>
    <col min="15366" max="15367" width="6.625" style="2527" customWidth="1"/>
    <col min="15368" max="15368" width="8.625" style="2527" customWidth="1"/>
    <col min="15369" max="15369" width="10.625" style="2527" customWidth="1"/>
    <col min="15370" max="15370" width="10.875" style="2527" customWidth="1"/>
    <col min="15371" max="15371" width="1.625" style="2527" customWidth="1"/>
    <col min="15372" max="15373" width="9" style="2527"/>
    <col min="15374" max="15386" width="10.625" style="2527" customWidth="1"/>
    <col min="15387" max="15387" width="9" style="2527"/>
    <col min="15388" max="15388" width="3.625" style="2527" customWidth="1"/>
    <col min="15389" max="15389" width="15.625" style="2527" customWidth="1"/>
    <col min="15390" max="15390" width="10.625" style="2527" customWidth="1"/>
    <col min="15391" max="15391" width="8.75" style="2527" bestFit="1" customWidth="1"/>
    <col min="15392" max="15394" width="5.625" style="2527" customWidth="1"/>
    <col min="15395" max="15395" width="14" style="2527" bestFit="1" customWidth="1"/>
    <col min="15396" max="15616" width="9" style="2527"/>
    <col min="15617" max="15617" width="1.625" style="2527" customWidth="1"/>
    <col min="15618" max="15618" width="2.625" style="2527" customWidth="1"/>
    <col min="15619" max="15619" width="12.625" style="2527" customWidth="1"/>
    <col min="15620" max="15620" width="30.625" style="2527" customWidth="1"/>
    <col min="15621" max="15621" width="8.625" style="2527" customWidth="1"/>
    <col min="15622" max="15623" width="6.625" style="2527" customWidth="1"/>
    <col min="15624" max="15624" width="8.625" style="2527" customWidth="1"/>
    <col min="15625" max="15625" width="10.625" style="2527" customWidth="1"/>
    <col min="15626" max="15626" width="10.875" style="2527" customWidth="1"/>
    <col min="15627" max="15627" width="1.625" style="2527" customWidth="1"/>
    <col min="15628" max="15629" width="9" style="2527"/>
    <col min="15630" max="15642" width="10.625" style="2527" customWidth="1"/>
    <col min="15643" max="15643" width="9" style="2527"/>
    <col min="15644" max="15644" width="3.625" style="2527" customWidth="1"/>
    <col min="15645" max="15645" width="15.625" style="2527" customWidth="1"/>
    <col min="15646" max="15646" width="10.625" style="2527" customWidth="1"/>
    <col min="15647" max="15647" width="8.75" style="2527" bestFit="1" customWidth="1"/>
    <col min="15648" max="15650" width="5.625" style="2527" customWidth="1"/>
    <col min="15651" max="15651" width="14" style="2527" bestFit="1" customWidth="1"/>
    <col min="15652" max="15872" width="9" style="2527"/>
    <col min="15873" max="15873" width="1.625" style="2527" customWidth="1"/>
    <col min="15874" max="15874" width="2.625" style="2527" customWidth="1"/>
    <col min="15875" max="15875" width="12.625" style="2527" customWidth="1"/>
    <col min="15876" max="15876" width="30.625" style="2527" customWidth="1"/>
    <col min="15877" max="15877" width="8.625" style="2527" customWidth="1"/>
    <col min="15878" max="15879" width="6.625" style="2527" customWidth="1"/>
    <col min="15880" max="15880" width="8.625" style="2527" customWidth="1"/>
    <col min="15881" max="15881" width="10.625" style="2527" customWidth="1"/>
    <col min="15882" max="15882" width="10.875" style="2527" customWidth="1"/>
    <col min="15883" max="15883" width="1.625" style="2527" customWidth="1"/>
    <col min="15884" max="15885" width="9" style="2527"/>
    <col min="15886" max="15898" width="10.625" style="2527" customWidth="1"/>
    <col min="15899" max="15899" width="9" style="2527"/>
    <col min="15900" max="15900" width="3.625" style="2527" customWidth="1"/>
    <col min="15901" max="15901" width="15.625" style="2527" customWidth="1"/>
    <col min="15902" max="15902" width="10.625" style="2527" customWidth="1"/>
    <col min="15903" max="15903" width="8.75" style="2527" bestFit="1" customWidth="1"/>
    <col min="15904" max="15906" width="5.625" style="2527" customWidth="1"/>
    <col min="15907" max="15907" width="14" style="2527" bestFit="1" customWidth="1"/>
    <col min="15908" max="16128" width="9" style="2527"/>
    <col min="16129" max="16129" width="1.625" style="2527" customWidth="1"/>
    <col min="16130" max="16130" width="2.625" style="2527" customWidth="1"/>
    <col min="16131" max="16131" width="12.625" style="2527" customWidth="1"/>
    <col min="16132" max="16132" width="30.625" style="2527" customWidth="1"/>
    <col min="16133" max="16133" width="8.625" style="2527" customWidth="1"/>
    <col min="16134" max="16135" width="6.625" style="2527" customWidth="1"/>
    <col min="16136" max="16136" width="8.625" style="2527" customWidth="1"/>
    <col min="16137" max="16137" width="10.625" style="2527" customWidth="1"/>
    <col min="16138" max="16138" width="10.875" style="2527" customWidth="1"/>
    <col min="16139" max="16139" width="1.625" style="2527" customWidth="1"/>
    <col min="16140" max="16141" width="9" style="2527"/>
    <col min="16142" max="16154" width="10.625" style="2527" customWidth="1"/>
    <col min="16155" max="16155" width="9" style="2527"/>
    <col min="16156" max="16156" width="3.625" style="2527" customWidth="1"/>
    <col min="16157" max="16157" width="15.625" style="2527" customWidth="1"/>
    <col min="16158" max="16158" width="10.625" style="2527" customWidth="1"/>
    <col min="16159" max="16159" width="8.75" style="2527" bestFit="1" customWidth="1"/>
    <col min="16160" max="16162" width="5.625" style="2527" customWidth="1"/>
    <col min="16163" max="16163" width="14" style="2527" bestFit="1" customWidth="1"/>
    <col min="16164" max="16384" width="9" style="2527"/>
  </cols>
  <sheetData>
    <row r="1" spans="2:35" ht="9" customHeight="1"/>
    <row r="2" spans="2:35" ht="21" customHeight="1" thickBot="1">
      <c r="B2" s="2903" t="s">
        <v>1866</v>
      </c>
      <c r="C2" s="2904"/>
      <c r="D2" s="2904"/>
      <c r="E2" s="2904"/>
      <c r="F2" s="2904"/>
      <c r="G2" s="2905">
        <f>メイン!H39</f>
        <v>41828</v>
      </c>
      <c r="H2" s="2906"/>
      <c r="I2" s="2906"/>
      <c r="J2" s="2907"/>
    </row>
    <row r="3" spans="2:35" ht="21" customHeight="1" thickBot="1">
      <c r="B3" s="2908" t="s">
        <v>1867</v>
      </c>
      <c r="C3" s="2909"/>
      <c r="D3" s="2528" t="str">
        <f>メイン!G11</f>
        <v>■建物名称</v>
      </c>
      <c r="E3" s="2529"/>
      <c r="F3" s="2529"/>
      <c r="G3" s="2529"/>
      <c r="H3" s="2529"/>
      <c r="I3" s="2529"/>
      <c r="J3" s="2530"/>
    </row>
    <row r="4" spans="2:35" ht="6" customHeight="1">
      <c r="B4" s="2531"/>
      <c r="C4" s="2531"/>
      <c r="D4" s="2531"/>
      <c r="E4" s="2531"/>
      <c r="F4" s="2531"/>
      <c r="G4" s="2531"/>
      <c r="H4" s="2531"/>
      <c r="I4" s="2531"/>
      <c r="J4" s="2532"/>
    </row>
    <row r="5" spans="2:35" ht="18" customHeight="1">
      <c r="B5" s="2533"/>
      <c r="C5" s="850" t="s">
        <v>961</v>
      </c>
      <c r="D5" s="2534" t="str">
        <f>メイン!C5</f>
        <v>CASBEE-BD_RN_2014(v.2.0)</v>
      </c>
      <c r="G5" s="850" t="s">
        <v>466</v>
      </c>
      <c r="H5" s="1265" t="str">
        <f>メイン!C6</f>
        <v>CASBEE-建築(改修)2014年版</v>
      </c>
      <c r="I5" s="1265"/>
      <c r="J5" s="1265"/>
    </row>
    <row r="6" spans="2:35" ht="6" customHeight="1" thickBot="1">
      <c r="B6" s="2532"/>
      <c r="C6" s="2532"/>
      <c r="D6" s="2532"/>
      <c r="E6" s="2532"/>
      <c r="F6" s="2532"/>
      <c r="G6" s="2532"/>
      <c r="H6" s="2532"/>
      <c r="I6" s="2532"/>
      <c r="J6" s="2532"/>
    </row>
    <row r="7" spans="2:35" ht="24" customHeight="1" thickBot="1">
      <c r="B7" s="2535" t="s">
        <v>1868</v>
      </c>
      <c r="C7" s="2536"/>
      <c r="D7" s="2537"/>
      <c r="E7" s="2537"/>
      <c r="F7" s="2538"/>
      <c r="G7" s="2537"/>
      <c r="H7" s="2538"/>
      <c r="I7" s="2539" t="s">
        <v>1869</v>
      </c>
      <c r="J7" s="2686">
        <f>ROUND(SUM(J10:J35),0)</f>
        <v>77</v>
      </c>
      <c r="O7" s="2540" t="s">
        <v>1932</v>
      </c>
      <c r="P7" s="2541"/>
      <c r="Q7" s="2540" t="s">
        <v>1933</v>
      </c>
      <c r="R7" s="2541"/>
      <c r="S7" s="2542" t="s">
        <v>1870</v>
      </c>
      <c r="T7" s="2543"/>
      <c r="V7" s="2527" t="s">
        <v>1871</v>
      </c>
      <c r="AC7" s="2544" t="s">
        <v>1934</v>
      </c>
      <c r="AD7" s="2545"/>
      <c r="AE7" s="2545"/>
      <c r="AF7" s="2545"/>
      <c r="AG7" s="2545"/>
      <c r="AH7" s="2545"/>
      <c r="AI7" s="2545"/>
    </row>
    <row r="8" spans="2:35" ht="27" customHeight="1" thickBot="1">
      <c r="B8" s="2546" t="s">
        <v>1872</v>
      </c>
      <c r="C8" s="2547"/>
      <c r="D8" s="2548"/>
      <c r="E8" s="2549"/>
      <c r="F8" s="2550"/>
      <c r="G8" s="2551"/>
      <c r="H8" s="2910" t="s">
        <v>1873</v>
      </c>
      <c r="I8" s="2910" t="s">
        <v>1874</v>
      </c>
      <c r="J8" s="2912" t="s">
        <v>1875</v>
      </c>
      <c r="O8" s="2541" t="s">
        <v>1405</v>
      </c>
      <c r="P8" s="2541">
        <f>'改修後の重み（重点項目）'!D8</f>
        <v>1</v>
      </c>
      <c r="Q8" s="2541" t="s">
        <v>1405</v>
      </c>
      <c r="R8" s="2541">
        <f>'改修後の重み（重点項目）'!E8</f>
        <v>0</v>
      </c>
      <c r="S8" s="2541" t="s">
        <v>1405</v>
      </c>
      <c r="T8" s="2541">
        <f>SUM(P8,R8)</f>
        <v>1</v>
      </c>
    </row>
    <row r="9" spans="2:35" ht="27" customHeight="1" thickBot="1">
      <c r="B9" s="2552"/>
      <c r="C9" s="2553" t="s">
        <v>1935</v>
      </c>
      <c r="D9" s="2554"/>
      <c r="E9" s="2555"/>
      <c r="F9" s="2556" t="s">
        <v>1936</v>
      </c>
      <c r="G9" s="2557" t="s">
        <v>1876</v>
      </c>
      <c r="H9" s="2911"/>
      <c r="I9" s="2911"/>
      <c r="J9" s="2913"/>
      <c r="O9" s="2541" t="s">
        <v>1936</v>
      </c>
      <c r="P9" s="2541" t="s">
        <v>1877</v>
      </c>
      <c r="Q9" s="2541" t="s">
        <v>1936</v>
      </c>
      <c r="R9" s="2541" t="s">
        <v>1877</v>
      </c>
      <c r="S9" s="2541" t="s">
        <v>1936</v>
      </c>
      <c r="T9" s="2541" t="s">
        <v>1877</v>
      </c>
    </row>
    <row r="10" spans="2:35" ht="24" customHeight="1">
      <c r="B10" s="2558" t="s">
        <v>1957</v>
      </c>
      <c r="C10" s="2559" t="s">
        <v>1878</v>
      </c>
      <c r="D10" s="2560"/>
      <c r="E10" s="2560"/>
      <c r="F10" s="2561"/>
      <c r="G10" s="2562"/>
      <c r="H10" s="2895">
        <f>ROUNDDOWN((G11*F11+G12*F12+G13*F13+G14*F14+G15*F15+G16*F16+G17*F17+G18*F18)*(5/4)*20,1)</f>
        <v>80.3</v>
      </c>
      <c r="I10" s="2898">
        <v>0.4</v>
      </c>
      <c r="J10" s="2898">
        <f>H10*I10</f>
        <v>32.119999999999997</v>
      </c>
      <c r="O10" s="2563"/>
      <c r="P10" s="2563"/>
      <c r="Q10" s="2563"/>
      <c r="R10" s="2563"/>
      <c r="S10" s="2563"/>
      <c r="T10" s="2563"/>
      <c r="V10" s="2540"/>
      <c r="W10" s="2564" t="s">
        <v>1879</v>
      </c>
      <c r="X10" s="2564" t="str">
        <f>AB11&amp;AC11</f>
        <v>①</v>
      </c>
      <c r="Y10" s="2565" t="str">
        <f>AB12&amp;AC12</f>
        <v>②</v>
      </c>
      <c r="Z10" s="2565" t="str">
        <f>AB13&amp;AC13</f>
        <v>③</v>
      </c>
      <c r="AA10" s="2564" t="str">
        <f>AB14&amp;AC14</f>
        <v>④</v>
      </c>
      <c r="AC10" s="2566"/>
      <c r="AD10" s="2567" t="s">
        <v>991</v>
      </c>
      <c r="AE10" s="2568" t="s">
        <v>1938</v>
      </c>
      <c r="AF10" s="2568">
        <v>4</v>
      </c>
      <c r="AG10" s="2567" t="s">
        <v>1909</v>
      </c>
      <c r="AH10" s="2568">
        <v>2</v>
      </c>
      <c r="AI10" s="2569" t="s">
        <v>1939</v>
      </c>
    </row>
    <row r="11" spans="2:35" ht="21" customHeight="1">
      <c r="B11" s="2901"/>
      <c r="C11" s="2679" t="s">
        <v>2029</v>
      </c>
      <c r="D11" s="2571" t="s">
        <v>650</v>
      </c>
      <c r="E11" s="2572"/>
      <c r="F11" s="2573">
        <f>スコア表示!M24</f>
        <v>3</v>
      </c>
      <c r="G11" s="2574">
        <f t="shared" ref="G11:G35" si="0">T11</f>
        <v>7.1428571428571425E-2</v>
      </c>
      <c r="H11" s="2896"/>
      <c r="I11" s="2899"/>
      <c r="J11" s="2899"/>
      <c r="O11" s="2540">
        <f>スコア表示!AG24</f>
        <v>3</v>
      </c>
      <c r="P11" s="2540">
        <f>'改修後の重み（重点項目）'!D11</f>
        <v>7.1428571428571425E-2</v>
      </c>
      <c r="Q11" s="2540">
        <f>スコア表示!AK24</f>
        <v>3</v>
      </c>
      <c r="R11" s="2540">
        <f>'改修後の重み（重点項目）'!E11</f>
        <v>0.4</v>
      </c>
      <c r="S11" s="2540">
        <f t="shared" ref="S11:S18" si="1">IF(O11=0,Q11,IF(Q11=0,O11,O11*P$8+Q11*R$8))</f>
        <v>3</v>
      </c>
      <c r="T11" s="2540">
        <f t="shared" ref="T11:T18" si="2">P11</f>
        <v>7.1428571428571425E-2</v>
      </c>
      <c r="V11" s="2540" t="s">
        <v>1940</v>
      </c>
      <c r="W11" s="2575">
        <f>J7</f>
        <v>77</v>
      </c>
      <c r="X11" s="2576">
        <f>H10</f>
        <v>80.3</v>
      </c>
      <c r="Y11" s="2576">
        <f>H19</f>
        <v>75</v>
      </c>
      <c r="Z11" s="2576">
        <f>H25</f>
        <v>75</v>
      </c>
      <c r="AA11" s="2576">
        <f>H30</f>
        <v>75</v>
      </c>
      <c r="AC11" s="2577" t="s">
        <v>1941</v>
      </c>
      <c r="AD11" s="2578" t="s">
        <v>1880</v>
      </c>
      <c r="AE11" s="2579">
        <v>125</v>
      </c>
      <c r="AF11" s="2579">
        <v>100</v>
      </c>
      <c r="AG11" s="2566">
        <v>75</v>
      </c>
      <c r="AH11" s="2579">
        <v>50</v>
      </c>
      <c r="AI11" s="2580">
        <f>X11</f>
        <v>80.3</v>
      </c>
    </row>
    <row r="12" spans="2:35" ht="21" customHeight="1">
      <c r="B12" s="2901"/>
      <c r="C12" s="2570" t="s">
        <v>1963</v>
      </c>
      <c r="D12" s="2571" t="s">
        <v>1881</v>
      </c>
      <c r="E12" s="2572"/>
      <c r="F12" s="2573">
        <f>スコア表示!M38</f>
        <v>3</v>
      </c>
      <c r="G12" s="2574">
        <f t="shared" si="0"/>
        <v>7.1428571428571425E-2</v>
      </c>
      <c r="H12" s="2896"/>
      <c r="I12" s="2899"/>
      <c r="J12" s="2899"/>
      <c r="O12" s="2540">
        <f>スコア表示!AG38</f>
        <v>3</v>
      </c>
      <c r="P12" s="2540">
        <f>'改修後の重み（重点項目）'!D12</f>
        <v>7.1428571428571425E-2</v>
      </c>
      <c r="Q12" s="2540">
        <f>スコア表示!AK38</f>
        <v>3</v>
      </c>
      <c r="R12" s="2540">
        <f>'改修後の重み（重点項目）'!E12</f>
        <v>0.3</v>
      </c>
      <c r="S12" s="2540">
        <f t="shared" si="1"/>
        <v>3</v>
      </c>
      <c r="T12" s="2540">
        <f t="shared" si="2"/>
        <v>7.1428571428571425E-2</v>
      </c>
      <c r="V12" s="2540" t="s">
        <v>1882</v>
      </c>
      <c r="W12" s="2575">
        <f>IF(W11&gt;100,0,100-W11)</f>
        <v>23</v>
      </c>
      <c r="X12" s="2575">
        <f>IF(X11&gt;100,0,100-X11)</f>
        <v>19.700000000000003</v>
      </c>
      <c r="Y12" s="2575">
        <f>IF(Y11&gt;100,0,100-Y11)</f>
        <v>25</v>
      </c>
      <c r="Z12" s="2575">
        <f>IF(Z11&gt;100,0,100-Z11)</f>
        <v>25</v>
      </c>
      <c r="AA12" s="2575">
        <f>IF(AA11&gt;100,0,100-AA11)</f>
        <v>25</v>
      </c>
      <c r="AC12" s="2577" t="s">
        <v>1942</v>
      </c>
      <c r="AD12" s="2581" t="s">
        <v>1884</v>
      </c>
      <c r="AE12" s="2579">
        <v>125</v>
      </c>
      <c r="AF12" s="2579">
        <v>100</v>
      </c>
      <c r="AG12" s="2566">
        <v>75</v>
      </c>
      <c r="AH12" s="2579">
        <v>50</v>
      </c>
      <c r="AI12" s="2580">
        <f>Y11</f>
        <v>75</v>
      </c>
    </row>
    <row r="13" spans="2:35" ht="21" customHeight="1">
      <c r="B13" s="2901"/>
      <c r="C13" s="2679" t="s">
        <v>2030</v>
      </c>
      <c r="D13" s="2571" t="s">
        <v>1885</v>
      </c>
      <c r="E13" s="2572"/>
      <c r="F13" s="2573">
        <f>スコア表示!M41</f>
        <v>3</v>
      </c>
      <c r="G13" s="2574">
        <f t="shared" si="0"/>
        <v>7.1428571428571425E-2</v>
      </c>
      <c r="H13" s="2896"/>
      <c r="I13" s="2899"/>
      <c r="J13" s="2899"/>
      <c r="O13" s="2540">
        <f>スコア表示!AG41</f>
        <v>3</v>
      </c>
      <c r="P13" s="2540">
        <f>'改修後の重み（重点項目）'!D13</f>
        <v>7.1428571428571425E-2</v>
      </c>
      <c r="Q13" s="2540">
        <f>スコア表示!AK41</f>
        <v>3</v>
      </c>
      <c r="R13" s="2540">
        <f>'改修後の重み（重点項目）'!E13</f>
        <v>0.3</v>
      </c>
      <c r="S13" s="2540">
        <f t="shared" si="1"/>
        <v>3</v>
      </c>
      <c r="T13" s="2540">
        <f t="shared" si="2"/>
        <v>7.1428571428571425E-2</v>
      </c>
      <c r="V13" s="2540" t="s">
        <v>1944</v>
      </c>
      <c r="W13" s="2575">
        <f>IF(W11&lt;40,1,IF(W11&lt;60,2,IF(W11&lt;80,3,IF(W11&lt;100,4,5))))/5</f>
        <v>0.6</v>
      </c>
      <c r="X13" s="2575">
        <f>IF(X11&lt;40,1,IF(X11&lt;60,2,IF(X11&lt;80,3,IF(X11&lt;100,4,5))))/5</f>
        <v>0.8</v>
      </c>
      <c r="Y13" s="2575">
        <f>IF(Y11&lt;40,1,IF(Y11&lt;60,2,IF(Y11&lt;80,3,IF(Y11&lt;100,4,5))))/5</f>
        <v>0.6</v>
      </c>
      <c r="Z13" s="2575">
        <f>IF(Z11&lt;40,1,IF(Z11&lt;60,2,IF(Z11&lt;80,3,IF(Z11&lt;100,4,5))))/5</f>
        <v>0.6</v>
      </c>
      <c r="AA13" s="2575">
        <f>IF(AA11&lt;40,1,IF(AA11&lt;60,2,IF(AA11&lt;80,3,IF(AA11&lt;100,4,5))))/5</f>
        <v>0.6</v>
      </c>
      <c r="AC13" s="2577" t="s">
        <v>1945</v>
      </c>
      <c r="AD13" s="2581" t="s">
        <v>1886</v>
      </c>
      <c r="AE13" s="2579">
        <v>125</v>
      </c>
      <c r="AF13" s="2579">
        <v>100</v>
      </c>
      <c r="AG13" s="2566">
        <v>75</v>
      </c>
      <c r="AH13" s="2579">
        <v>50</v>
      </c>
      <c r="AI13" s="2580">
        <f>Z11</f>
        <v>75</v>
      </c>
    </row>
    <row r="14" spans="2:35" ht="21" customHeight="1">
      <c r="B14" s="2901"/>
      <c r="C14" s="2570" t="s">
        <v>1946</v>
      </c>
      <c r="D14" s="2680" t="s">
        <v>2031</v>
      </c>
      <c r="E14" s="2572"/>
      <c r="F14" s="2573">
        <f>スコア表示!M118</f>
        <v>4</v>
      </c>
      <c r="G14" s="2574">
        <f t="shared" si="0"/>
        <v>0.2142857142857143</v>
      </c>
      <c r="H14" s="2896"/>
      <c r="I14" s="2899"/>
      <c r="J14" s="2899"/>
      <c r="O14" s="2540">
        <f>スコア表示!AG118</f>
        <v>4</v>
      </c>
      <c r="P14" s="2540">
        <f>'改修後の重み（重点項目）'!D14</f>
        <v>0.2142857142857143</v>
      </c>
      <c r="Q14" s="2540">
        <f>スコア表示!AK118</f>
        <v>0</v>
      </c>
      <c r="R14" s="2540">
        <f>'改修後の重み（重点項目）'!E14</f>
        <v>0</v>
      </c>
      <c r="S14" s="2540">
        <f t="shared" si="1"/>
        <v>4</v>
      </c>
      <c r="T14" s="2540">
        <f t="shared" si="2"/>
        <v>0.2142857142857143</v>
      </c>
      <c r="V14" s="2540" t="s">
        <v>1882</v>
      </c>
      <c r="W14" s="2575">
        <f>1-W13</f>
        <v>0.4</v>
      </c>
      <c r="X14" s="2575">
        <f>1-X13</f>
        <v>0.19999999999999996</v>
      </c>
      <c r="Y14" s="2575">
        <f>1-Y13</f>
        <v>0.4</v>
      </c>
      <c r="Z14" s="2575">
        <f>1-Z13</f>
        <v>0.4</v>
      </c>
      <c r="AA14" s="2575">
        <f>1-AA13</f>
        <v>0.4</v>
      </c>
      <c r="AC14" s="2577" t="s">
        <v>1947</v>
      </c>
      <c r="AD14" s="2578" t="s">
        <v>1887</v>
      </c>
      <c r="AE14" s="2579">
        <v>125</v>
      </c>
      <c r="AF14" s="2579">
        <v>100</v>
      </c>
      <c r="AG14" s="2566">
        <v>75</v>
      </c>
      <c r="AH14" s="2579">
        <v>50</v>
      </c>
      <c r="AI14" s="2580">
        <f>AA11</f>
        <v>75</v>
      </c>
    </row>
    <row r="15" spans="2:35" ht="21" customHeight="1">
      <c r="B15" s="2901"/>
      <c r="C15" s="2582" t="s">
        <v>1965</v>
      </c>
      <c r="D15" s="2583" t="s">
        <v>1966</v>
      </c>
      <c r="E15" s="2584"/>
      <c r="F15" s="2573">
        <f>スコア表示!M119</f>
        <v>3</v>
      </c>
      <c r="G15" s="2585">
        <f t="shared" si="0"/>
        <v>0.2857142857142857</v>
      </c>
      <c r="H15" s="2896"/>
      <c r="I15" s="2899"/>
      <c r="J15" s="2899"/>
      <c r="O15" s="2540">
        <f>スコア表示!AG119</f>
        <v>3</v>
      </c>
      <c r="P15" s="2540">
        <f>'改修後の重み（重点項目）'!D15</f>
        <v>0.2857142857142857</v>
      </c>
      <c r="Q15" s="2540">
        <f>スコア表示!AK119</f>
        <v>0</v>
      </c>
      <c r="R15" s="2540">
        <f>'改修後の重み（重点項目）'!E15</f>
        <v>0</v>
      </c>
      <c r="S15" s="2540">
        <f t="shared" si="1"/>
        <v>3</v>
      </c>
      <c r="T15" s="2540">
        <f t="shared" si="2"/>
        <v>0.2857142857142857</v>
      </c>
    </row>
    <row r="16" spans="2:35" ht="21" customHeight="1">
      <c r="B16" s="2901"/>
      <c r="C16" s="2582" t="s">
        <v>1967</v>
      </c>
      <c r="D16" s="2583" t="s">
        <v>1968</v>
      </c>
      <c r="E16" s="2584"/>
      <c r="F16" s="2573">
        <f>スコア表示!M124</f>
        <v>4</v>
      </c>
      <c r="G16" s="2585">
        <f t="shared" si="0"/>
        <v>0</v>
      </c>
      <c r="H16" s="2896"/>
      <c r="I16" s="2899"/>
      <c r="J16" s="2899"/>
      <c r="L16" s="2586"/>
      <c r="O16" s="2540">
        <f>スコア表示!AG124</f>
        <v>4</v>
      </c>
      <c r="P16" s="2540">
        <f>'改修後の重み（重点項目）'!D16</f>
        <v>0</v>
      </c>
      <c r="Q16" s="2540">
        <f>スコア表示!AK124</f>
        <v>0</v>
      </c>
      <c r="R16" s="2540">
        <f>'改修後の重み（重点項目）'!E16</f>
        <v>0</v>
      </c>
      <c r="S16" s="2540">
        <f t="shared" si="1"/>
        <v>4</v>
      </c>
      <c r="T16" s="2540">
        <f t="shared" si="2"/>
        <v>0</v>
      </c>
    </row>
    <row r="17" spans="2:20" ht="21" customHeight="1">
      <c r="B17" s="2901"/>
      <c r="C17" s="2582" t="s">
        <v>1969</v>
      </c>
      <c r="D17" s="2583" t="s">
        <v>1889</v>
      </c>
      <c r="E17" s="2584"/>
      <c r="F17" s="2573">
        <f>スコア表示!M147</f>
        <v>3</v>
      </c>
      <c r="G17" s="2585">
        <f t="shared" si="0"/>
        <v>0.14285714285714285</v>
      </c>
      <c r="H17" s="2896"/>
      <c r="I17" s="2899"/>
      <c r="J17" s="2899"/>
      <c r="L17" s="2587" t="s">
        <v>262</v>
      </c>
      <c r="O17" s="2540">
        <f>スコア表示!AG143</f>
        <v>2.9999999999999996</v>
      </c>
      <c r="P17" s="2540">
        <f>'改修後の重み（重点項目）'!D17</f>
        <v>0.14285714285714285</v>
      </c>
      <c r="Q17" s="2540">
        <f>スコア表示!AK143</f>
        <v>0</v>
      </c>
      <c r="R17" s="2540">
        <f>'改修後の重み（重点項目）'!E17</f>
        <v>0</v>
      </c>
      <c r="S17" s="2540">
        <f t="shared" si="1"/>
        <v>2.9999999999999996</v>
      </c>
      <c r="T17" s="2540">
        <f t="shared" si="2"/>
        <v>0.14285714285714285</v>
      </c>
    </row>
    <row r="18" spans="2:20" ht="21" customHeight="1" thickBot="1">
      <c r="B18" s="2902"/>
      <c r="C18" s="2588" t="s">
        <v>1970</v>
      </c>
      <c r="D18" s="2589" t="s">
        <v>1890</v>
      </c>
      <c r="E18" s="2590"/>
      <c r="F18" s="2591">
        <f>スコア表示!M167</f>
        <v>3</v>
      </c>
      <c r="G18" s="2592">
        <f t="shared" si="0"/>
        <v>0.14285714285714285</v>
      </c>
      <c r="H18" s="2897"/>
      <c r="I18" s="2900"/>
      <c r="J18" s="2900"/>
      <c r="L18" s="2593" t="str">
        <f>IF(SUM(G11:G18)=1,"OK","NG")</f>
        <v>OK</v>
      </c>
      <c r="O18" s="2540">
        <f>スコア表示!AG163</f>
        <v>3</v>
      </c>
      <c r="P18" s="2540">
        <f>'改修後の重み（重点項目）'!D18</f>
        <v>0.14285714285714285</v>
      </c>
      <c r="Q18" s="2540">
        <f>スコア表示!AK163</f>
        <v>0</v>
      </c>
      <c r="R18" s="2540">
        <f>'改修後の重み（重点項目）'!E18</f>
        <v>0</v>
      </c>
      <c r="S18" s="2540">
        <f t="shared" si="1"/>
        <v>3</v>
      </c>
      <c r="T18" s="2540">
        <f t="shared" si="2"/>
        <v>0.14285714285714285</v>
      </c>
    </row>
    <row r="19" spans="2:20" ht="24" customHeight="1">
      <c r="B19" s="2558" t="s">
        <v>1942</v>
      </c>
      <c r="C19" s="2559" t="s">
        <v>1891</v>
      </c>
      <c r="D19" s="2594"/>
      <c r="E19" s="2594"/>
      <c r="F19" s="2561"/>
      <c r="G19" s="2562"/>
      <c r="H19" s="2895">
        <f>ROUNDDOWN((G20*F20+G21*F21+G22*F22+G23*F23+G24*F24)*(5/4)*20,1)</f>
        <v>75</v>
      </c>
      <c r="I19" s="2898">
        <v>0.2</v>
      </c>
      <c r="J19" s="2898">
        <f>H19*I19</f>
        <v>15</v>
      </c>
      <c r="O19" s="2563"/>
      <c r="P19" s="2563"/>
      <c r="Q19" s="2563"/>
      <c r="R19" s="2563"/>
      <c r="S19" s="2563"/>
      <c r="T19" s="2563"/>
    </row>
    <row r="20" spans="2:20" ht="21" customHeight="1">
      <c r="B20" s="2901"/>
      <c r="C20" s="2570" t="s">
        <v>1971</v>
      </c>
      <c r="D20" s="2571" t="s">
        <v>714</v>
      </c>
      <c r="E20" s="2572"/>
      <c r="F20" s="2573">
        <f>スコア表示!M66</f>
        <v>3</v>
      </c>
      <c r="G20" s="2574">
        <f t="shared" si="0"/>
        <v>0.25</v>
      </c>
      <c r="H20" s="2896"/>
      <c r="I20" s="2899"/>
      <c r="J20" s="2899"/>
      <c r="O20" s="2540">
        <f>スコア表示!AG66</f>
        <v>3</v>
      </c>
      <c r="P20" s="2540">
        <f>'改修後の重み（重点項目）'!D20</f>
        <v>0.25</v>
      </c>
      <c r="Q20" s="2540">
        <f>スコア表示!AK66</f>
        <v>0</v>
      </c>
      <c r="R20" s="2540">
        <f>'改修後の重み（重点項目）'!E20</f>
        <v>0</v>
      </c>
      <c r="S20" s="2540">
        <f>IF(O20=0,Q20,IF(Q20=0,O20,O20*P$8+Q20*R$8))</f>
        <v>3</v>
      </c>
      <c r="T20" s="2540">
        <f>P20</f>
        <v>0.25</v>
      </c>
    </row>
    <row r="21" spans="2:20" ht="21" customHeight="1">
      <c r="B21" s="2901"/>
      <c r="C21" s="2570" t="s">
        <v>1972</v>
      </c>
      <c r="D21" s="2571" t="s">
        <v>731</v>
      </c>
      <c r="E21" s="2572"/>
      <c r="F21" s="2595">
        <f>スコア表示!M77</f>
        <v>3</v>
      </c>
      <c r="G21" s="2574">
        <f t="shared" si="0"/>
        <v>0.25</v>
      </c>
      <c r="H21" s="2896"/>
      <c r="I21" s="2899"/>
      <c r="J21" s="2899"/>
      <c r="O21" s="2540">
        <f>スコア表示!AG77</f>
        <v>3</v>
      </c>
      <c r="P21" s="2540">
        <f>'改修後の重み（重点項目）'!D21</f>
        <v>0.25</v>
      </c>
      <c r="Q21" s="2540">
        <f>スコア表示!AK77</f>
        <v>0</v>
      </c>
      <c r="R21" s="2540">
        <f>'改修後の重み（重点項目）'!E21</f>
        <v>0</v>
      </c>
      <c r="S21" s="2540">
        <f>IF(O21=0,Q21,IF(Q21=0,O21,O21*P$8+Q21*R$8))</f>
        <v>3</v>
      </c>
      <c r="T21" s="2540">
        <f>P21</f>
        <v>0.25</v>
      </c>
    </row>
    <row r="22" spans="2:20" ht="21" customHeight="1">
      <c r="B22" s="2901"/>
      <c r="C22" s="2582" t="s">
        <v>1973</v>
      </c>
      <c r="D22" s="2583" t="s">
        <v>1893</v>
      </c>
      <c r="E22" s="2584"/>
      <c r="F22" s="2596">
        <f>スコア表示!M110</f>
        <v>3</v>
      </c>
      <c r="G22" s="2585">
        <f t="shared" si="0"/>
        <v>0.15</v>
      </c>
      <c r="H22" s="2896"/>
      <c r="I22" s="2899"/>
      <c r="J22" s="2899"/>
      <c r="L22" s="2586"/>
      <c r="O22" s="2540">
        <f>スコア表示!AG110</f>
        <v>3</v>
      </c>
      <c r="P22" s="2540">
        <f>'改修後の重み（重点項目）'!D22</f>
        <v>0.15</v>
      </c>
      <c r="Q22" s="2540">
        <f>スコア表示!AK110</f>
        <v>0</v>
      </c>
      <c r="R22" s="2540">
        <f>'改修後の重み（重点項目）'!E22</f>
        <v>0</v>
      </c>
      <c r="S22" s="2540">
        <f>IF(O22=0,Q22,IF(Q22=0,O22,O22*P$8+Q22*R$8))</f>
        <v>3</v>
      </c>
      <c r="T22" s="2540">
        <f>P22</f>
        <v>0.15</v>
      </c>
    </row>
    <row r="23" spans="2:20" ht="21" customHeight="1">
      <c r="B23" s="2901"/>
      <c r="C23" s="2582" t="s">
        <v>1974</v>
      </c>
      <c r="D23" s="2583" t="s">
        <v>1975</v>
      </c>
      <c r="E23" s="2584"/>
      <c r="F23" s="2596">
        <f>スコア表示!M112</f>
        <v>3</v>
      </c>
      <c r="G23" s="2585">
        <f t="shared" si="0"/>
        <v>0.19999999999999998</v>
      </c>
      <c r="H23" s="2896"/>
      <c r="I23" s="2899"/>
      <c r="J23" s="2899"/>
      <c r="L23" s="2587" t="s">
        <v>262</v>
      </c>
      <c r="O23" s="2540">
        <f>スコア表示!AG112</f>
        <v>3</v>
      </c>
      <c r="P23" s="2540">
        <f>'改修後の重み（重点項目）'!D23</f>
        <v>0.19999999999999998</v>
      </c>
      <c r="Q23" s="2540">
        <f>スコア表示!AK112</f>
        <v>0</v>
      </c>
      <c r="R23" s="2540">
        <f>'改修後の重み（重点項目）'!E23</f>
        <v>0</v>
      </c>
      <c r="S23" s="2540">
        <f>IF(O23=0,Q23,IF(Q23=0,O23,O23*P$8+Q23*R$8))</f>
        <v>3</v>
      </c>
      <c r="T23" s="2540">
        <f>P23</f>
        <v>0.19999999999999998</v>
      </c>
    </row>
    <row r="24" spans="2:20" ht="21" customHeight="1" thickBot="1">
      <c r="B24" s="2902"/>
      <c r="C24" s="2582" t="s">
        <v>1976</v>
      </c>
      <c r="D24" s="2583" t="s">
        <v>1894</v>
      </c>
      <c r="E24" s="2584"/>
      <c r="F24" s="2596">
        <f>スコア表示!M163</f>
        <v>3</v>
      </c>
      <c r="G24" s="2585">
        <f t="shared" si="0"/>
        <v>0.15</v>
      </c>
      <c r="H24" s="2897"/>
      <c r="I24" s="2900"/>
      <c r="J24" s="2900"/>
      <c r="L24" s="2593" t="str">
        <f>IF(SUM(G20:G24)=1,"OK","NG")</f>
        <v>OK</v>
      </c>
      <c r="O24" s="2540">
        <f>スコア表示!AG159</f>
        <v>0</v>
      </c>
      <c r="P24" s="2540">
        <f>'改修後の重み（重点項目）'!D24</f>
        <v>0.15</v>
      </c>
      <c r="Q24" s="2540">
        <f>スコア表示!AK159</f>
        <v>0</v>
      </c>
      <c r="R24" s="2540">
        <f>'改修後の重み（重点項目）'!E24</f>
        <v>0</v>
      </c>
      <c r="S24" s="2540">
        <f>IF(O24=0,Q24,IF(Q24=0,O24,O24*P$8+Q24*R$8))</f>
        <v>0</v>
      </c>
      <c r="T24" s="2540">
        <f>P24</f>
        <v>0.15</v>
      </c>
    </row>
    <row r="25" spans="2:20" ht="24" customHeight="1">
      <c r="B25" s="2558" t="s">
        <v>1948</v>
      </c>
      <c r="C25" s="2559" t="s">
        <v>1895</v>
      </c>
      <c r="D25" s="2594"/>
      <c r="E25" s="2594"/>
      <c r="F25" s="2561"/>
      <c r="G25" s="2562"/>
      <c r="H25" s="2895">
        <f>ROUNDDOWN((G26*F26+G27*F27+G28*F28+G29*F29)*(5/4)*20,1)</f>
        <v>75</v>
      </c>
      <c r="I25" s="2898">
        <v>0.2</v>
      </c>
      <c r="J25" s="2898">
        <f>H25*I25</f>
        <v>15</v>
      </c>
      <c r="O25" s="2563"/>
      <c r="P25" s="2563"/>
      <c r="Q25" s="2563"/>
      <c r="R25" s="2563"/>
      <c r="S25" s="2563"/>
      <c r="T25" s="2563"/>
    </row>
    <row r="26" spans="2:20" ht="21" customHeight="1">
      <c r="B26" s="2901"/>
      <c r="C26" s="2572" t="s">
        <v>1896</v>
      </c>
      <c r="D26" s="2571" t="s">
        <v>1897</v>
      </c>
      <c r="E26" s="2572"/>
      <c r="F26" s="2573">
        <f>スコア表示!M111</f>
        <v>3</v>
      </c>
      <c r="G26" s="2574">
        <f t="shared" si="0"/>
        <v>0.5</v>
      </c>
      <c r="H26" s="2896"/>
      <c r="I26" s="2899"/>
      <c r="J26" s="2899"/>
      <c r="O26" s="2540">
        <f>スコア表示!AG111</f>
        <v>3</v>
      </c>
      <c r="P26" s="2540">
        <f>'改修後の重み（重点項目）'!D26</f>
        <v>0.5</v>
      </c>
      <c r="Q26" s="2540">
        <f>スコア表示!AK111</f>
        <v>0</v>
      </c>
      <c r="R26" s="2540">
        <f>'改修後の重み（重点項目）'!E26</f>
        <v>0</v>
      </c>
      <c r="S26" s="2540">
        <f>IF(O26=0,Q26,IF(Q26=0,O26,O26*P$8+Q26*R$8))</f>
        <v>3</v>
      </c>
      <c r="T26" s="2540">
        <f>P26</f>
        <v>0.5</v>
      </c>
    </row>
    <row r="27" spans="2:20" ht="21" customHeight="1">
      <c r="B27" s="2901"/>
      <c r="C27" s="2584" t="s">
        <v>1977</v>
      </c>
      <c r="D27" s="2583" t="s">
        <v>1898</v>
      </c>
      <c r="E27" s="2584"/>
      <c r="F27" s="2597">
        <f>スコア表示!M142</f>
        <v>3</v>
      </c>
      <c r="G27" s="2585">
        <f t="shared" si="0"/>
        <v>0</v>
      </c>
      <c r="H27" s="2896"/>
      <c r="I27" s="2899"/>
      <c r="J27" s="2899"/>
      <c r="O27" s="2540">
        <f>スコア表示!AG138</f>
        <v>0</v>
      </c>
      <c r="P27" s="2540">
        <f>'改修後の重み（重点項目）'!D27</f>
        <v>0</v>
      </c>
      <c r="Q27" s="2540">
        <f>スコア表示!AK138</f>
        <v>0</v>
      </c>
      <c r="R27" s="2540">
        <f>'改修後の重み（重点項目）'!E27</f>
        <v>0</v>
      </c>
      <c r="S27" s="2540">
        <f>IF(O27=0,Q27,IF(Q27=0,O27,O27*P$8+Q27*R$8))</f>
        <v>0</v>
      </c>
      <c r="T27" s="2540">
        <f>P27</f>
        <v>0</v>
      </c>
    </row>
    <row r="28" spans="2:20" ht="21" customHeight="1">
      <c r="B28" s="2901"/>
      <c r="C28" s="2584" t="s">
        <v>1978</v>
      </c>
      <c r="D28" s="2583" t="s">
        <v>1899</v>
      </c>
      <c r="E28" s="2598"/>
      <c r="F28" s="2599">
        <f>スコア表示!M144</f>
        <v>3</v>
      </c>
      <c r="G28" s="2600">
        <f t="shared" si="0"/>
        <v>0</v>
      </c>
      <c r="H28" s="2896"/>
      <c r="I28" s="2899"/>
      <c r="J28" s="2899"/>
      <c r="L28" s="2587" t="s">
        <v>262</v>
      </c>
      <c r="O28" s="2540">
        <f>スコア表示!AG140</f>
        <v>0</v>
      </c>
      <c r="P28" s="2540">
        <f>'改修後の重み（重点項目）'!D28</f>
        <v>0</v>
      </c>
      <c r="Q28" s="2540">
        <f>スコア表示!AK140</f>
        <v>0</v>
      </c>
      <c r="R28" s="2540">
        <f>'改修後の重み（重点項目）'!E28</f>
        <v>0</v>
      </c>
      <c r="S28" s="2540">
        <f>IF(O28=0,Q28,IF(Q28=0,O28,O28*P$8+Q28*R$8))</f>
        <v>0</v>
      </c>
      <c r="T28" s="2540">
        <f>P28</f>
        <v>0</v>
      </c>
    </row>
    <row r="29" spans="2:20" ht="21" customHeight="1" thickBot="1">
      <c r="B29" s="2902"/>
      <c r="C29" s="2601" t="s">
        <v>1949</v>
      </c>
      <c r="D29" s="2602" t="s">
        <v>1900</v>
      </c>
      <c r="E29" s="2601"/>
      <c r="F29" s="2603">
        <f>スコア表示!M147</f>
        <v>3</v>
      </c>
      <c r="G29" s="2604">
        <f t="shared" si="0"/>
        <v>0.5</v>
      </c>
      <c r="H29" s="2897"/>
      <c r="I29" s="2900"/>
      <c r="J29" s="2900"/>
      <c r="L29" s="2593" t="str">
        <f>IF(SUM(G26:G29)=1,"OK","NG")</f>
        <v>OK</v>
      </c>
      <c r="O29" s="2540">
        <f>スコア表示!AG147</f>
        <v>3</v>
      </c>
      <c r="P29" s="2540">
        <f>'改修後の重み（重点項目）'!D29</f>
        <v>0.5</v>
      </c>
      <c r="Q29" s="2540">
        <f>スコア表示!AK147</f>
        <v>0</v>
      </c>
      <c r="R29" s="2540">
        <f>'改修後の重み（重点項目）'!E29</f>
        <v>0</v>
      </c>
      <c r="S29" s="2540">
        <f>IF(O29=0,Q29,IF(Q29=0,O29,O29*P$8+Q29*R$8))</f>
        <v>3</v>
      </c>
      <c r="T29" s="2540">
        <f>P29</f>
        <v>0.5</v>
      </c>
    </row>
    <row r="30" spans="2:20" ht="24" customHeight="1">
      <c r="B30" s="2558" t="s">
        <v>1950</v>
      </c>
      <c r="C30" s="2559" t="s">
        <v>1901</v>
      </c>
      <c r="D30" s="2594"/>
      <c r="E30" s="2594"/>
      <c r="F30" s="2561"/>
      <c r="G30" s="2562"/>
      <c r="H30" s="2895">
        <f>ROUNDDOWN((G31*F31+G32*F32+G33*F33+G34*F34+G35*F35)*(5/4)*20,1)</f>
        <v>75</v>
      </c>
      <c r="I30" s="2898">
        <v>0.2</v>
      </c>
      <c r="J30" s="2898">
        <f>H30*I30</f>
        <v>15</v>
      </c>
      <c r="O30" s="2563"/>
      <c r="P30" s="2563"/>
      <c r="Q30" s="2563"/>
      <c r="R30" s="2563"/>
      <c r="S30" s="2563"/>
      <c r="T30" s="2563"/>
    </row>
    <row r="31" spans="2:20" ht="21" customHeight="1">
      <c r="B31" s="2901"/>
      <c r="C31" s="2572" t="s">
        <v>1951</v>
      </c>
      <c r="D31" s="2571" t="s">
        <v>1902</v>
      </c>
      <c r="E31" s="2572"/>
      <c r="F31" s="2573">
        <f>スコア表示!M79</f>
        <v>3</v>
      </c>
      <c r="G31" s="2574">
        <f t="shared" si="0"/>
        <v>0.4285714285714286</v>
      </c>
      <c r="H31" s="2896"/>
      <c r="I31" s="2899"/>
      <c r="J31" s="2899"/>
      <c r="O31" s="2540">
        <f>スコア表示!AG79</f>
        <v>3.0000000000000004</v>
      </c>
      <c r="P31" s="2540">
        <f>'改修後の重み（重点項目）'!D31</f>
        <v>0.4285714285714286</v>
      </c>
      <c r="Q31" s="2540">
        <f>スコア表示!AK79</f>
        <v>0</v>
      </c>
      <c r="R31" s="2540">
        <f>'改修後の重み（重点項目）'!E31</f>
        <v>0</v>
      </c>
      <c r="S31" s="2540">
        <f>IF(O31=0,Q31,IF(Q31=0,O31,O31*P$8+Q31*R$8))</f>
        <v>3.0000000000000004</v>
      </c>
      <c r="T31" s="2540">
        <f>P31</f>
        <v>0.4285714285714286</v>
      </c>
    </row>
    <row r="32" spans="2:20" ht="21" customHeight="1">
      <c r="B32" s="2901"/>
      <c r="C32" s="2584" t="s">
        <v>1952</v>
      </c>
      <c r="D32" s="2583" t="s">
        <v>1903</v>
      </c>
      <c r="E32" s="2584"/>
      <c r="F32" s="2597">
        <f>スコア表示!M97</f>
        <v>3</v>
      </c>
      <c r="G32" s="2585">
        <f t="shared" si="0"/>
        <v>0</v>
      </c>
      <c r="H32" s="2896"/>
      <c r="I32" s="2899"/>
      <c r="J32" s="2899"/>
      <c r="O32" s="2540">
        <f>スコア表示!AG97</f>
        <v>3</v>
      </c>
      <c r="P32" s="2540">
        <f>'改修後の重み（重点項目）'!D32</f>
        <v>0</v>
      </c>
      <c r="Q32" s="2540">
        <f>スコア表示!AK97</f>
        <v>0</v>
      </c>
      <c r="R32" s="2540">
        <f>'改修後の重み（重点項目）'!E32</f>
        <v>0</v>
      </c>
      <c r="S32" s="2540">
        <f>IF(O32=0,Q32,IF(Q32=0,O32,O32*P$8+Q32*R$8))</f>
        <v>3</v>
      </c>
      <c r="T32" s="2540">
        <f>P32</f>
        <v>0</v>
      </c>
    </row>
    <row r="33" spans="2:20" ht="21" customHeight="1">
      <c r="B33" s="2901"/>
      <c r="C33" s="2598" t="s">
        <v>1953</v>
      </c>
      <c r="D33" s="2605" t="s">
        <v>1904</v>
      </c>
      <c r="E33" s="2598"/>
      <c r="F33" s="2599">
        <f>スコア表示!M148</f>
        <v>3</v>
      </c>
      <c r="G33" s="2600">
        <f t="shared" si="0"/>
        <v>0.14285714285714285</v>
      </c>
      <c r="H33" s="2896"/>
      <c r="I33" s="2899"/>
      <c r="J33" s="2899"/>
      <c r="L33" s="2586"/>
      <c r="O33" s="2540">
        <f>スコア表示!AG144</f>
        <v>3</v>
      </c>
      <c r="P33" s="2540">
        <f>'改修後の重み（重点項目）'!D33</f>
        <v>0.14285714285714285</v>
      </c>
      <c r="Q33" s="2540">
        <f>スコア表示!AK144</f>
        <v>0</v>
      </c>
      <c r="R33" s="2540">
        <f>'改修後の重み（重点項目）'!E33</f>
        <v>0</v>
      </c>
      <c r="S33" s="2540">
        <f>IF(O33=0,Q33,IF(Q33=0,O33,O33*P$8+Q33*R$8))</f>
        <v>3</v>
      </c>
      <c r="T33" s="2540">
        <f>P33</f>
        <v>0.14285714285714285</v>
      </c>
    </row>
    <row r="34" spans="2:20" ht="21" customHeight="1">
      <c r="B34" s="2901"/>
      <c r="C34" s="2598" t="s">
        <v>1905</v>
      </c>
      <c r="D34" s="2605" t="s">
        <v>1906</v>
      </c>
      <c r="E34" s="2598"/>
      <c r="F34" s="2599">
        <f>スコア表示!M149</f>
        <v>3</v>
      </c>
      <c r="G34" s="2600">
        <f t="shared" si="0"/>
        <v>0.2142857142857143</v>
      </c>
      <c r="H34" s="2896"/>
      <c r="I34" s="2899"/>
      <c r="J34" s="2899"/>
      <c r="L34" s="2587" t="s">
        <v>262</v>
      </c>
      <c r="M34" s="2587" t="s">
        <v>262</v>
      </c>
      <c r="O34" s="2540">
        <f>スコア表示!AG145</f>
        <v>3</v>
      </c>
      <c r="P34" s="2540">
        <f>'改修後の重み（重点項目）'!D34</f>
        <v>0.2142857142857143</v>
      </c>
      <c r="Q34" s="2540">
        <f>スコア表示!AK145</f>
        <v>0</v>
      </c>
      <c r="R34" s="2540">
        <f>'改修後の重み（重点項目）'!E34</f>
        <v>0</v>
      </c>
      <c r="S34" s="2540">
        <f>IF(O34=0,Q34,IF(Q34=0,O34,O34*P$8+Q34*R$8))</f>
        <v>3</v>
      </c>
      <c r="T34" s="2540">
        <f>P34</f>
        <v>0.2142857142857143</v>
      </c>
    </row>
    <row r="35" spans="2:20" ht="21" customHeight="1" thickBot="1">
      <c r="B35" s="2902"/>
      <c r="C35" s="2601" t="s">
        <v>1907</v>
      </c>
      <c r="D35" s="2681" t="s">
        <v>2032</v>
      </c>
      <c r="E35" s="2601"/>
      <c r="F35" s="2603">
        <f>スコア表示!M150</f>
        <v>3</v>
      </c>
      <c r="G35" s="2604">
        <f t="shared" si="0"/>
        <v>0.2142857142857143</v>
      </c>
      <c r="H35" s="2897"/>
      <c r="I35" s="2900"/>
      <c r="J35" s="2900"/>
      <c r="L35" s="2593" t="str">
        <f>IF(SUM(G31:G35)=1,"OK","NG")</f>
        <v>OK</v>
      </c>
      <c r="M35" s="2593" t="str">
        <f>IF(SUM(G10,G19,G25,G30)=1,"OK","NG")</f>
        <v>NG</v>
      </c>
      <c r="O35" s="2540">
        <f>スコア表示!AG146</f>
        <v>3.0000000000000004</v>
      </c>
      <c r="P35" s="2540">
        <f>'改修後の重み（重点項目）'!D35</f>
        <v>0.2142857142857143</v>
      </c>
      <c r="Q35" s="2540">
        <f>スコア表示!AK146</f>
        <v>0</v>
      </c>
      <c r="R35" s="2540">
        <f>'改修後の重み（重点項目）'!E35</f>
        <v>0</v>
      </c>
      <c r="S35" s="2540">
        <f>IF(O35=0,Q35,IF(Q35=0,O35,O35*P$8+Q35*R$8))</f>
        <v>3.0000000000000004</v>
      </c>
      <c r="T35" s="2540">
        <f>P35</f>
        <v>0.2142857142857143</v>
      </c>
    </row>
    <row r="36" spans="2:20" ht="6" customHeight="1"/>
    <row r="37" spans="2:20" ht="18" customHeight="1">
      <c r="C37" s="2894" t="s">
        <v>1908</v>
      </c>
      <c r="D37" s="2894"/>
      <c r="E37" s="2894"/>
      <c r="F37" s="2894"/>
      <c r="G37" s="2894"/>
      <c r="H37" s="2894"/>
      <c r="I37" s="2894"/>
      <c r="J37" s="2894"/>
    </row>
    <row r="38" spans="2:20" ht="18" customHeight="1">
      <c r="B38" s="2665"/>
      <c r="C38" s="2894"/>
      <c r="D38" s="2894"/>
      <c r="E38" s="2894"/>
      <c r="F38" s="2894"/>
      <c r="G38" s="2894"/>
      <c r="H38" s="2894"/>
      <c r="I38" s="2894"/>
      <c r="J38" s="2894"/>
    </row>
    <row r="39" spans="2:20" ht="18" customHeight="1">
      <c r="B39" s="2665"/>
      <c r="C39" s="2894"/>
      <c r="D39" s="2894"/>
      <c r="E39" s="2894"/>
      <c r="F39" s="2894"/>
      <c r="G39" s="2894"/>
      <c r="H39" s="2894"/>
      <c r="I39" s="2894"/>
      <c r="J39" s="2894"/>
    </row>
    <row r="40" spans="2:20" ht="18" customHeight="1">
      <c r="B40" s="2665"/>
      <c r="C40" s="2894"/>
      <c r="D40" s="2894"/>
      <c r="E40" s="2894"/>
      <c r="F40" s="2894"/>
      <c r="G40" s="2894"/>
      <c r="H40" s="2894"/>
      <c r="I40" s="2894"/>
      <c r="J40" s="2894"/>
    </row>
    <row r="41" spans="2:20" ht="18" customHeight="1">
      <c r="B41" s="2665"/>
      <c r="C41" s="2894"/>
      <c r="D41" s="2894"/>
      <c r="E41" s="2894"/>
      <c r="F41" s="2894"/>
      <c r="G41" s="2894"/>
      <c r="H41" s="2894"/>
      <c r="I41" s="2894"/>
      <c r="J41" s="2894"/>
    </row>
    <row r="42" spans="2:20" ht="18" customHeight="1">
      <c r="B42" s="2665"/>
      <c r="C42" s="2894"/>
      <c r="D42" s="2894"/>
      <c r="E42" s="2894"/>
      <c r="F42" s="2894"/>
      <c r="G42" s="2894"/>
      <c r="H42" s="2894"/>
      <c r="I42" s="2894"/>
      <c r="J42" s="2894"/>
    </row>
    <row r="43" spans="2:20" ht="18" customHeight="1">
      <c r="B43" s="2665"/>
      <c r="C43" s="2894"/>
      <c r="D43" s="2894"/>
      <c r="E43" s="2894"/>
      <c r="F43" s="2894"/>
      <c r="G43" s="2894"/>
      <c r="H43" s="2894"/>
      <c r="I43" s="2894"/>
      <c r="J43" s="2894"/>
    </row>
    <row r="45" spans="2:20" ht="18" customHeight="1">
      <c r="C45" s="2665"/>
      <c r="D45" s="2665"/>
      <c r="E45" s="2665"/>
      <c r="F45" s="2665"/>
      <c r="G45" s="2665"/>
      <c r="H45" s="2665"/>
      <c r="I45" s="2665"/>
      <c r="J45" s="2665"/>
    </row>
  </sheetData>
  <sheetProtection password="8D30" sheet="1" objects="1" scenarios="1"/>
  <mergeCells count="23">
    <mergeCell ref="B2:F2"/>
    <mergeCell ref="G2:J2"/>
    <mergeCell ref="B3:C3"/>
    <mergeCell ref="H8:H9"/>
    <mergeCell ref="I8:I9"/>
    <mergeCell ref="J8:J9"/>
    <mergeCell ref="H10:H18"/>
    <mergeCell ref="I10:I18"/>
    <mergeCell ref="J10:J18"/>
    <mergeCell ref="B11:B18"/>
    <mergeCell ref="H19:H24"/>
    <mergeCell ref="I19:I24"/>
    <mergeCell ref="J19:J24"/>
    <mergeCell ref="B20:B24"/>
    <mergeCell ref="C37:J43"/>
    <mergeCell ref="H25:H29"/>
    <mergeCell ref="I25:I29"/>
    <mergeCell ref="J25:J29"/>
    <mergeCell ref="B26:B29"/>
    <mergeCell ref="H30:H35"/>
    <mergeCell ref="I30:I35"/>
    <mergeCell ref="J30:J35"/>
    <mergeCell ref="B31:B35"/>
  </mergeCells>
  <phoneticPr fontId="20"/>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4/4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B1:AI45"/>
  <sheetViews>
    <sheetView showGridLines="0" zoomScale="75" zoomScaleNormal="100" workbookViewId="0">
      <selection activeCell="J7" sqref="J7"/>
    </sheetView>
  </sheetViews>
  <sheetFormatPr defaultRowHeight="13.5"/>
  <cols>
    <col min="1" max="1" width="1.625" style="2527" customWidth="1"/>
    <col min="2" max="2" width="2.625" style="2527" customWidth="1"/>
    <col min="3" max="3" width="12.625" style="2527" customWidth="1"/>
    <col min="4" max="4" width="30.625" style="2527" customWidth="1"/>
    <col min="5" max="5" width="8.625" style="2527" customWidth="1"/>
    <col min="6" max="7" width="6.625" style="2527" customWidth="1"/>
    <col min="8" max="8" width="8.625" style="2527" customWidth="1"/>
    <col min="9" max="9" width="10.625" style="2527" customWidth="1"/>
    <col min="10" max="10" width="10.875" style="2527" customWidth="1"/>
    <col min="11" max="11" width="1.625" style="2527" customWidth="1"/>
    <col min="12" max="13" width="9" style="2527"/>
    <col min="14" max="26" width="10.625" style="2527" customWidth="1"/>
    <col min="27" max="27" width="9" style="2527"/>
    <col min="28" max="28" width="3.625" style="2527" customWidth="1"/>
    <col min="29" max="29" width="15.625" style="2527" customWidth="1"/>
    <col min="30" max="30" width="10.625" style="2527" customWidth="1"/>
    <col min="31" max="31" width="8.75" style="2527" bestFit="1" customWidth="1"/>
    <col min="32" max="34" width="5.625" style="2527" customWidth="1"/>
    <col min="35" max="35" width="14" style="2527" bestFit="1" customWidth="1"/>
    <col min="36" max="256" width="9" style="2527"/>
    <col min="257" max="257" width="1.625" style="2527" customWidth="1"/>
    <col min="258" max="258" width="2.625" style="2527" customWidth="1"/>
    <col min="259" max="259" width="12.625" style="2527" customWidth="1"/>
    <col min="260" max="260" width="30.625" style="2527" customWidth="1"/>
    <col min="261" max="261" width="8.625" style="2527" customWidth="1"/>
    <col min="262" max="263" width="6.625" style="2527" customWidth="1"/>
    <col min="264" max="264" width="8.625" style="2527" customWidth="1"/>
    <col min="265" max="265" width="10.625" style="2527" customWidth="1"/>
    <col min="266" max="266" width="10.875" style="2527" customWidth="1"/>
    <col min="267" max="267" width="1.625" style="2527" customWidth="1"/>
    <col min="268" max="269" width="9" style="2527"/>
    <col min="270" max="282" width="10.625" style="2527" customWidth="1"/>
    <col min="283" max="283" width="9" style="2527"/>
    <col min="284" max="284" width="3.625" style="2527" customWidth="1"/>
    <col min="285" max="285" width="15.625" style="2527" customWidth="1"/>
    <col min="286" max="286" width="10.625" style="2527" customWidth="1"/>
    <col min="287" max="287" width="8.75" style="2527" bestFit="1" customWidth="1"/>
    <col min="288" max="290" width="5.625" style="2527" customWidth="1"/>
    <col min="291" max="291" width="14" style="2527" bestFit="1" customWidth="1"/>
    <col min="292" max="512" width="9" style="2527"/>
    <col min="513" max="513" width="1.625" style="2527" customWidth="1"/>
    <col min="514" max="514" width="2.625" style="2527" customWidth="1"/>
    <col min="515" max="515" width="12.625" style="2527" customWidth="1"/>
    <col min="516" max="516" width="30.625" style="2527" customWidth="1"/>
    <col min="517" max="517" width="8.625" style="2527" customWidth="1"/>
    <col min="518" max="519" width="6.625" style="2527" customWidth="1"/>
    <col min="520" max="520" width="8.625" style="2527" customWidth="1"/>
    <col min="521" max="521" width="10.625" style="2527" customWidth="1"/>
    <col min="522" max="522" width="10.875" style="2527" customWidth="1"/>
    <col min="523" max="523" width="1.625" style="2527" customWidth="1"/>
    <col min="524" max="525" width="9" style="2527"/>
    <col min="526" max="538" width="10.625" style="2527" customWidth="1"/>
    <col min="539" max="539" width="9" style="2527"/>
    <col min="540" max="540" width="3.625" style="2527" customWidth="1"/>
    <col min="541" max="541" width="15.625" style="2527" customWidth="1"/>
    <col min="542" max="542" width="10.625" style="2527" customWidth="1"/>
    <col min="543" max="543" width="8.75" style="2527" bestFit="1" customWidth="1"/>
    <col min="544" max="546" width="5.625" style="2527" customWidth="1"/>
    <col min="547" max="547" width="14" style="2527" bestFit="1" customWidth="1"/>
    <col min="548" max="768" width="9" style="2527"/>
    <col min="769" max="769" width="1.625" style="2527" customWidth="1"/>
    <col min="770" max="770" width="2.625" style="2527" customWidth="1"/>
    <col min="771" max="771" width="12.625" style="2527" customWidth="1"/>
    <col min="772" max="772" width="30.625" style="2527" customWidth="1"/>
    <col min="773" max="773" width="8.625" style="2527" customWidth="1"/>
    <col min="774" max="775" width="6.625" style="2527" customWidth="1"/>
    <col min="776" max="776" width="8.625" style="2527" customWidth="1"/>
    <col min="777" max="777" width="10.625" style="2527" customWidth="1"/>
    <col min="778" max="778" width="10.875" style="2527" customWidth="1"/>
    <col min="779" max="779" width="1.625" style="2527" customWidth="1"/>
    <col min="780" max="781" width="9" style="2527"/>
    <col min="782" max="794" width="10.625" style="2527" customWidth="1"/>
    <col min="795" max="795" width="9" style="2527"/>
    <col min="796" max="796" width="3.625" style="2527" customWidth="1"/>
    <col min="797" max="797" width="15.625" style="2527" customWidth="1"/>
    <col min="798" max="798" width="10.625" style="2527" customWidth="1"/>
    <col min="799" max="799" width="8.75" style="2527" bestFit="1" customWidth="1"/>
    <col min="800" max="802" width="5.625" style="2527" customWidth="1"/>
    <col min="803" max="803" width="14" style="2527" bestFit="1" customWidth="1"/>
    <col min="804" max="1024" width="9" style="2527"/>
    <col min="1025" max="1025" width="1.625" style="2527" customWidth="1"/>
    <col min="1026" max="1026" width="2.625" style="2527" customWidth="1"/>
    <col min="1027" max="1027" width="12.625" style="2527" customWidth="1"/>
    <col min="1028" max="1028" width="30.625" style="2527" customWidth="1"/>
    <col min="1029" max="1029" width="8.625" style="2527" customWidth="1"/>
    <col min="1030" max="1031" width="6.625" style="2527" customWidth="1"/>
    <col min="1032" max="1032" width="8.625" style="2527" customWidth="1"/>
    <col min="1033" max="1033" width="10.625" style="2527" customWidth="1"/>
    <col min="1034" max="1034" width="10.875" style="2527" customWidth="1"/>
    <col min="1035" max="1035" width="1.625" style="2527" customWidth="1"/>
    <col min="1036" max="1037" width="9" style="2527"/>
    <col min="1038" max="1050" width="10.625" style="2527" customWidth="1"/>
    <col min="1051" max="1051" width="9" style="2527"/>
    <col min="1052" max="1052" width="3.625" style="2527" customWidth="1"/>
    <col min="1053" max="1053" width="15.625" style="2527" customWidth="1"/>
    <col min="1054" max="1054" width="10.625" style="2527" customWidth="1"/>
    <col min="1055" max="1055" width="8.75" style="2527" bestFit="1" customWidth="1"/>
    <col min="1056" max="1058" width="5.625" style="2527" customWidth="1"/>
    <col min="1059" max="1059" width="14" style="2527" bestFit="1" customWidth="1"/>
    <col min="1060" max="1280" width="9" style="2527"/>
    <col min="1281" max="1281" width="1.625" style="2527" customWidth="1"/>
    <col min="1282" max="1282" width="2.625" style="2527" customWidth="1"/>
    <col min="1283" max="1283" width="12.625" style="2527" customWidth="1"/>
    <col min="1284" max="1284" width="30.625" style="2527" customWidth="1"/>
    <col min="1285" max="1285" width="8.625" style="2527" customWidth="1"/>
    <col min="1286" max="1287" width="6.625" style="2527" customWidth="1"/>
    <col min="1288" max="1288" width="8.625" style="2527" customWidth="1"/>
    <col min="1289" max="1289" width="10.625" style="2527" customWidth="1"/>
    <col min="1290" max="1290" width="10.875" style="2527" customWidth="1"/>
    <col min="1291" max="1291" width="1.625" style="2527" customWidth="1"/>
    <col min="1292" max="1293" width="9" style="2527"/>
    <col min="1294" max="1306" width="10.625" style="2527" customWidth="1"/>
    <col min="1307" max="1307" width="9" style="2527"/>
    <col min="1308" max="1308" width="3.625" style="2527" customWidth="1"/>
    <col min="1309" max="1309" width="15.625" style="2527" customWidth="1"/>
    <col min="1310" max="1310" width="10.625" style="2527" customWidth="1"/>
    <col min="1311" max="1311" width="8.75" style="2527" bestFit="1" customWidth="1"/>
    <col min="1312" max="1314" width="5.625" style="2527" customWidth="1"/>
    <col min="1315" max="1315" width="14" style="2527" bestFit="1" customWidth="1"/>
    <col min="1316" max="1536" width="9" style="2527"/>
    <col min="1537" max="1537" width="1.625" style="2527" customWidth="1"/>
    <col min="1538" max="1538" width="2.625" style="2527" customWidth="1"/>
    <col min="1539" max="1539" width="12.625" style="2527" customWidth="1"/>
    <col min="1540" max="1540" width="30.625" style="2527" customWidth="1"/>
    <col min="1541" max="1541" width="8.625" style="2527" customWidth="1"/>
    <col min="1542" max="1543" width="6.625" style="2527" customWidth="1"/>
    <col min="1544" max="1544" width="8.625" style="2527" customWidth="1"/>
    <col min="1545" max="1545" width="10.625" style="2527" customWidth="1"/>
    <col min="1546" max="1546" width="10.875" style="2527" customWidth="1"/>
    <col min="1547" max="1547" width="1.625" style="2527" customWidth="1"/>
    <col min="1548" max="1549" width="9" style="2527"/>
    <col min="1550" max="1562" width="10.625" style="2527" customWidth="1"/>
    <col min="1563" max="1563" width="9" style="2527"/>
    <col min="1564" max="1564" width="3.625" style="2527" customWidth="1"/>
    <col min="1565" max="1565" width="15.625" style="2527" customWidth="1"/>
    <col min="1566" max="1566" width="10.625" style="2527" customWidth="1"/>
    <col min="1567" max="1567" width="8.75" style="2527" bestFit="1" customWidth="1"/>
    <col min="1568" max="1570" width="5.625" style="2527" customWidth="1"/>
    <col min="1571" max="1571" width="14" style="2527" bestFit="1" customWidth="1"/>
    <col min="1572" max="1792" width="9" style="2527"/>
    <col min="1793" max="1793" width="1.625" style="2527" customWidth="1"/>
    <col min="1794" max="1794" width="2.625" style="2527" customWidth="1"/>
    <col min="1795" max="1795" width="12.625" style="2527" customWidth="1"/>
    <col min="1796" max="1796" width="30.625" style="2527" customWidth="1"/>
    <col min="1797" max="1797" width="8.625" style="2527" customWidth="1"/>
    <col min="1798" max="1799" width="6.625" style="2527" customWidth="1"/>
    <col min="1800" max="1800" width="8.625" style="2527" customWidth="1"/>
    <col min="1801" max="1801" width="10.625" style="2527" customWidth="1"/>
    <col min="1802" max="1802" width="10.875" style="2527" customWidth="1"/>
    <col min="1803" max="1803" width="1.625" style="2527" customWidth="1"/>
    <col min="1804" max="1805" width="9" style="2527"/>
    <col min="1806" max="1818" width="10.625" style="2527" customWidth="1"/>
    <col min="1819" max="1819" width="9" style="2527"/>
    <col min="1820" max="1820" width="3.625" style="2527" customWidth="1"/>
    <col min="1821" max="1821" width="15.625" style="2527" customWidth="1"/>
    <col min="1822" max="1822" width="10.625" style="2527" customWidth="1"/>
    <col min="1823" max="1823" width="8.75" style="2527" bestFit="1" customWidth="1"/>
    <col min="1824" max="1826" width="5.625" style="2527" customWidth="1"/>
    <col min="1827" max="1827" width="14" style="2527" bestFit="1" customWidth="1"/>
    <col min="1828" max="2048" width="9" style="2527"/>
    <col min="2049" max="2049" width="1.625" style="2527" customWidth="1"/>
    <col min="2050" max="2050" width="2.625" style="2527" customWidth="1"/>
    <col min="2051" max="2051" width="12.625" style="2527" customWidth="1"/>
    <col min="2052" max="2052" width="30.625" style="2527" customWidth="1"/>
    <col min="2053" max="2053" width="8.625" style="2527" customWidth="1"/>
    <col min="2054" max="2055" width="6.625" style="2527" customWidth="1"/>
    <col min="2056" max="2056" width="8.625" style="2527" customWidth="1"/>
    <col min="2057" max="2057" width="10.625" style="2527" customWidth="1"/>
    <col min="2058" max="2058" width="10.875" style="2527" customWidth="1"/>
    <col min="2059" max="2059" width="1.625" style="2527" customWidth="1"/>
    <col min="2060" max="2061" width="9" style="2527"/>
    <col min="2062" max="2074" width="10.625" style="2527" customWidth="1"/>
    <col min="2075" max="2075" width="9" style="2527"/>
    <col min="2076" max="2076" width="3.625" style="2527" customWidth="1"/>
    <col min="2077" max="2077" width="15.625" style="2527" customWidth="1"/>
    <col min="2078" max="2078" width="10.625" style="2527" customWidth="1"/>
    <col min="2079" max="2079" width="8.75" style="2527" bestFit="1" customWidth="1"/>
    <col min="2080" max="2082" width="5.625" style="2527" customWidth="1"/>
    <col min="2083" max="2083" width="14" style="2527" bestFit="1" customWidth="1"/>
    <col min="2084" max="2304" width="9" style="2527"/>
    <col min="2305" max="2305" width="1.625" style="2527" customWidth="1"/>
    <col min="2306" max="2306" width="2.625" style="2527" customWidth="1"/>
    <col min="2307" max="2307" width="12.625" style="2527" customWidth="1"/>
    <col min="2308" max="2308" width="30.625" style="2527" customWidth="1"/>
    <col min="2309" max="2309" width="8.625" style="2527" customWidth="1"/>
    <col min="2310" max="2311" width="6.625" style="2527" customWidth="1"/>
    <col min="2312" max="2312" width="8.625" style="2527" customWidth="1"/>
    <col min="2313" max="2313" width="10.625" style="2527" customWidth="1"/>
    <col min="2314" max="2314" width="10.875" style="2527" customWidth="1"/>
    <col min="2315" max="2315" width="1.625" style="2527" customWidth="1"/>
    <col min="2316" max="2317" width="9" style="2527"/>
    <col min="2318" max="2330" width="10.625" style="2527" customWidth="1"/>
    <col min="2331" max="2331" width="9" style="2527"/>
    <col min="2332" max="2332" width="3.625" style="2527" customWidth="1"/>
    <col min="2333" max="2333" width="15.625" style="2527" customWidth="1"/>
    <col min="2334" max="2334" width="10.625" style="2527" customWidth="1"/>
    <col min="2335" max="2335" width="8.75" style="2527" bestFit="1" customWidth="1"/>
    <col min="2336" max="2338" width="5.625" style="2527" customWidth="1"/>
    <col min="2339" max="2339" width="14" style="2527" bestFit="1" customWidth="1"/>
    <col min="2340" max="2560" width="9" style="2527"/>
    <col min="2561" max="2561" width="1.625" style="2527" customWidth="1"/>
    <col min="2562" max="2562" width="2.625" style="2527" customWidth="1"/>
    <col min="2563" max="2563" width="12.625" style="2527" customWidth="1"/>
    <col min="2564" max="2564" width="30.625" style="2527" customWidth="1"/>
    <col min="2565" max="2565" width="8.625" style="2527" customWidth="1"/>
    <col min="2566" max="2567" width="6.625" style="2527" customWidth="1"/>
    <col min="2568" max="2568" width="8.625" style="2527" customWidth="1"/>
    <col min="2569" max="2569" width="10.625" style="2527" customWidth="1"/>
    <col min="2570" max="2570" width="10.875" style="2527" customWidth="1"/>
    <col min="2571" max="2571" width="1.625" style="2527" customWidth="1"/>
    <col min="2572" max="2573" width="9" style="2527"/>
    <col min="2574" max="2586" width="10.625" style="2527" customWidth="1"/>
    <col min="2587" max="2587" width="9" style="2527"/>
    <col min="2588" max="2588" width="3.625" style="2527" customWidth="1"/>
    <col min="2589" max="2589" width="15.625" style="2527" customWidth="1"/>
    <col min="2590" max="2590" width="10.625" style="2527" customWidth="1"/>
    <col min="2591" max="2591" width="8.75" style="2527" bestFit="1" customWidth="1"/>
    <col min="2592" max="2594" width="5.625" style="2527" customWidth="1"/>
    <col min="2595" max="2595" width="14" style="2527" bestFit="1" customWidth="1"/>
    <col min="2596" max="2816" width="9" style="2527"/>
    <col min="2817" max="2817" width="1.625" style="2527" customWidth="1"/>
    <col min="2818" max="2818" width="2.625" style="2527" customWidth="1"/>
    <col min="2819" max="2819" width="12.625" style="2527" customWidth="1"/>
    <col min="2820" max="2820" width="30.625" style="2527" customWidth="1"/>
    <col min="2821" max="2821" width="8.625" style="2527" customWidth="1"/>
    <col min="2822" max="2823" width="6.625" style="2527" customWidth="1"/>
    <col min="2824" max="2824" width="8.625" style="2527" customWidth="1"/>
    <col min="2825" max="2825" width="10.625" style="2527" customWidth="1"/>
    <col min="2826" max="2826" width="10.875" style="2527" customWidth="1"/>
    <col min="2827" max="2827" width="1.625" style="2527" customWidth="1"/>
    <col min="2828" max="2829" width="9" style="2527"/>
    <col min="2830" max="2842" width="10.625" style="2527" customWidth="1"/>
    <col min="2843" max="2843" width="9" style="2527"/>
    <col min="2844" max="2844" width="3.625" style="2527" customWidth="1"/>
    <col min="2845" max="2845" width="15.625" style="2527" customWidth="1"/>
    <col min="2846" max="2846" width="10.625" style="2527" customWidth="1"/>
    <col min="2847" max="2847" width="8.75" style="2527" bestFit="1" customWidth="1"/>
    <col min="2848" max="2850" width="5.625" style="2527" customWidth="1"/>
    <col min="2851" max="2851" width="14" style="2527" bestFit="1" customWidth="1"/>
    <col min="2852" max="3072" width="9" style="2527"/>
    <col min="3073" max="3073" width="1.625" style="2527" customWidth="1"/>
    <col min="3074" max="3074" width="2.625" style="2527" customWidth="1"/>
    <col min="3075" max="3075" width="12.625" style="2527" customWidth="1"/>
    <col min="3076" max="3076" width="30.625" style="2527" customWidth="1"/>
    <col min="3077" max="3077" width="8.625" style="2527" customWidth="1"/>
    <col min="3078" max="3079" width="6.625" style="2527" customWidth="1"/>
    <col min="3080" max="3080" width="8.625" style="2527" customWidth="1"/>
    <col min="3081" max="3081" width="10.625" style="2527" customWidth="1"/>
    <col min="3082" max="3082" width="10.875" style="2527" customWidth="1"/>
    <col min="3083" max="3083" width="1.625" style="2527" customWidth="1"/>
    <col min="3084" max="3085" width="9" style="2527"/>
    <col min="3086" max="3098" width="10.625" style="2527" customWidth="1"/>
    <col min="3099" max="3099" width="9" style="2527"/>
    <col min="3100" max="3100" width="3.625" style="2527" customWidth="1"/>
    <col min="3101" max="3101" width="15.625" style="2527" customWidth="1"/>
    <col min="3102" max="3102" width="10.625" style="2527" customWidth="1"/>
    <col min="3103" max="3103" width="8.75" style="2527" bestFit="1" customWidth="1"/>
    <col min="3104" max="3106" width="5.625" style="2527" customWidth="1"/>
    <col min="3107" max="3107" width="14" style="2527" bestFit="1" customWidth="1"/>
    <col min="3108" max="3328" width="9" style="2527"/>
    <col min="3329" max="3329" width="1.625" style="2527" customWidth="1"/>
    <col min="3330" max="3330" width="2.625" style="2527" customWidth="1"/>
    <col min="3331" max="3331" width="12.625" style="2527" customWidth="1"/>
    <col min="3332" max="3332" width="30.625" style="2527" customWidth="1"/>
    <col min="3333" max="3333" width="8.625" style="2527" customWidth="1"/>
    <col min="3334" max="3335" width="6.625" style="2527" customWidth="1"/>
    <col min="3336" max="3336" width="8.625" style="2527" customWidth="1"/>
    <col min="3337" max="3337" width="10.625" style="2527" customWidth="1"/>
    <col min="3338" max="3338" width="10.875" style="2527" customWidth="1"/>
    <col min="3339" max="3339" width="1.625" style="2527" customWidth="1"/>
    <col min="3340" max="3341" width="9" style="2527"/>
    <col min="3342" max="3354" width="10.625" style="2527" customWidth="1"/>
    <col min="3355" max="3355" width="9" style="2527"/>
    <col min="3356" max="3356" width="3.625" style="2527" customWidth="1"/>
    <col min="3357" max="3357" width="15.625" style="2527" customWidth="1"/>
    <col min="3358" max="3358" width="10.625" style="2527" customWidth="1"/>
    <col min="3359" max="3359" width="8.75" style="2527" bestFit="1" customWidth="1"/>
    <col min="3360" max="3362" width="5.625" style="2527" customWidth="1"/>
    <col min="3363" max="3363" width="14" style="2527" bestFit="1" customWidth="1"/>
    <col min="3364" max="3584" width="9" style="2527"/>
    <col min="3585" max="3585" width="1.625" style="2527" customWidth="1"/>
    <col min="3586" max="3586" width="2.625" style="2527" customWidth="1"/>
    <col min="3587" max="3587" width="12.625" style="2527" customWidth="1"/>
    <col min="3588" max="3588" width="30.625" style="2527" customWidth="1"/>
    <col min="3589" max="3589" width="8.625" style="2527" customWidth="1"/>
    <col min="3590" max="3591" width="6.625" style="2527" customWidth="1"/>
    <col min="3592" max="3592" width="8.625" style="2527" customWidth="1"/>
    <col min="3593" max="3593" width="10.625" style="2527" customWidth="1"/>
    <col min="3594" max="3594" width="10.875" style="2527" customWidth="1"/>
    <col min="3595" max="3595" width="1.625" style="2527" customWidth="1"/>
    <col min="3596" max="3597" width="9" style="2527"/>
    <col min="3598" max="3610" width="10.625" style="2527" customWidth="1"/>
    <col min="3611" max="3611" width="9" style="2527"/>
    <col min="3612" max="3612" width="3.625" style="2527" customWidth="1"/>
    <col min="3613" max="3613" width="15.625" style="2527" customWidth="1"/>
    <col min="3614" max="3614" width="10.625" style="2527" customWidth="1"/>
    <col min="3615" max="3615" width="8.75" style="2527" bestFit="1" customWidth="1"/>
    <col min="3616" max="3618" width="5.625" style="2527" customWidth="1"/>
    <col min="3619" max="3619" width="14" style="2527" bestFit="1" customWidth="1"/>
    <col min="3620" max="3840" width="9" style="2527"/>
    <col min="3841" max="3841" width="1.625" style="2527" customWidth="1"/>
    <col min="3842" max="3842" width="2.625" style="2527" customWidth="1"/>
    <col min="3843" max="3843" width="12.625" style="2527" customWidth="1"/>
    <col min="3844" max="3844" width="30.625" style="2527" customWidth="1"/>
    <col min="3845" max="3845" width="8.625" style="2527" customWidth="1"/>
    <col min="3846" max="3847" width="6.625" style="2527" customWidth="1"/>
    <col min="3848" max="3848" width="8.625" style="2527" customWidth="1"/>
    <col min="3849" max="3849" width="10.625" style="2527" customWidth="1"/>
    <col min="3850" max="3850" width="10.875" style="2527" customWidth="1"/>
    <col min="3851" max="3851" width="1.625" style="2527" customWidth="1"/>
    <col min="3852" max="3853" width="9" style="2527"/>
    <col min="3854" max="3866" width="10.625" style="2527" customWidth="1"/>
    <col min="3867" max="3867" width="9" style="2527"/>
    <col min="3868" max="3868" width="3.625" style="2527" customWidth="1"/>
    <col min="3869" max="3869" width="15.625" style="2527" customWidth="1"/>
    <col min="3870" max="3870" width="10.625" style="2527" customWidth="1"/>
    <col min="3871" max="3871" width="8.75" style="2527" bestFit="1" customWidth="1"/>
    <col min="3872" max="3874" width="5.625" style="2527" customWidth="1"/>
    <col min="3875" max="3875" width="14" style="2527" bestFit="1" customWidth="1"/>
    <col min="3876" max="4096" width="9" style="2527"/>
    <col min="4097" max="4097" width="1.625" style="2527" customWidth="1"/>
    <col min="4098" max="4098" width="2.625" style="2527" customWidth="1"/>
    <col min="4099" max="4099" width="12.625" style="2527" customWidth="1"/>
    <col min="4100" max="4100" width="30.625" style="2527" customWidth="1"/>
    <col min="4101" max="4101" width="8.625" style="2527" customWidth="1"/>
    <col min="4102" max="4103" width="6.625" style="2527" customWidth="1"/>
    <col min="4104" max="4104" width="8.625" style="2527" customWidth="1"/>
    <col min="4105" max="4105" width="10.625" style="2527" customWidth="1"/>
    <col min="4106" max="4106" width="10.875" style="2527" customWidth="1"/>
    <col min="4107" max="4107" width="1.625" style="2527" customWidth="1"/>
    <col min="4108" max="4109" width="9" style="2527"/>
    <col min="4110" max="4122" width="10.625" style="2527" customWidth="1"/>
    <col min="4123" max="4123" width="9" style="2527"/>
    <col min="4124" max="4124" width="3.625" style="2527" customWidth="1"/>
    <col min="4125" max="4125" width="15.625" style="2527" customWidth="1"/>
    <col min="4126" max="4126" width="10.625" style="2527" customWidth="1"/>
    <col min="4127" max="4127" width="8.75" style="2527" bestFit="1" customWidth="1"/>
    <col min="4128" max="4130" width="5.625" style="2527" customWidth="1"/>
    <col min="4131" max="4131" width="14" style="2527" bestFit="1" customWidth="1"/>
    <col min="4132" max="4352" width="9" style="2527"/>
    <col min="4353" max="4353" width="1.625" style="2527" customWidth="1"/>
    <col min="4354" max="4354" width="2.625" style="2527" customWidth="1"/>
    <col min="4355" max="4355" width="12.625" style="2527" customWidth="1"/>
    <col min="4356" max="4356" width="30.625" style="2527" customWidth="1"/>
    <col min="4357" max="4357" width="8.625" style="2527" customWidth="1"/>
    <col min="4358" max="4359" width="6.625" style="2527" customWidth="1"/>
    <col min="4360" max="4360" width="8.625" style="2527" customWidth="1"/>
    <col min="4361" max="4361" width="10.625" style="2527" customWidth="1"/>
    <col min="4362" max="4362" width="10.875" style="2527" customWidth="1"/>
    <col min="4363" max="4363" width="1.625" style="2527" customWidth="1"/>
    <col min="4364" max="4365" width="9" style="2527"/>
    <col min="4366" max="4378" width="10.625" style="2527" customWidth="1"/>
    <col min="4379" max="4379" width="9" style="2527"/>
    <col min="4380" max="4380" width="3.625" style="2527" customWidth="1"/>
    <col min="4381" max="4381" width="15.625" style="2527" customWidth="1"/>
    <col min="4382" max="4382" width="10.625" style="2527" customWidth="1"/>
    <col min="4383" max="4383" width="8.75" style="2527" bestFit="1" customWidth="1"/>
    <col min="4384" max="4386" width="5.625" style="2527" customWidth="1"/>
    <col min="4387" max="4387" width="14" style="2527" bestFit="1" customWidth="1"/>
    <col min="4388" max="4608" width="9" style="2527"/>
    <col min="4609" max="4609" width="1.625" style="2527" customWidth="1"/>
    <col min="4610" max="4610" width="2.625" style="2527" customWidth="1"/>
    <col min="4611" max="4611" width="12.625" style="2527" customWidth="1"/>
    <col min="4612" max="4612" width="30.625" style="2527" customWidth="1"/>
    <col min="4613" max="4613" width="8.625" style="2527" customWidth="1"/>
    <col min="4614" max="4615" width="6.625" style="2527" customWidth="1"/>
    <col min="4616" max="4616" width="8.625" style="2527" customWidth="1"/>
    <col min="4617" max="4617" width="10.625" style="2527" customWidth="1"/>
    <col min="4618" max="4618" width="10.875" style="2527" customWidth="1"/>
    <col min="4619" max="4619" width="1.625" style="2527" customWidth="1"/>
    <col min="4620" max="4621" width="9" style="2527"/>
    <col min="4622" max="4634" width="10.625" style="2527" customWidth="1"/>
    <col min="4635" max="4635" width="9" style="2527"/>
    <col min="4636" max="4636" width="3.625" style="2527" customWidth="1"/>
    <col min="4637" max="4637" width="15.625" style="2527" customWidth="1"/>
    <col min="4638" max="4638" width="10.625" style="2527" customWidth="1"/>
    <col min="4639" max="4639" width="8.75" style="2527" bestFit="1" customWidth="1"/>
    <col min="4640" max="4642" width="5.625" style="2527" customWidth="1"/>
    <col min="4643" max="4643" width="14" style="2527" bestFit="1" customWidth="1"/>
    <col min="4644" max="4864" width="9" style="2527"/>
    <col min="4865" max="4865" width="1.625" style="2527" customWidth="1"/>
    <col min="4866" max="4866" width="2.625" style="2527" customWidth="1"/>
    <col min="4867" max="4867" width="12.625" style="2527" customWidth="1"/>
    <col min="4868" max="4868" width="30.625" style="2527" customWidth="1"/>
    <col min="4869" max="4869" width="8.625" style="2527" customWidth="1"/>
    <col min="4870" max="4871" width="6.625" style="2527" customWidth="1"/>
    <col min="4872" max="4872" width="8.625" style="2527" customWidth="1"/>
    <col min="4873" max="4873" width="10.625" style="2527" customWidth="1"/>
    <col min="4874" max="4874" width="10.875" style="2527" customWidth="1"/>
    <col min="4875" max="4875" width="1.625" style="2527" customWidth="1"/>
    <col min="4876" max="4877" width="9" style="2527"/>
    <col min="4878" max="4890" width="10.625" style="2527" customWidth="1"/>
    <col min="4891" max="4891" width="9" style="2527"/>
    <col min="4892" max="4892" width="3.625" style="2527" customWidth="1"/>
    <col min="4893" max="4893" width="15.625" style="2527" customWidth="1"/>
    <col min="4894" max="4894" width="10.625" style="2527" customWidth="1"/>
    <col min="4895" max="4895" width="8.75" style="2527" bestFit="1" customWidth="1"/>
    <col min="4896" max="4898" width="5.625" style="2527" customWidth="1"/>
    <col min="4899" max="4899" width="14" style="2527" bestFit="1" customWidth="1"/>
    <col min="4900" max="5120" width="9" style="2527"/>
    <col min="5121" max="5121" width="1.625" style="2527" customWidth="1"/>
    <col min="5122" max="5122" width="2.625" style="2527" customWidth="1"/>
    <col min="5123" max="5123" width="12.625" style="2527" customWidth="1"/>
    <col min="5124" max="5124" width="30.625" style="2527" customWidth="1"/>
    <col min="5125" max="5125" width="8.625" style="2527" customWidth="1"/>
    <col min="5126" max="5127" width="6.625" style="2527" customWidth="1"/>
    <col min="5128" max="5128" width="8.625" style="2527" customWidth="1"/>
    <col min="5129" max="5129" width="10.625" style="2527" customWidth="1"/>
    <col min="5130" max="5130" width="10.875" style="2527" customWidth="1"/>
    <col min="5131" max="5131" width="1.625" style="2527" customWidth="1"/>
    <col min="5132" max="5133" width="9" style="2527"/>
    <col min="5134" max="5146" width="10.625" style="2527" customWidth="1"/>
    <col min="5147" max="5147" width="9" style="2527"/>
    <col min="5148" max="5148" width="3.625" style="2527" customWidth="1"/>
    <col min="5149" max="5149" width="15.625" style="2527" customWidth="1"/>
    <col min="5150" max="5150" width="10.625" style="2527" customWidth="1"/>
    <col min="5151" max="5151" width="8.75" style="2527" bestFit="1" customWidth="1"/>
    <col min="5152" max="5154" width="5.625" style="2527" customWidth="1"/>
    <col min="5155" max="5155" width="14" style="2527" bestFit="1" customWidth="1"/>
    <col min="5156" max="5376" width="9" style="2527"/>
    <col min="5377" max="5377" width="1.625" style="2527" customWidth="1"/>
    <col min="5378" max="5378" width="2.625" style="2527" customWidth="1"/>
    <col min="5379" max="5379" width="12.625" style="2527" customWidth="1"/>
    <col min="5380" max="5380" width="30.625" style="2527" customWidth="1"/>
    <col min="5381" max="5381" width="8.625" style="2527" customWidth="1"/>
    <col min="5382" max="5383" width="6.625" style="2527" customWidth="1"/>
    <col min="5384" max="5384" width="8.625" style="2527" customWidth="1"/>
    <col min="5385" max="5385" width="10.625" style="2527" customWidth="1"/>
    <col min="5386" max="5386" width="10.875" style="2527" customWidth="1"/>
    <col min="5387" max="5387" width="1.625" style="2527" customWidth="1"/>
    <col min="5388" max="5389" width="9" style="2527"/>
    <col min="5390" max="5402" width="10.625" style="2527" customWidth="1"/>
    <col min="5403" max="5403" width="9" style="2527"/>
    <col min="5404" max="5404" width="3.625" style="2527" customWidth="1"/>
    <col min="5405" max="5405" width="15.625" style="2527" customWidth="1"/>
    <col min="5406" max="5406" width="10.625" style="2527" customWidth="1"/>
    <col min="5407" max="5407" width="8.75" style="2527" bestFit="1" customWidth="1"/>
    <col min="5408" max="5410" width="5.625" style="2527" customWidth="1"/>
    <col min="5411" max="5411" width="14" style="2527" bestFit="1" customWidth="1"/>
    <col min="5412" max="5632" width="9" style="2527"/>
    <col min="5633" max="5633" width="1.625" style="2527" customWidth="1"/>
    <col min="5634" max="5634" width="2.625" style="2527" customWidth="1"/>
    <col min="5635" max="5635" width="12.625" style="2527" customWidth="1"/>
    <col min="5636" max="5636" width="30.625" style="2527" customWidth="1"/>
    <col min="5637" max="5637" width="8.625" style="2527" customWidth="1"/>
    <col min="5638" max="5639" width="6.625" style="2527" customWidth="1"/>
    <col min="5640" max="5640" width="8.625" style="2527" customWidth="1"/>
    <col min="5641" max="5641" width="10.625" style="2527" customWidth="1"/>
    <col min="5642" max="5642" width="10.875" style="2527" customWidth="1"/>
    <col min="5643" max="5643" width="1.625" style="2527" customWidth="1"/>
    <col min="5644" max="5645" width="9" style="2527"/>
    <col min="5646" max="5658" width="10.625" style="2527" customWidth="1"/>
    <col min="5659" max="5659" width="9" style="2527"/>
    <col min="5660" max="5660" width="3.625" style="2527" customWidth="1"/>
    <col min="5661" max="5661" width="15.625" style="2527" customWidth="1"/>
    <col min="5662" max="5662" width="10.625" style="2527" customWidth="1"/>
    <col min="5663" max="5663" width="8.75" style="2527" bestFit="1" customWidth="1"/>
    <col min="5664" max="5666" width="5.625" style="2527" customWidth="1"/>
    <col min="5667" max="5667" width="14" style="2527" bestFit="1" customWidth="1"/>
    <col min="5668" max="5888" width="9" style="2527"/>
    <col min="5889" max="5889" width="1.625" style="2527" customWidth="1"/>
    <col min="5890" max="5890" width="2.625" style="2527" customWidth="1"/>
    <col min="5891" max="5891" width="12.625" style="2527" customWidth="1"/>
    <col min="5892" max="5892" width="30.625" style="2527" customWidth="1"/>
    <col min="5893" max="5893" width="8.625" style="2527" customWidth="1"/>
    <col min="5894" max="5895" width="6.625" style="2527" customWidth="1"/>
    <col min="5896" max="5896" width="8.625" style="2527" customWidth="1"/>
    <col min="5897" max="5897" width="10.625" style="2527" customWidth="1"/>
    <col min="5898" max="5898" width="10.875" style="2527" customWidth="1"/>
    <col min="5899" max="5899" width="1.625" style="2527" customWidth="1"/>
    <col min="5900" max="5901" width="9" style="2527"/>
    <col min="5902" max="5914" width="10.625" style="2527" customWidth="1"/>
    <col min="5915" max="5915" width="9" style="2527"/>
    <col min="5916" max="5916" width="3.625" style="2527" customWidth="1"/>
    <col min="5917" max="5917" width="15.625" style="2527" customWidth="1"/>
    <col min="5918" max="5918" width="10.625" style="2527" customWidth="1"/>
    <col min="5919" max="5919" width="8.75" style="2527" bestFit="1" customWidth="1"/>
    <col min="5920" max="5922" width="5.625" style="2527" customWidth="1"/>
    <col min="5923" max="5923" width="14" style="2527" bestFit="1" customWidth="1"/>
    <col min="5924" max="6144" width="9" style="2527"/>
    <col min="6145" max="6145" width="1.625" style="2527" customWidth="1"/>
    <col min="6146" max="6146" width="2.625" style="2527" customWidth="1"/>
    <col min="6147" max="6147" width="12.625" style="2527" customWidth="1"/>
    <col min="6148" max="6148" width="30.625" style="2527" customWidth="1"/>
    <col min="6149" max="6149" width="8.625" style="2527" customWidth="1"/>
    <col min="6150" max="6151" width="6.625" style="2527" customWidth="1"/>
    <col min="6152" max="6152" width="8.625" style="2527" customWidth="1"/>
    <col min="6153" max="6153" width="10.625" style="2527" customWidth="1"/>
    <col min="6154" max="6154" width="10.875" style="2527" customWidth="1"/>
    <col min="6155" max="6155" width="1.625" style="2527" customWidth="1"/>
    <col min="6156" max="6157" width="9" style="2527"/>
    <col min="6158" max="6170" width="10.625" style="2527" customWidth="1"/>
    <col min="6171" max="6171" width="9" style="2527"/>
    <col min="6172" max="6172" width="3.625" style="2527" customWidth="1"/>
    <col min="6173" max="6173" width="15.625" style="2527" customWidth="1"/>
    <col min="6174" max="6174" width="10.625" style="2527" customWidth="1"/>
    <col min="6175" max="6175" width="8.75" style="2527" bestFit="1" customWidth="1"/>
    <col min="6176" max="6178" width="5.625" style="2527" customWidth="1"/>
    <col min="6179" max="6179" width="14" style="2527" bestFit="1" customWidth="1"/>
    <col min="6180" max="6400" width="9" style="2527"/>
    <col min="6401" max="6401" width="1.625" style="2527" customWidth="1"/>
    <col min="6402" max="6402" width="2.625" style="2527" customWidth="1"/>
    <col min="6403" max="6403" width="12.625" style="2527" customWidth="1"/>
    <col min="6404" max="6404" width="30.625" style="2527" customWidth="1"/>
    <col min="6405" max="6405" width="8.625" style="2527" customWidth="1"/>
    <col min="6406" max="6407" width="6.625" style="2527" customWidth="1"/>
    <col min="6408" max="6408" width="8.625" style="2527" customWidth="1"/>
    <col min="6409" max="6409" width="10.625" style="2527" customWidth="1"/>
    <col min="6410" max="6410" width="10.875" style="2527" customWidth="1"/>
    <col min="6411" max="6411" width="1.625" style="2527" customWidth="1"/>
    <col min="6412" max="6413" width="9" style="2527"/>
    <col min="6414" max="6426" width="10.625" style="2527" customWidth="1"/>
    <col min="6427" max="6427" width="9" style="2527"/>
    <col min="6428" max="6428" width="3.625" style="2527" customWidth="1"/>
    <col min="6429" max="6429" width="15.625" style="2527" customWidth="1"/>
    <col min="6430" max="6430" width="10.625" style="2527" customWidth="1"/>
    <col min="6431" max="6431" width="8.75" style="2527" bestFit="1" customWidth="1"/>
    <col min="6432" max="6434" width="5.625" style="2527" customWidth="1"/>
    <col min="6435" max="6435" width="14" style="2527" bestFit="1" customWidth="1"/>
    <col min="6436" max="6656" width="9" style="2527"/>
    <col min="6657" max="6657" width="1.625" style="2527" customWidth="1"/>
    <col min="6658" max="6658" width="2.625" style="2527" customWidth="1"/>
    <col min="6659" max="6659" width="12.625" style="2527" customWidth="1"/>
    <col min="6660" max="6660" width="30.625" style="2527" customWidth="1"/>
    <col min="6661" max="6661" width="8.625" style="2527" customWidth="1"/>
    <col min="6662" max="6663" width="6.625" style="2527" customWidth="1"/>
    <col min="6664" max="6664" width="8.625" style="2527" customWidth="1"/>
    <col min="6665" max="6665" width="10.625" style="2527" customWidth="1"/>
    <col min="6666" max="6666" width="10.875" style="2527" customWidth="1"/>
    <col min="6667" max="6667" width="1.625" style="2527" customWidth="1"/>
    <col min="6668" max="6669" width="9" style="2527"/>
    <col min="6670" max="6682" width="10.625" style="2527" customWidth="1"/>
    <col min="6683" max="6683" width="9" style="2527"/>
    <col min="6684" max="6684" width="3.625" style="2527" customWidth="1"/>
    <col min="6685" max="6685" width="15.625" style="2527" customWidth="1"/>
    <col min="6686" max="6686" width="10.625" style="2527" customWidth="1"/>
    <col min="6687" max="6687" width="8.75" style="2527" bestFit="1" customWidth="1"/>
    <col min="6688" max="6690" width="5.625" style="2527" customWidth="1"/>
    <col min="6691" max="6691" width="14" style="2527" bestFit="1" customWidth="1"/>
    <col min="6692" max="6912" width="9" style="2527"/>
    <col min="6913" max="6913" width="1.625" style="2527" customWidth="1"/>
    <col min="6914" max="6914" width="2.625" style="2527" customWidth="1"/>
    <col min="6915" max="6915" width="12.625" style="2527" customWidth="1"/>
    <col min="6916" max="6916" width="30.625" style="2527" customWidth="1"/>
    <col min="6917" max="6917" width="8.625" style="2527" customWidth="1"/>
    <col min="6918" max="6919" width="6.625" style="2527" customWidth="1"/>
    <col min="6920" max="6920" width="8.625" style="2527" customWidth="1"/>
    <col min="6921" max="6921" width="10.625" style="2527" customWidth="1"/>
    <col min="6922" max="6922" width="10.875" style="2527" customWidth="1"/>
    <col min="6923" max="6923" width="1.625" style="2527" customWidth="1"/>
    <col min="6924" max="6925" width="9" style="2527"/>
    <col min="6926" max="6938" width="10.625" style="2527" customWidth="1"/>
    <col min="6939" max="6939" width="9" style="2527"/>
    <col min="6940" max="6940" width="3.625" style="2527" customWidth="1"/>
    <col min="6941" max="6941" width="15.625" style="2527" customWidth="1"/>
    <col min="6942" max="6942" width="10.625" style="2527" customWidth="1"/>
    <col min="6943" max="6943" width="8.75" style="2527" bestFit="1" customWidth="1"/>
    <col min="6944" max="6946" width="5.625" style="2527" customWidth="1"/>
    <col min="6947" max="6947" width="14" style="2527" bestFit="1" customWidth="1"/>
    <col min="6948" max="7168" width="9" style="2527"/>
    <col min="7169" max="7169" width="1.625" style="2527" customWidth="1"/>
    <col min="7170" max="7170" width="2.625" style="2527" customWidth="1"/>
    <col min="7171" max="7171" width="12.625" style="2527" customWidth="1"/>
    <col min="7172" max="7172" width="30.625" style="2527" customWidth="1"/>
    <col min="7173" max="7173" width="8.625" style="2527" customWidth="1"/>
    <col min="7174" max="7175" width="6.625" style="2527" customWidth="1"/>
    <col min="7176" max="7176" width="8.625" style="2527" customWidth="1"/>
    <col min="7177" max="7177" width="10.625" style="2527" customWidth="1"/>
    <col min="7178" max="7178" width="10.875" style="2527" customWidth="1"/>
    <col min="7179" max="7179" width="1.625" style="2527" customWidth="1"/>
    <col min="7180" max="7181" width="9" style="2527"/>
    <col min="7182" max="7194" width="10.625" style="2527" customWidth="1"/>
    <col min="7195" max="7195" width="9" style="2527"/>
    <col min="7196" max="7196" width="3.625" style="2527" customWidth="1"/>
    <col min="7197" max="7197" width="15.625" style="2527" customWidth="1"/>
    <col min="7198" max="7198" width="10.625" style="2527" customWidth="1"/>
    <col min="7199" max="7199" width="8.75" style="2527" bestFit="1" customWidth="1"/>
    <col min="7200" max="7202" width="5.625" style="2527" customWidth="1"/>
    <col min="7203" max="7203" width="14" style="2527" bestFit="1" customWidth="1"/>
    <col min="7204" max="7424" width="9" style="2527"/>
    <col min="7425" max="7425" width="1.625" style="2527" customWidth="1"/>
    <col min="7426" max="7426" width="2.625" style="2527" customWidth="1"/>
    <col min="7427" max="7427" width="12.625" style="2527" customWidth="1"/>
    <col min="7428" max="7428" width="30.625" style="2527" customWidth="1"/>
    <col min="7429" max="7429" width="8.625" style="2527" customWidth="1"/>
    <col min="7430" max="7431" width="6.625" style="2527" customWidth="1"/>
    <col min="7432" max="7432" width="8.625" style="2527" customWidth="1"/>
    <col min="7433" max="7433" width="10.625" style="2527" customWidth="1"/>
    <col min="7434" max="7434" width="10.875" style="2527" customWidth="1"/>
    <col min="7435" max="7435" width="1.625" style="2527" customWidth="1"/>
    <col min="7436" max="7437" width="9" style="2527"/>
    <col min="7438" max="7450" width="10.625" style="2527" customWidth="1"/>
    <col min="7451" max="7451" width="9" style="2527"/>
    <col min="7452" max="7452" width="3.625" style="2527" customWidth="1"/>
    <col min="7453" max="7453" width="15.625" style="2527" customWidth="1"/>
    <col min="7454" max="7454" width="10.625" style="2527" customWidth="1"/>
    <col min="7455" max="7455" width="8.75" style="2527" bestFit="1" customWidth="1"/>
    <col min="7456" max="7458" width="5.625" style="2527" customWidth="1"/>
    <col min="7459" max="7459" width="14" style="2527" bestFit="1" customWidth="1"/>
    <col min="7460" max="7680" width="9" style="2527"/>
    <col min="7681" max="7681" width="1.625" style="2527" customWidth="1"/>
    <col min="7682" max="7682" width="2.625" style="2527" customWidth="1"/>
    <col min="7683" max="7683" width="12.625" style="2527" customWidth="1"/>
    <col min="7684" max="7684" width="30.625" style="2527" customWidth="1"/>
    <col min="7685" max="7685" width="8.625" style="2527" customWidth="1"/>
    <col min="7686" max="7687" width="6.625" style="2527" customWidth="1"/>
    <col min="7688" max="7688" width="8.625" style="2527" customWidth="1"/>
    <col min="7689" max="7689" width="10.625" style="2527" customWidth="1"/>
    <col min="7690" max="7690" width="10.875" style="2527" customWidth="1"/>
    <col min="7691" max="7691" width="1.625" style="2527" customWidth="1"/>
    <col min="7692" max="7693" width="9" style="2527"/>
    <col min="7694" max="7706" width="10.625" style="2527" customWidth="1"/>
    <col min="7707" max="7707" width="9" style="2527"/>
    <col min="7708" max="7708" width="3.625" style="2527" customWidth="1"/>
    <col min="7709" max="7709" width="15.625" style="2527" customWidth="1"/>
    <col min="7710" max="7710" width="10.625" style="2527" customWidth="1"/>
    <col min="7711" max="7711" width="8.75" style="2527" bestFit="1" customWidth="1"/>
    <col min="7712" max="7714" width="5.625" style="2527" customWidth="1"/>
    <col min="7715" max="7715" width="14" style="2527" bestFit="1" customWidth="1"/>
    <col min="7716" max="7936" width="9" style="2527"/>
    <col min="7937" max="7937" width="1.625" style="2527" customWidth="1"/>
    <col min="7938" max="7938" width="2.625" style="2527" customWidth="1"/>
    <col min="7939" max="7939" width="12.625" style="2527" customWidth="1"/>
    <col min="7940" max="7940" width="30.625" style="2527" customWidth="1"/>
    <col min="7941" max="7941" width="8.625" style="2527" customWidth="1"/>
    <col min="7942" max="7943" width="6.625" style="2527" customWidth="1"/>
    <col min="7944" max="7944" width="8.625" style="2527" customWidth="1"/>
    <col min="7945" max="7945" width="10.625" style="2527" customWidth="1"/>
    <col min="7946" max="7946" width="10.875" style="2527" customWidth="1"/>
    <col min="7947" max="7947" width="1.625" style="2527" customWidth="1"/>
    <col min="7948" max="7949" width="9" style="2527"/>
    <col min="7950" max="7962" width="10.625" style="2527" customWidth="1"/>
    <col min="7963" max="7963" width="9" style="2527"/>
    <col min="7964" max="7964" width="3.625" style="2527" customWidth="1"/>
    <col min="7965" max="7965" width="15.625" style="2527" customWidth="1"/>
    <col min="7966" max="7966" width="10.625" style="2527" customWidth="1"/>
    <col min="7967" max="7967" width="8.75" style="2527" bestFit="1" customWidth="1"/>
    <col min="7968" max="7970" width="5.625" style="2527" customWidth="1"/>
    <col min="7971" max="7971" width="14" style="2527" bestFit="1" customWidth="1"/>
    <col min="7972" max="8192" width="9" style="2527"/>
    <col min="8193" max="8193" width="1.625" style="2527" customWidth="1"/>
    <col min="8194" max="8194" width="2.625" style="2527" customWidth="1"/>
    <col min="8195" max="8195" width="12.625" style="2527" customWidth="1"/>
    <col min="8196" max="8196" width="30.625" style="2527" customWidth="1"/>
    <col min="8197" max="8197" width="8.625" style="2527" customWidth="1"/>
    <col min="8198" max="8199" width="6.625" style="2527" customWidth="1"/>
    <col min="8200" max="8200" width="8.625" style="2527" customWidth="1"/>
    <col min="8201" max="8201" width="10.625" style="2527" customWidth="1"/>
    <col min="8202" max="8202" width="10.875" style="2527" customWidth="1"/>
    <col min="8203" max="8203" width="1.625" style="2527" customWidth="1"/>
    <col min="8204" max="8205" width="9" style="2527"/>
    <col min="8206" max="8218" width="10.625" style="2527" customWidth="1"/>
    <col min="8219" max="8219" width="9" style="2527"/>
    <col min="8220" max="8220" width="3.625" style="2527" customWidth="1"/>
    <col min="8221" max="8221" width="15.625" style="2527" customWidth="1"/>
    <col min="8222" max="8222" width="10.625" style="2527" customWidth="1"/>
    <col min="8223" max="8223" width="8.75" style="2527" bestFit="1" customWidth="1"/>
    <col min="8224" max="8226" width="5.625" style="2527" customWidth="1"/>
    <col min="8227" max="8227" width="14" style="2527" bestFit="1" customWidth="1"/>
    <col min="8228" max="8448" width="9" style="2527"/>
    <col min="8449" max="8449" width="1.625" style="2527" customWidth="1"/>
    <col min="8450" max="8450" width="2.625" style="2527" customWidth="1"/>
    <col min="8451" max="8451" width="12.625" style="2527" customWidth="1"/>
    <col min="8452" max="8452" width="30.625" style="2527" customWidth="1"/>
    <col min="8453" max="8453" width="8.625" style="2527" customWidth="1"/>
    <col min="8454" max="8455" width="6.625" style="2527" customWidth="1"/>
    <col min="8456" max="8456" width="8.625" style="2527" customWidth="1"/>
    <col min="8457" max="8457" width="10.625" style="2527" customWidth="1"/>
    <col min="8458" max="8458" width="10.875" style="2527" customWidth="1"/>
    <col min="8459" max="8459" width="1.625" style="2527" customWidth="1"/>
    <col min="8460" max="8461" width="9" style="2527"/>
    <col min="8462" max="8474" width="10.625" style="2527" customWidth="1"/>
    <col min="8475" max="8475" width="9" style="2527"/>
    <col min="8476" max="8476" width="3.625" style="2527" customWidth="1"/>
    <col min="8477" max="8477" width="15.625" style="2527" customWidth="1"/>
    <col min="8478" max="8478" width="10.625" style="2527" customWidth="1"/>
    <col min="8479" max="8479" width="8.75" style="2527" bestFit="1" customWidth="1"/>
    <col min="8480" max="8482" width="5.625" style="2527" customWidth="1"/>
    <col min="8483" max="8483" width="14" style="2527" bestFit="1" customWidth="1"/>
    <col min="8484" max="8704" width="9" style="2527"/>
    <col min="8705" max="8705" width="1.625" style="2527" customWidth="1"/>
    <col min="8706" max="8706" width="2.625" style="2527" customWidth="1"/>
    <col min="8707" max="8707" width="12.625" style="2527" customWidth="1"/>
    <col min="8708" max="8708" width="30.625" style="2527" customWidth="1"/>
    <col min="8709" max="8709" width="8.625" style="2527" customWidth="1"/>
    <col min="8710" max="8711" width="6.625" style="2527" customWidth="1"/>
    <col min="8712" max="8712" width="8.625" style="2527" customWidth="1"/>
    <col min="8713" max="8713" width="10.625" style="2527" customWidth="1"/>
    <col min="8714" max="8714" width="10.875" style="2527" customWidth="1"/>
    <col min="8715" max="8715" width="1.625" style="2527" customWidth="1"/>
    <col min="8716" max="8717" width="9" style="2527"/>
    <col min="8718" max="8730" width="10.625" style="2527" customWidth="1"/>
    <col min="8731" max="8731" width="9" style="2527"/>
    <col min="8732" max="8732" width="3.625" style="2527" customWidth="1"/>
    <col min="8733" max="8733" width="15.625" style="2527" customWidth="1"/>
    <col min="8734" max="8734" width="10.625" style="2527" customWidth="1"/>
    <col min="8735" max="8735" width="8.75" style="2527" bestFit="1" customWidth="1"/>
    <col min="8736" max="8738" width="5.625" style="2527" customWidth="1"/>
    <col min="8739" max="8739" width="14" style="2527" bestFit="1" customWidth="1"/>
    <col min="8740" max="8960" width="9" style="2527"/>
    <col min="8961" max="8961" width="1.625" style="2527" customWidth="1"/>
    <col min="8962" max="8962" width="2.625" style="2527" customWidth="1"/>
    <col min="8963" max="8963" width="12.625" style="2527" customWidth="1"/>
    <col min="8964" max="8964" width="30.625" style="2527" customWidth="1"/>
    <col min="8965" max="8965" width="8.625" style="2527" customWidth="1"/>
    <col min="8966" max="8967" width="6.625" style="2527" customWidth="1"/>
    <col min="8968" max="8968" width="8.625" style="2527" customWidth="1"/>
    <col min="8969" max="8969" width="10.625" style="2527" customWidth="1"/>
    <col min="8970" max="8970" width="10.875" style="2527" customWidth="1"/>
    <col min="8971" max="8971" width="1.625" style="2527" customWidth="1"/>
    <col min="8972" max="8973" width="9" style="2527"/>
    <col min="8974" max="8986" width="10.625" style="2527" customWidth="1"/>
    <col min="8987" max="8987" width="9" style="2527"/>
    <col min="8988" max="8988" width="3.625" style="2527" customWidth="1"/>
    <col min="8989" max="8989" width="15.625" style="2527" customWidth="1"/>
    <col min="8990" max="8990" width="10.625" style="2527" customWidth="1"/>
    <col min="8991" max="8991" width="8.75" style="2527" bestFit="1" customWidth="1"/>
    <col min="8992" max="8994" width="5.625" style="2527" customWidth="1"/>
    <col min="8995" max="8995" width="14" style="2527" bestFit="1" customWidth="1"/>
    <col min="8996" max="9216" width="9" style="2527"/>
    <col min="9217" max="9217" width="1.625" style="2527" customWidth="1"/>
    <col min="9218" max="9218" width="2.625" style="2527" customWidth="1"/>
    <col min="9219" max="9219" width="12.625" style="2527" customWidth="1"/>
    <col min="9220" max="9220" width="30.625" style="2527" customWidth="1"/>
    <col min="9221" max="9221" width="8.625" style="2527" customWidth="1"/>
    <col min="9222" max="9223" width="6.625" style="2527" customWidth="1"/>
    <col min="9224" max="9224" width="8.625" style="2527" customWidth="1"/>
    <col min="9225" max="9225" width="10.625" style="2527" customWidth="1"/>
    <col min="9226" max="9226" width="10.875" style="2527" customWidth="1"/>
    <col min="9227" max="9227" width="1.625" style="2527" customWidth="1"/>
    <col min="9228" max="9229" width="9" style="2527"/>
    <col min="9230" max="9242" width="10.625" style="2527" customWidth="1"/>
    <col min="9243" max="9243" width="9" style="2527"/>
    <col min="9244" max="9244" width="3.625" style="2527" customWidth="1"/>
    <col min="9245" max="9245" width="15.625" style="2527" customWidth="1"/>
    <col min="9246" max="9246" width="10.625" style="2527" customWidth="1"/>
    <col min="9247" max="9247" width="8.75" style="2527" bestFit="1" customWidth="1"/>
    <col min="9248" max="9250" width="5.625" style="2527" customWidth="1"/>
    <col min="9251" max="9251" width="14" style="2527" bestFit="1" customWidth="1"/>
    <col min="9252" max="9472" width="9" style="2527"/>
    <col min="9473" max="9473" width="1.625" style="2527" customWidth="1"/>
    <col min="9474" max="9474" width="2.625" style="2527" customWidth="1"/>
    <col min="9475" max="9475" width="12.625" style="2527" customWidth="1"/>
    <col min="9476" max="9476" width="30.625" style="2527" customWidth="1"/>
    <col min="9477" max="9477" width="8.625" style="2527" customWidth="1"/>
    <col min="9478" max="9479" width="6.625" style="2527" customWidth="1"/>
    <col min="9480" max="9480" width="8.625" style="2527" customWidth="1"/>
    <col min="9481" max="9481" width="10.625" style="2527" customWidth="1"/>
    <col min="9482" max="9482" width="10.875" style="2527" customWidth="1"/>
    <col min="9483" max="9483" width="1.625" style="2527" customWidth="1"/>
    <col min="9484" max="9485" width="9" style="2527"/>
    <col min="9486" max="9498" width="10.625" style="2527" customWidth="1"/>
    <col min="9499" max="9499" width="9" style="2527"/>
    <col min="9500" max="9500" width="3.625" style="2527" customWidth="1"/>
    <col min="9501" max="9501" width="15.625" style="2527" customWidth="1"/>
    <col min="9502" max="9502" width="10.625" style="2527" customWidth="1"/>
    <col min="9503" max="9503" width="8.75" style="2527" bestFit="1" customWidth="1"/>
    <col min="9504" max="9506" width="5.625" style="2527" customWidth="1"/>
    <col min="9507" max="9507" width="14" style="2527" bestFit="1" customWidth="1"/>
    <col min="9508" max="9728" width="9" style="2527"/>
    <col min="9729" max="9729" width="1.625" style="2527" customWidth="1"/>
    <col min="9730" max="9730" width="2.625" style="2527" customWidth="1"/>
    <col min="9731" max="9731" width="12.625" style="2527" customWidth="1"/>
    <col min="9732" max="9732" width="30.625" style="2527" customWidth="1"/>
    <col min="9733" max="9733" width="8.625" style="2527" customWidth="1"/>
    <col min="9734" max="9735" width="6.625" style="2527" customWidth="1"/>
    <col min="9736" max="9736" width="8.625" style="2527" customWidth="1"/>
    <col min="9737" max="9737" width="10.625" style="2527" customWidth="1"/>
    <col min="9738" max="9738" width="10.875" style="2527" customWidth="1"/>
    <col min="9739" max="9739" width="1.625" style="2527" customWidth="1"/>
    <col min="9740" max="9741" width="9" style="2527"/>
    <col min="9742" max="9754" width="10.625" style="2527" customWidth="1"/>
    <col min="9755" max="9755" width="9" style="2527"/>
    <col min="9756" max="9756" width="3.625" style="2527" customWidth="1"/>
    <col min="9757" max="9757" width="15.625" style="2527" customWidth="1"/>
    <col min="9758" max="9758" width="10.625" style="2527" customWidth="1"/>
    <col min="9759" max="9759" width="8.75" style="2527" bestFit="1" customWidth="1"/>
    <col min="9760" max="9762" width="5.625" style="2527" customWidth="1"/>
    <col min="9763" max="9763" width="14" style="2527" bestFit="1" customWidth="1"/>
    <col min="9764" max="9984" width="9" style="2527"/>
    <col min="9985" max="9985" width="1.625" style="2527" customWidth="1"/>
    <col min="9986" max="9986" width="2.625" style="2527" customWidth="1"/>
    <col min="9987" max="9987" width="12.625" style="2527" customWidth="1"/>
    <col min="9988" max="9988" width="30.625" style="2527" customWidth="1"/>
    <col min="9989" max="9989" width="8.625" style="2527" customWidth="1"/>
    <col min="9990" max="9991" width="6.625" style="2527" customWidth="1"/>
    <col min="9992" max="9992" width="8.625" style="2527" customWidth="1"/>
    <col min="9993" max="9993" width="10.625" style="2527" customWidth="1"/>
    <col min="9994" max="9994" width="10.875" style="2527" customWidth="1"/>
    <col min="9995" max="9995" width="1.625" style="2527" customWidth="1"/>
    <col min="9996" max="9997" width="9" style="2527"/>
    <col min="9998" max="10010" width="10.625" style="2527" customWidth="1"/>
    <col min="10011" max="10011" width="9" style="2527"/>
    <col min="10012" max="10012" width="3.625" style="2527" customWidth="1"/>
    <col min="10013" max="10013" width="15.625" style="2527" customWidth="1"/>
    <col min="10014" max="10014" width="10.625" style="2527" customWidth="1"/>
    <col min="10015" max="10015" width="8.75" style="2527" bestFit="1" customWidth="1"/>
    <col min="10016" max="10018" width="5.625" style="2527" customWidth="1"/>
    <col min="10019" max="10019" width="14" style="2527" bestFit="1" customWidth="1"/>
    <col min="10020" max="10240" width="9" style="2527"/>
    <col min="10241" max="10241" width="1.625" style="2527" customWidth="1"/>
    <col min="10242" max="10242" width="2.625" style="2527" customWidth="1"/>
    <col min="10243" max="10243" width="12.625" style="2527" customWidth="1"/>
    <col min="10244" max="10244" width="30.625" style="2527" customWidth="1"/>
    <col min="10245" max="10245" width="8.625" style="2527" customWidth="1"/>
    <col min="10246" max="10247" width="6.625" style="2527" customWidth="1"/>
    <col min="10248" max="10248" width="8.625" style="2527" customWidth="1"/>
    <col min="10249" max="10249" width="10.625" style="2527" customWidth="1"/>
    <col min="10250" max="10250" width="10.875" style="2527" customWidth="1"/>
    <col min="10251" max="10251" width="1.625" style="2527" customWidth="1"/>
    <col min="10252" max="10253" width="9" style="2527"/>
    <col min="10254" max="10266" width="10.625" style="2527" customWidth="1"/>
    <col min="10267" max="10267" width="9" style="2527"/>
    <col min="10268" max="10268" width="3.625" style="2527" customWidth="1"/>
    <col min="10269" max="10269" width="15.625" style="2527" customWidth="1"/>
    <col min="10270" max="10270" width="10.625" style="2527" customWidth="1"/>
    <col min="10271" max="10271" width="8.75" style="2527" bestFit="1" customWidth="1"/>
    <col min="10272" max="10274" width="5.625" style="2527" customWidth="1"/>
    <col min="10275" max="10275" width="14" style="2527" bestFit="1" customWidth="1"/>
    <col min="10276" max="10496" width="9" style="2527"/>
    <col min="10497" max="10497" width="1.625" style="2527" customWidth="1"/>
    <col min="10498" max="10498" width="2.625" style="2527" customWidth="1"/>
    <col min="10499" max="10499" width="12.625" style="2527" customWidth="1"/>
    <col min="10500" max="10500" width="30.625" style="2527" customWidth="1"/>
    <col min="10501" max="10501" width="8.625" style="2527" customWidth="1"/>
    <col min="10502" max="10503" width="6.625" style="2527" customWidth="1"/>
    <col min="10504" max="10504" width="8.625" style="2527" customWidth="1"/>
    <col min="10505" max="10505" width="10.625" style="2527" customWidth="1"/>
    <col min="10506" max="10506" width="10.875" style="2527" customWidth="1"/>
    <col min="10507" max="10507" width="1.625" style="2527" customWidth="1"/>
    <col min="10508" max="10509" width="9" style="2527"/>
    <col min="10510" max="10522" width="10.625" style="2527" customWidth="1"/>
    <col min="10523" max="10523" width="9" style="2527"/>
    <col min="10524" max="10524" width="3.625" style="2527" customWidth="1"/>
    <col min="10525" max="10525" width="15.625" style="2527" customWidth="1"/>
    <col min="10526" max="10526" width="10.625" style="2527" customWidth="1"/>
    <col min="10527" max="10527" width="8.75" style="2527" bestFit="1" customWidth="1"/>
    <col min="10528" max="10530" width="5.625" style="2527" customWidth="1"/>
    <col min="10531" max="10531" width="14" style="2527" bestFit="1" customWidth="1"/>
    <col min="10532" max="10752" width="9" style="2527"/>
    <col min="10753" max="10753" width="1.625" style="2527" customWidth="1"/>
    <col min="10754" max="10754" width="2.625" style="2527" customWidth="1"/>
    <col min="10755" max="10755" width="12.625" style="2527" customWidth="1"/>
    <col min="10756" max="10756" width="30.625" style="2527" customWidth="1"/>
    <col min="10757" max="10757" width="8.625" style="2527" customWidth="1"/>
    <col min="10758" max="10759" width="6.625" style="2527" customWidth="1"/>
    <col min="10760" max="10760" width="8.625" style="2527" customWidth="1"/>
    <col min="10761" max="10761" width="10.625" style="2527" customWidth="1"/>
    <col min="10762" max="10762" width="10.875" style="2527" customWidth="1"/>
    <col min="10763" max="10763" width="1.625" style="2527" customWidth="1"/>
    <col min="10764" max="10765" width="9" style="2527"/>
    <col min="10766" max="10778" width="10.625" style="2527" customWidth="1"/>
    <col min="10779" max="10779" width="9" style="2527"/>
    <col min="10780" max="10780" width="3.625" style="2527" customWidth="1"/>
    <col min="10781" max="10781" width="15.625" style="2527" customWidth="1"/>
    <col min="10782" max="10782" width="10.625" style="2527" customWidth="1"/>
    <col min="10783" max="10783" width="8.75" style="2527" bestFit="1" customWidth="1"/>
    <col min="10784" max="10786" width="5.625" style="2527" customWidth="1"/>
    <col min="10787" max="10787" width="14" style="2527" bestFit="1" customWidth="1"/>
    <col min="10788" max="11008" width="9" style="2527"/>
    <col min="11009" max="11009" width="1.625" style="2527" customWidth="1"/>
    <col min="11010" max="11010" width="2.625" style="2527" customWidth="1"/>
    <col min="11011" max="11011" width="12.625" style="2527" customWidth="1"/>
    <col min="11012" max="11012" width="30.625" style="2527" customWidth="1"/>
    <col min="11013" max="11013" width="8.625" style="2527" customWidth="1"/>
    <col min="11014" max="11015" width="6.625" style="2527" customWidth="1"/>
    <col min="11016" max="11016" width="8.625" style="2527" customWidth="1"/>
    <col min="11017" max="11017" width="10.625" style="2527" customWidth="1"/>
    <col min="11018" max="11018" width="10.875" style="2527" customWidth="1"/>
    <col min="11019" max="11019" width="1.625" style="2527" customWidth="1"/>
    <col min="11020" max="11021" width="9" style="2527"/>
    <col min="11022" max="11034" width="10.625" style="2527" customWidth="1"/>
    <col min="11035" max="11035" width="9" style="2527"/>
    <col min="11036" max="11036" width="3.625" style="2527" customWidth="1"/>
    <col min="11037" max="11037" width="15.625" style="2527" customWidth="1"/>
    <col min="11038" max="11038" width="10.625" style="2527" customWidth="1"/>
    <col min="11039" max="11039" width="8.75" style="2527" bestFit="1" customWidth="1"/>
    <col min="11040" max="11042" width="5.625" style="2527" customWidth="1"/>
    <col min="11043" max="11043" width="14" style="2527" bestFit="1" customWidth="1"/>
    <col min="11044" max="11264" width="9" style="2527"/>
    <col min="11265" max="11265" width="1.625" style="2527" customWidth="1"/>
    <col min="11266" max="11266" width="2.625" style="2527" customWidth="1"/>
    <col min="11267" max="11267" width="12.625" style="2527" customWidth="1"/>
    <col min="11268" max="11268" width="30.625" style="2527" customWidth="1"/>
    <col min="11269" max="11269" width="8.625" style="2527" customWidth="1"/>
    <col min="11270" max="11271" width="6.625" style="2527" customWidth="1"/>
    <col min="11272" max="11272" width="8.625" style="2527" customWidth="1"/>
    <col min="11273" max="11273" width="10.625" style="2527" customWidth="1"/>
    <col min="11274" max="11274" width="10.875" style="2527" customWidth="1"/>
    <col min="11275" max="11275" width="1.625" style="2527" customWidth="1"/>
    <col min="11276" max="11277" width="9" style="2527"/>
    <col min="11278" max="11290" width="10.625" style="2527" customWidth="1"/>
    <col min="11291" max="11291" width="9" style="2527"/>
    <col min="11292" max="11292" width="3.625" style="2527" customWidth="1"/>
    <col min="11293" max="11293" width="15.625" style="2527" customWidth="1"/>
    <col min="11294" max="11294" width="10.625" style="2527" customWidth="1"/>
    <col min="11295" max="11295" width="8.75" style="2527" bestFit="1" customWidth="1"/>
    <col min="11296" max="11298" width="5.625" style="2527" customWidth="1"/>
    <col min="11299" max="11299" width="14" style="2527" bestFit="1" customWidth="1"/>
    <col min="11300" max="11520" width="9" style="2527"/>
    <col min="11521" max="11521" width="1.625" style="2527" customWidth="1"/>
    <col min="11522" max="11522" width="2.625" style="2527" customWidth="1"/>
    <col min="11523" max="11523" width="12.625" style="2527" customWidth="1"/>
    <col min="11524" max="11524" width="30.625" style="2527" customWidth="1"/>
    <col min="11525" max="11525" width="8.625" style="2527" customWidth="1"/>
    <col min="11526" max="11527" width="6.625" style="2527" customWidth="1"/>
    <col min="11528" max="11528" width="8.625" style="2527" customWidth="1"/>
    <col min="11529" max="11529" width="10.625" style="2527" customWidth="1"/>
    <col min="11530" max="11530" width="10.875" style="2527" customWidth="1"/>
    <col min="11531" max="11531" width="1.625" style="2527" customWidth="1"/>
    <col min="11532" max="11533" width="9" style="2527"/>
    <col min="11534" max="11546" width="10.625" style="2527" customWidth="1"/>
    <col min="11547" max="11547" width="9" style="2527"/>
    <col min="11548" max="11548" width="3.625" style="2527" customWidth="1"/>
    <col min="11549" max="11549" width="15.625" style="2527" customWidth="1"/>
    <col min="11550" max="11550" width="10.625" style="2527" customWidth="1"/>
    <col min="11551" max="11551" width="8.75" style="2527" bestFit="1" customWidth="1"/>
    <col min="11552" max="11554" width="5.625" style="2527" customWidth="1"/>
    <col min="11555" max="11555" width="14" style="2527" bestFit="1" customWidth="1"/>
    <col min="11556" max="11776" width="9" style="2527"/>
    <col min="11777" max="11777" width="1.625" style="2527" customWidth="1"/>
    <col min="11778" max="11778" width="2.625" style="2527" customWidth="1"/>
    <col min="11779" max="11779" width="12.625" style="2527" customWidth="1"/>
    <col min="11780" max="11780" width="30.625" style="2527" customWidth="1"/>
    <col min="11781" max="11781" width="8.625" style="2527" customWidth="1"/>
    <col min="11782" max="11783" width="6.625" style="2527" customWidth="1"/>
    <col min="11784" max="11784" width="8.625" style="2527" customWidth="1"/>
    <col min="11785" max="11785" width="10.625" style="2527" customWidth="1"/>
    <col min="11786" max="11786" width="10.875" style="2527" customWidth="1"/>
    <col min="11787" max="11787" width="1.625" style="2527" customWidth="1"/>
    <col min="11788" max="11789" width="9" style="2527"/>
    <col min="11790" max="11802" width="10.625" style="2527" customWidth="1"/>
    <col min="11803" max="11803" width="9" style="2527"/>
    <col min="11804" max="11804" width="3.625" style="2527" customWidth="1"/>
    <col min="11805" max="11805" width="15.625" style="2527" customWidth="1"/>
    <col min="11806" max="11806" width="10.625" style="2527" customWidth="1"/>
    <col min="11807" max="11807" width="8.75" style="2527" bestFit="1" customWidth="1"/>
    <col min="11808" max="11810" width="5.625" style="2527" customWidth="1"/>
    <col min="11811" max="11811" width="14" style="2527" bestFit="1" customWidth="1"/>
    <col min="11812" max="12032" width="9" style="2527"/>
    <col min="12033" max="12033" width="1.625" style="2527" customWidth="1"/>
    <col min="12034" max="12034" width="2.625" style="2527" customWidth="1"/>
    <col min="12035" max="12035" width="12.625" style="2527" customWidth="1"/>
    <col min="12036" max="12036" width="30.625" style="2527" customWidth="1"/>
    <col min="12037" max="12037" width="8.625" style="2527" customWidth="1"/>
    <col min="12038" max="12039" width="6.625" style="2527" customWidth="1"/>
    <col min="12040" max="12040" width="8.625" style="2527" customWidth="1"/>
    <col min="12041" max="12041" width="10.625" style="2527" customWidth="1"/>
    <col min="12042" max="12042" width="10.875" style="2527" customWidth="1"/>
    <col min="12043" max="12043" width="1.625" style="2527" customWidth="1"/>
    <col min="12044" max="12045" width="9" style="2527"/>
    <col min="12046" max="12058" width="10.625" style="2527" customWidth="1"/>
    <col min="12059" max="12059" width="9" style="2527"/>
    <col min="12060" max="12060" width="3.625" style="2527" customWidth="1"/>
    <col min="12061" max="12061" width="15.625" style="2527" customWidth="1"/>
    <col min="12062" max="12062" width="10.625" style="2527" customWidth="1"/>
    <col min="12063" max="12063" width="8.75" style="2527" bestFit="1" customWidth="1"/>
    <col min="12064" max="12066" width="5.625" style="2527" customWidth="1"/>
    <col min="12067" max="12067" width="14" style="2527" bestFit="1" customWidth="1"/>
    <col min="12068" max="12288" width="9" style="2527"/>
    <col min="12289" max="12289" width="1.625" style="2527" customWidth="1"/>
    <col min="12290" max="12290" width="2.625" style="2527" customWidth="1"/>
    <col min="12291" max="12291" width="12.625" style="2527" customWidth="1"/>
    <col min="12292" max="12292" width="30.625" style="2527" customWidth="1"/>
    <col min="12293" max="12293" width="8.625" style="2527" customWidth="1"/>
    <col min="12294" max="12295" width="6.625" style="2527" customWidth="1"/>
    <col min="12296" max="12296" width="8.625" style="2527" customWidth="1"/>
    <col min="12297" max="12297" width="10.625" style="2527" customWidth="1"/>
    <col min="12298" max="12298" width="10.875" style="2527" customWidth="1"/>
    <col min="12299" max="12299" width="1.625" style="2527" customWidth="1"/>
    <col min="12300" max="12301" width="9" style="2527"/>
    <col min="12302" max="12314" width="10.625" style="2527" customWidth="1"/>
    <col min="12315" max="12315" width="9" style="2527"/>
    <col min="12316" max="12316" width="3.625" style="2527" customWidth="1"/>
    <col min="12317" max="12317" width="15.625" style="2527" customWidth="1"/>
    <col min="12318" max="12318" width="10.625" style="2527" customWidth="1"/>
    <col min="12319" max="12319" width="8.75" style="2527" bestFit="1" customWidth="1"/>
    <col min="12320" max="12322" width="5.625" style="2527" customWidth="1"/>
    <col min="12323" max="12323" width="14" style="2527" bestFit="1" customWidth="1"/>
    <col min="12324" max="12544" width="9" style="2527"/>
    <col min="12545" max="12545" width="1.625" style="2527" customWidth="1"/>
    <col min="12546" max="12546" width="2.625" style="2527" customWidth="1"/>
    <col min="12547" max="12547" width="12.625" style="2527" customWidth="1"/>
    <col min="12548" max="12548" width="30.625" style="2527" customWidth="1"/>
    <col min="12549" max="12549" width="8.625" style="2527" customWidth="1"/>
    <col min="12550" max="12551" width="6.625" style="2527" customWidth="1"/>
    <col min="12552" max="12552" width="8.625" style="2527" customWidth="1"/>
    <col min="12553" max="12553" width="10.625" style="2527" customWidth="1"/>
    <col min="12554" max="12554" width="10.875" style="2527" customWidth="1"/>
    <col min="12555" max="12555" width="1.625" style="2527" customWidth="1"/>
    <col min="12556" max="12557" width="9" style="2527"/>
    <col min="12558" max="12570" width="10.625" style="2527" customWidth="1"/>
    <col min="12571" max="12571" width="9" style="2527"/>
    <col min="12572" max="12572" width="3.625" style="2527" customWidth="1"/>
    <col min="12573" max="12573" width="15.625" style="2527" customWidth="1"/>
    <col min="12574" max="12574" width="10.625" style="2527" customWidth="1"/>
    <col min="12575" max="12575" width="8.75" style="2527" bestFit="1" customWidth="1"/>
    <col min="12576" max="12578" width="5.625" style="2527" customWidth="1"/>
    <col min="12579" max="12579" width="14" style="2527" bestFit="1" customWidth="1"/>
    <col min="12580" max="12800" width="9" style="2527"/>
    <col min="12801" max="12801" width="1.625" style="2527" customWidth="1"/>
    <col min="12802" max="12802" width="2.625" style="2527" customWidth="1"/>
    <col min="12803" max="12803" width="12.625" style="2527" customWidth="1"/>
    <col min="12804" max="12804" width="30.625" style="2527" customWidth="1"/>
    <col min="12805" max="12805" width="8.625" style="2527" customWidth="1"/>
    <col min="12806" max="12807" width="6.625" style="2527" customWidth="1"/>
    <col min="12808" max="12808" width="8.625" style="2527" customWidth="1"/>
    <col min="12809" max="12809" width="10.625" style="2527" customWidth="1"/>
    <col min="12810" max="12810" width="10.875" style="2527" customWidth="1"/>
    <col min="12811" max="12811" width="1.625" style="2527" customWidth="1"/>
    <col min="12812" max="12813" width="9" style="2527"/>
    <col min="12814" max="12826" width="10.625" style="2527" customWidth="1"/>
    <col min="12827" max="12827" width="9" style="2527"/>
    <col min="12828" max="12828" width="3.625" style="2527" customWidth="1"/>
    <col min="12829" max="12829" width="15.625" style="2527" customWidth="1"/>
    <col min="12830" max="12830" width="10.625" style="2527" customWidth="1"/>
    <col min="12831" max="12831" width="8.75" style="2527" bestFit="1" customWidth="1"/>
    <col min="12832" max="12834" width="5.625" style="2527" customWidth="1"/>
    <col min="12835" max="12835" width="14" style="2527" bestFit="1" customWidth="1"/>
    <col min="12836" max="13056" width="9" style="2527"/>
    <col min="13057" max="13057" width="1.625" style="2527" customWidth="1"/>
    <col min="13058" max="13058" width="2.625" style="2527" customWidth="1"/>
    <col min="13059" max="13059" width="12.625" style="2527" customWidth="1"/>
    <col min="13060" max="13060" width="30.625" style="2527" customWidth="1"/>
    <col min="13061" max="13061" width="8.625" style="2527" customWidth="1"/>
    <col min="13062" max="13063" width="6.625" style="2527" customWidth="1"/>
    <col min="13064" max="13064" width="8.625" style="2527" customWidth="1"/>
    <col min="13065" max="13065" width="10.625" style="2527" customWidth="1"/>
    <col min="13066" max="13066" width="10.875" style="2527" customWidth="1"/>
    <col min="13067" max="13067" width="1.625" style="2527" customWidth="1"/>
    <col min="13068" max="13069" width="9" style="2527"/>
    <col min="13070" max="13082" width="10.625" style="2527" customWidth="1"/>
    <col min="13083" max="13083" width="9" style="2527"/>
    <col min="13084" max="13084" width="3.625" style="2527" customWidth="1"/>
    <col min="13085" max="13085" width="15.625" style="2527" customWidth="1"/>
    <col min="13086" max="13086" width="10.625" style="2527" customWidth="1"/>
    <col min="13087" max="13087" width="8.75" style="2527" bestFit="1" customWidth="1"/>
    <col min="13088" max="13090" width="5.625" style="2527" customWidth="1"/>
    <col min="13091" max="13091" width="14" style="2527" bestFit="1" customWidth="1"/>
    <col min="13092" max="13312" width="9" style="2527"/>
    <col min="13313" max="13313" width="1.625" style="2527" customWidth="1"/>
    <col min="13314" max="13314" width="2.625" style="2527" customWidth="1"/>
    <col min="13315" max="13315" width="12.625" style="2527" customWidth="1"/>
    <col min="13316" max="13316" width="30.625" style="2527" customWidth="1"/>
    <col min="13317" max="13317" width="8.625" style="2527" customWidth="1"/>
    <col min="13318" max="13319" width="6.625" style="2527" customWidth="1"/>
    <col min="13320" max="13320" width="8.625" style="2527" customWidth="1"/>
    <col min="13321" max="13321" width="10.625" style="2527" customWidth="1"/>
    <col min="13322" max="13322" width="10.875" style="2527" customWidth="1"/>
    <col min="13323" max="13323" width="1.625" style="2527" customWidth="1"/>
    <col min="13324" max="13325" width="9" style="2527"/>
    <col min="13326" max="13338" width="10.625" style="2527" customWidth="1"/>
    <col min="13339" max="13339" width="9" style="2527"/>
    <col min="13340" max="13340" width="3.625" style="2527" customWidth="1"/>
    <col min="13341" max="13341" width="15.625" style="2527" customWidth="1"/>
    <col min="13342" max="13342" width="10.625" style="2527" customWidth="1"/>
    <col min="13343" max="13343" width="8.75" style="2527" bestFit="1" customWidth="1"/>
    <col min="13344" max="13346" width="5.625" style="2527" customWidth="1"/>
    <col min="13347" max="13347" width="14" style="2527" bestFit="1" customWidth="1"/>
    <col min="13348" max="13568" width="9" style="2527"/>
    <col min="13569" max="13569" width="1.625" style="2527" customWidth="1"/>
    <col min="13570" max="13570" width="2.625" style="2527" customWidth="1"/>
    <col min="13571" max="13571" width="12.625" style="2527" customWidth="1"/>
    <col min="13572" max="13572" width="30.625" style="2527" customWidth="1"/>
    <col min="13573" max="13573" width="8.625" style="2527" customWidth="1"/>
    <col min="13574" max="13575" width="6.625" style="2527" customWidth="1"/>
    <col min="13576" max="13576" width="8.625" style="2527" customWidth="1"/>
    <col min="13577" max="13577" width="10.625" style="2527" customWidth="1"/>
    <col min="13578" max="13578" width="10.875" style="2527" customWidth="1"/>
    <col min="13579" max="13579" width="1.625" style="2527" customWidth="1"/>
    <col min="13580" max="13581" width="9" style="2527"/>
    <col min="13582" max="13594" width="10.625" style="2527" customWidth="1"/>
    <col min="13595" max="13595" width="9" style="2527"/>
    <col min="13596" max="13596" width="3.625" style="2527" customWidth="1"/>
    <col min="13597" max="13597" width="15.625" style="2527" customWidth="1"/>
    <col min="13598" max="13598" width="10.625" style="2527" customWidth="1"/>
    <col min="13599" max="13599" width="8.75" style="2527" bestFit="1" customWidth="1"/>
    <col min="13600" max="13602" width="5.625" style="2527" customWidth="1"/>
    <col min="13603" max="13603" width="14" style="2527" bestFit="1" customWidth="1"/>
    <col min="13604" max="13824" width="9" style="2527"/>
    <col min="13825" max="13825" width="1.625" style="2527" customWidth="1"/>
    <col min="13826" max="13826" width="2.625" style="2527" customWidth="1"/>
    <col min="13827" max="13827" width="12.625" style="2527" customWidth="1"/>
    <col min="13828" max="13828" width="30.625" style="2527" customWidth="1"/>
    <col min="13829" max="13829" width="8.625" style="2527" customWidth="1"/>
    <col min="13830" max="13831" width="6.625" style="2527" customWidth="1"/>
    <col min="13832" max="13832" width="8.625" style="2527" customWidth="1"/>
    <col min="13833" max="13833" width="10.625" style="2527" customWidth="1"/>
    <col min="13834" max="13834" width="10.875" style="2527" customWidth="1"/>
    <col min="13835" max="13835" width="1.625" style="2527" customWidth="1"/>
    <col min="13836" max="13837" width="9" style="2527"/>
    <col min="13838" max="13850" width="10.625" style="2527" customWidth="1"/>
    <col min="13851" max="13851" width="9" style="2527"/>
    <col min="13852" max="13852" width="3.625" style="2527" customWidth="1"/>
    <col min="13853" max="13853" width="15.625" style="2527" customWidth="1"/>
    <col min="13854" max="13854" width="10.625" style="2527" customWidth="1"/>
    <col min="13855" max="13855" width="8.75" style="2527" bestFit="1" customWidth="1"/>
    <col min="13856" max="13858" width="5.625" style="2527" customWidth="1"/>
    <col min="13859" max="13859" width="14" style="2527" bestFit="1" customWidth="1"/>
    <col min="13860" max="14080" width="9" style="2527"/>
    <col min="14081" max="14081" width="1.625" style="2527" customWidth="1"/>
    <col min="14082" max="14082" width="2.625" style="2527" customWidth="1"/>
    <col min="14083" max="14083" width="12.625" style="2527" customWidth="1"/>
    <col min="14084" max="14084" width="30.625" style="2527" customWidth="1"/>
    <col min="14085" max="14085" width="8.625" style="2527" customWidth="1"/>
    <col min="14086" max="14087" width="6.625" style="2527" customWidth="1"/>
    <col min="14088" max="14088" width="8.625" style="2527" customWidth="1"/>
    <col min="14089" max="14089" width="10.625" style="2527" customWidth="1"/>
    <col min="14090" max="14090" width="10.875" style="2527" customWidth="1"/>
    <col min="14091" max="14091" width="1.625" style="2527" customWidth="1"/>
    <col min="14092" max="14093" width="9" style="2527"/>
    <col min="14094" max="14106" width="10.625" style="2527" customWidth="1"/>
    <col min="14107" max="14107" width="9" style="2527"/>
    <col min="14108" max="14108" width="3.625" style="2527" customWidth="1"/>
    <col min="14109" max="14109" width="15.625" style="2527" customWidth="1"/>
    <col min="14110" max="14110" width="10.625" style="2527" customWidth="1"/>
    <col min="14111" max="14111" width="8.75" style="2527" bestFit="1" customWidth="1"/>
    <col min="14112" max="14114" width="5.625" style="2527" customWidth="1"/>
    <col min="14115" max="14115" width="14" style="2527" bestFit="1" customWidth="1"/>
    <col min="14116" max="14336" width="9" style="2527"/>
    <col min="14337" max="14337" width="1.625" style="2527" customWidth="1"/>
    <col min="14338" max="14338" width="2.625" style="2527" customWidth="1"/>
    <col min="14339" max="14339" width="12.625" style="2527" customWidth="1"/>
    <col min="14340" max="14340" width="30.625" style="2527" customWidth="1"/>
    <col min="14341" max="14341" width="8.625" style="2527" customWidth="1"/>
    <col min="14342" max="14343" width="6.625" style="2527" customWidth="1"/>
    <col min="14344" max="14344" width="8.625" style="2527" customWidth="1"/>
    <col min="14345" max="14345" width="10.625" style="2527" customWidth="1"/>
    <col min="14346" max="14346" width="10.875" style="2527" customWidth="1"/>
    <col min="14347" max="14347" width="1.625" style="2527" customWidth="1"/>
    <col min="14348" max="14349" width="9" style="2527"/>
    <col min="14350" max="14362" width="10.625" style="2527" customWidth="1"/>
    <col min="14363" max="14363" width="9" style="2527"/>
    <col min="14364" max="14364" width="3.625" style="2527" customWidth="1"/>
    <col min="14365" max="14365" width="15.625" style="2527" customWidth="1"/>
    <col min="14366" max="14366" width="10.625" style="2527" customWidth="1"/>
    <col min="14367" max="14367" width="8.75" style="2527" bestFit="1" customWidth="1"/>
    <col min="14368" max="14370" width="5.625" style="2527" customWidth="1"/>
    <col min="14371" max="14371" width="14" style="2527" bestFit="1" customWidth="1"/>
    <col min="14372" max="14592" width="9" style="2527"/>
    <col min="14593" max="14593" width="1.625" style="2527" customWidth="1"/>
    <col min="14594" max="14594" width="2.625" style="2527" customWidth="1"/>
    <col min="14595" max="14595" width="12.625" style="2527" customWidth="1"/>
    <col min="14596" max="14596" width="30.625" style="2527" customWidth="1"/>
    <col min="14597" max="14597" width="8.625" style="2527" customWidth="1"/>
    <col min="14598" max="14599" width="6.625" style="2527" customWidth="1"/>
    <col min="14600" max="14600" width="8.625" style="2527" customWidth="1"/>
    <col min="14601" max="14601" width="10.625" style="2527" customWidth="1"/>
    <col min="14602" max="14602" width="10.875" style="2527" customWidth="1"/>
    <col min="14603" max="14603" width="1.625" style="2527" customWidth="1"/>
    <col min="14604" max="14605" width="9" style="2527"/>
    <col min="14606" max="14618" width="10.625" style="2527" customWidth="1"/>
    <col min="14619" max="14619" width="9" style="2527"/>
    <col min="14620" max="14620" width="3.625" style="2527" customWidth="1"/>
    <col min="14621" max="14621" width="15.625" style="2527" customWidth="1"/>
    <col min="14622" max="14622" width="10.625" style="2527" customWidth="1"/>
    <col min="14623" max="14623" width="8.75" style="2527" bestFit="1" customWidth="1"/>
    <col min="14624" max="14626" width="5.625" style="2527" customWidth="1"/>
    <col min="14627" max="14627" width="14" style="2527" bestFit="1" customWidth="1"/>
    <col min="14628" max="14848" width="9" style="2527"/>
    <col min="14849" max="14849" width="1.625" style="2527" customWidth="1"/>
    <col min="14850" max="14850" width="2.625" style="2527" customWidth="1"/>
    <col min="14851" max="14851" width="12.625" style="2527" customWidth="1"/>
    <col min="14852" max="14852" width="30.625" style="2527" customWidth="1"/>
    <col min="14853" max="14853" width="8.625" style="2527" customWidth="1"/>
    <col min="14854" max="14855" width="6.625" style="2527" customWidth="1"/>
    <col min="14856" max="14856" width="8.625" style="2527" customWidth="1"/>
    <col min="14857" max="14857" width="10.625" style="2527" customWidth="1"/>
    <col min="14858" max="14858" width="10.875" style="2527" customWidth="1"/>
    <col min="14859" max="14859" width="1.625" style="2527" customWidth="1"/>
    <col min="14860" max="14861" width="9" style="2527"/>
    <col min="14862" max="14874" width="10.625" style="2527" customWidth="1"/>
    <col min="14875" max="14875" width="9" style="2527"/>
    <col min="14876" max="14876" width="3.625" style="2527" customWidth="1"/>
    <col min="14877" max="14877" width="15.625" style="2527" customWidth="1"/>
    <col min="14878" max="14878" width="10.625" style="2527" customWidth="1"/>
    <col min="14879" max="14879" width="8.75" style="2527" bestFit="1" customWidth="1"/>
    <col min="14880" max="14882" width="5.625" style="2527" customWidth="1"/>
    <col min="14883" max="14883" width="14" style="2527" bestFit="1" customWidth="1"/>
    <col min="14884" max="15104" width="9" style="2527"/>
    <col min="15105" max="15105" width="1.625" style="2527" customWidth="1"/>
    <col min="15106" max="15106" width="2.625" style="2527" customWidth="1"/>
    <col min="15107" max="15107" width="12.625" style="2527" customWidth="1"/>
    <col min="15108" max="15108" width="30.625" style="2527" customWidth="1"/>
    <col min="15109" max="15109" width="8.625" style="2527" customWidth="1"/>
    <col min="15110" max="15111" width="6.625" style="2527" customWidth="1"/>
    <col min="15112" max="15112" width="8.625" style="2527" customWidth="1"/>
    <col min="15113" max="15113" width="10.625" style="2527" customWidth="1"/>
    <col min="15114" max="15114" width="10.875" style="2527" customWidth="1"/>
    <col min="15115" max="15115" width="1.625" style="2527" customWidth="1"/>
    <col min="15116" max="15117" width="9" style="2527"/>
    <col min="15118" max="15130" width="10.625" style="2527" customWidth="1"/>
    <col min="15131" max="15131" width="9" style="2527"/>
    <col min="15132" max="15132" width="3.625" style="2527" customWidth="1"/>
    <col min="15133" max="15133" width="15.625" style="2527" customWidth="1"/>
    <col min="15134" max="15134" width="10.625" style="2527" customWidth="1"/>
    <col min="15135" max="15135" width="8.75" style="2527" bestFit="1" customWidth="1"/>
    <col min="15136" max="15138" width="5.625" style="2527" customWidth="1"/>
    <col min="15139" max="15139" width="14" style="2527" bestFit="1" customWidth="1"/>
    <col min="15140" max="15360" width="9" style="2527"/>
    <col min="15361" max="15361" width="1.625" style="2527" customWidth="1"/>
    <col min="15362" max="15362" width="2.625" style="2527" customWidth="1"/>
    <col min="15363" max="15363" width="12.625" style="2527" customWidth="1"/>
    <col min="15364" max="15364" width="30.625" style="2527" customWidth="1"/>
    <col min="15365" max="15365" width="8.625" style="2527" customWidth="1"/>
    <col min="15366" max="15367" width="6.625" style="2527" customWidth="1"/>
    <col min="15368" max="15368" width="8.625" style="2527" customWidth="1"/>
    <col min="15369" max="15369" width="10.625" style="2527" customWidth="1"/>
    <col min="15370" max="15370" width="10.875" style="2527" customWidth="1"/>
    <col min="15371" max="15371" width="1.625" style="2527" customWidth="1"/>
    <col min="15372" max="15373" width="9" style="2527"/>
    <col min="15374" max="15386" width="10.625" style="2527" customWidth="1"/>
    <col min="15387" max="15387" width="9" style="2527"/>
    <col min="15388" max="15388" width="3.625" style="2527" customWidth="1"/>
    <col min="15389" max="15389" width="15.625" style="2527" customWidth="1"/>
    <col min="15390" max="15390" width="10.625" style="2527" customWidth="1"/>
    <col min="15391" max="15391" width="8.75" style="2527" bestFit="1" customWidth="1"/>
    <col min="15392" max="15394" width="5.625" style="2527" customWidth="1"/>
    <col min="15395" max="15395" width="14" style="2527" bestFit="1" customWidth="1"/>
    <col min="15396" max="15616" width="9" style="2527"/>
    <col min="15617" max="15617" width="1.625" style="2527" customWidth="1"/>
    <col min="15618" max="15618" width="2.625" style="2527" customWidth="1"/>
    <col min="15619" max="15619" width="12.625" style="2527" customWidth="1"/>
    <col min="15620" max="15620" width="30.625" style="2527" customWidth="1"/>
    <col min="15621" max="15621" width="8.625" style="2527" customWidth="1"/>
    <col min="15622" max="15623" width="6.625" style="2527" customWidth="1"/>
    <col min="15624" max="15624" width="8.625" style="2527" customWidth="1"/>
    <col min="15625" max="15625" width="10.625" style="2527" customWidth="1"/>
    <col min="15626" max="15626" width="10.875" style="2527" customWidth="1"/>
    <col min="15627" max="15627" width="1.625" style="2527" customWidth="1"/>
    <col min="15628" max="15629" width="9" style="2527"/>
    <col min="15630" max="15642" width="10.625" style="2527" customWidth="1"/>
    <col min="15643" max="15643" width="9" style="2527"/>
    <col min="15644" max="15644" width="3.625" style="2527" customWidth="1"/>
    <col min="15645" max="15645" width="15.625" style="2527" customWidth="1"/>
    <col min="15646" max="15646" width="10.625" style="2527" customWidth="1"/>
    <col min="15647" max="15647" width="8.75" style="2527" bestFit="1" customWidth="1"/>
    <col min="15648" max="15650" width="5.625" style="2527" customWidth="1"/>
    <col min="15651" max="15651" width="14" style="2527" bestFit="1" customWidth="1"/>
    <col min="15652" max="15872" width="9" style="2527"/>
    <col min="15873" max="15873" width="1.625" style="2527" customWidth="1"/>
    <col min="15874" max="15874" width="2.625" style="2527" customWidth="1"/>
    <col min="15875" max="15875" width="12.625" style="2527" customWidth="1"/>
    <col min="15876" max="15876" width="30.625" style="2527" customWidth="1"/>
    <col min="15877" max="15877" width="8.625" style="2527" customWidth="1"/>
    <col min="15878" max="15879" width="6.625" style="2527" customWidth="1"/>
    <col min="15880" max="15880" width="8.625" style="2527" customWidth="1"/>
    <col min="15881" max="15881" width="10.625" style="2527" customWidth="1"/>
    <col min="15882" max="15882" width="10.875" style="2527" customWidth="1"/>
    <col min="15883" max="15883" width="1.625" style="2527" customWidth="1"/>
    <col min="15884" max="15885" width="9" style="2527"/>
    <col min="15886" max="15898" width="10.625" style="2527" customWidth="1"/>
    <col min="15899" max="15899" width="9" style="2527"/>
    <col min="15900" max="15900" width="3.625" style="2527" customWidth="1"/>
    <col min="15901" max="15901" width="15.625" style="2527" customWidth="1"/>
    <col min="15902" max="15902" width="10.625" style="2527" customWidth="1"/>
    <col min="15903" max="15903" width="8.75" style="2527" bestFit="1" customWidth="1"/>
    <col min="15904" max="15906" width="5.625" style="2527" customWidth="1"/>
    <col min="15907" max="15907" width="14" style="2527" bestFit="1" customWidth="1"/>
    <col min="15908" max="16128" width="9" style="2527"/>
    <col min="16129" max="16129" width="1.625" style="2527" customWidth="1"/>
    <col min="16130" max="16130" width="2.625" style="2527" customWidth="1"/>
    <col min="16131" max="16131" width="12.625" style="2527" customWidth="1"/>
    <col min="16132" max="16132" width="30.625" style="2527" customWidth="1"/>
    <col min="16133" max="16133" width="8.625" style="2527" customWidth="1"/>
    <col min="16134" max="16135" width="6.625" style="2527" customWidth="1"/>
    <col min="16136" max="16136" width="8.625" style="2527" customWidth="1"/>
    <col min="16137" max="16137" width="10.625" style="2527" customWidth="1"/>
    <col min="16138" max="16138" width="10.875" style="2527" customWidth="1"/>
    <col min="16139" max="16139" width="1.625" style="2527" customWidth="1"/>
    <col min="16140" max="16141" width="9" style="2527"/>
    <col min="16142" max="16154" width="10.625" style="2527" customWidth="1"/>
    <col min="16155" max="16155" width="9" style="2527"/>
    <col min="16156" max="16156" width="3.625" style="2527" customWidth="1"/>
    <col min="16157" max="16157" width="15.625" style="2527" customWidth="1"/>
    <col min="16158" max="16158" width="10.625" style="2527" customWidth="1"/>
    <col min="16159" max="16159" width="8.75" style="2527" bestFit="1" customWidth="1"/>
    <col min="16160" max="16162" width="5.625" style="2527" customWidth="1"/>
    <col min="16163" max="16163" width="14" style="2527" bestFit="1" customWidth="1"/>
    <col min="16164" max="16384" width="9" style="2527"/>
  </cols>
  <sheetData>
    <row r="1" spans="2:35" ht="9" customHeight="1"/>
    <row r="2" spans="2:35" ht="21" customHeight="1" thickBot="1">
      <c r="B2" s="2903" t="s">
        <v>1866</v>
      </c>
      <c r="C2" s="2904"/>
      <c r="D2" s="2904"/>
      <c r="E2" s="2904"/>
      <c r="F2" s="2904"/>
      <c r="G2" s="2905">
        <f>メイン!H39</f>
        <v>41828</v>
      </c>
      <c r="H2" s="2906"/>
      <c r="I2" s="2906"/>
      <c r="J2" s="2907"/>
    </row>
    <row r="3" spans="2:35" ht="21" customHeight="1" thickBot="1">
      <c r="B3" s="2908" t="s">
        <v>1867</v>
      </c>
      <c r="C3" s="2909"/>
      <c r="D3" s="2528" t="str">
        <f>メイン!C11</f>
        <v>旧ビル</v>
      </c>
      <c r="E3" s="2529"/>
      <c r="F3" s="2529"/>
      <c r="G3" s="2529"/>
      <c r="H3" s="2529"/>
      <c r="I3" s="2529"/>
      <c r="J3" s="2530"/>
    </row>
    <row r="4" spans="2:35" ht="6" customHeight="1">
      <c r="B4" s="2531"/>
      <c r="C4" s="2531"/>
      <c r="D4" s="2531"/>
      <c r="E4" s="2531"/>
      <c r="F4" s="2531"/>
      <c r="G4" s="2531"/>
      <c r="H4" s="2531"/>
      <c r="I4" s="2531"/>
      <c r="J4" s="2532"/>
    </row>
    <row r="5" spans="2:35" ht="18" customHeight="1">
      <c r="B5" s="2533"/>
      <c r="C5" s="850" t="s">
        <v>961</v>
      </c>
      <c r="D5" s="2534" t="str">
        <f>メイン!C5</f>
        <v>CASBEE-BD_RN_2014(v.2.0)</v>
      </c>
      <c r="G5" s="850" t="s">
        <v>466</v>
      </c>
      <c r="H5" s="1265" t="str">
        <f>メイン!C6</f>
        <v>CASBEE-建築(改修)2014年版</v>
      </c>
      <c r="I5" s="1265"/>
      <c r="J5" s="1265"/>
    </row>
    <row r="6" spans="2:35" ht="6" customHeight="1" thickBot="1">
      <c r="B6" s="2532"/>
      <c r="C6" s="2532"/>
      <c r="D6" s="2532"/>
      <c r="E6" s="2532"/>
      <c r="F6" s="2532"/>
      <c r="G6" s="2532"/>
      <c r="H6" s="2532"/>
      <c r="I6" s="2532"/>
      <c r="J6" s="2532"/>
    </row>
    <row r="7" spans="2:35" ht="24" customHeight="1" thickBot="1">
      <c r="B7" s="2535" t="s">
        <v>1868</v>
      </c>
      <c r="C7" s="2536"/>
      <c r="D7" s="2537"/>
      <c r="E7" s="2537"/>
      <c r="F7" s="2538"/>
      <c r="G7" s="2537"/>
      <c r="H7" s="2538"/>
      <c r="I7" s="2539" t="s">
        <v>1869</v>
      </c>
      <c r="J7" s="2686">
        <f>ROUND(SUM(J10:J35),0)</f>
        <v>77</v>
      </c>
      <c r="O7" s="2540" t="s">
        <v>1932</v>
      </c>
      <c r="P7" s="2541"/>
      <c r="Q7" s="2540" t="s">
        <v>1933</v>
      </c>
      <c r="R7" s="2541"/>
      <c r="S7" s="2542" t="s">
        <v>1870</v>
      </c>
      <c r="T7" s="2543"/>
      <c r="AD7" s="2545"/>
      <c r="AE7" s="2545"/>
      <c r="AF7" s="2545"/>
      <c r="AG7" s="2545"/>
      <c r="AH7" s="2545"/>
      <c r="AI7" s="2545"/>
    </row>
    <row r="8" spans="2:35" ht="27" customHeight="1" thickBot="1">
      <c r="B8" s="2546" t="s">
        <v>1872</v>
      </c>
      <c r="C8" s="2547"/>
      <c r="D8" s="2548"/>
      <c r="E8" s="2549"/>
      <c r="F8" s="2550"/>
      <c r="G8" s="2551"/>
      <c r="H8" s="2910" t="s">
        <v>1873</v>
      </c>
      <c r="I8" s="2910" t="s">
        <v>1874</v>
      </c>
      <c r="J8" s="2912" t="s">
        <v>1875</v>
      </c>
      <c r="O8" s="2541" t="s">
        <v>1405</v>
      </c>
      <c r="P8" s="2541">
        <f>'改修前の重み（重点項目）'!D8</f>
        <v>1</v>
      </c>
      <c r="Q8" s="2541" t="s">
        <v>1405</v>
      </c>
      <c r="R8" s="2541">
        <f>'改修前の重み（重点項目）'!E8</f>
        <v>0</v>
      </c>
      <c r="S8" s="2541" t="s">
        <v>1405</v>
      </c>
      <c r="T8" s="2541">
        <f>SUM(P8,R8)</f>
        <v>1</v>
      </c>
    </row>
    <row r="9" spans="2:35" ht="27" customHeight="1" thickBot="1">
      <c r="B9" s="2552"/>
      <c r="C9" s="2553" t="s">
        <v>1954</v>
      </c>
      <c r="D9" s="2554"/>
      <c r="E9" s="2555"/>
      <c r="F9" s="2556" t="s">
        <v>1955</v>
      </c>
      <c r="G9" s="2557" t="s">
        <v>1876</v>
      </c>
      <c r="H9" s="2911"/>
      <c r="I9" s="2911"/>
      <c r="J9" s="2913"/>
      <c r="O9" s="2541" t="s">
        <v>1955</v>
      </c>
      <c r="P9" s="2541" t="s">
        <v>1877</v>
      </c>
      <c r="Q9" s="2541" t="s">
        <v>1955</v>
      </c>
      <c r="R9" s="2541" t="s">
        <v>1877</v>
      </c>
      <c r="S9" s="2541" t="s">
        <v>1955</v>
      </c>
      <c r="T9" s="2541" t="s">
        <v>1877</v>
      </c>
      <c r="V9" s="2527" t="s">
        <v>1871</v>
      </c>
      <c r="AC9" s="2544" t="s">
        <v>1956</v>
      </c>
    </row>
    <row r="10" spans="2:35" ht="24" customHeight="1">
      <c r="B10" s="2558" t="s">
        <v>1957</v>
      </c>
      <c r="C10" s="2559" t="s">
        <v>1878</v>
      </c>
      <c r="D10" s="2560"/>
      <c r="E10" s="2560"/>
      <c r="F10" s="2561"/>
      <c r="G10" s="2562"/>
      <c r="H10" s="2895">
        <f>ROUNDDOWN((G11*F11+G12*F12+G13*F13+G14*F14+G15*F15+G16*F16+G17*F17+G18*F18)*(5/4)*20,1)</f>
        <v>80.3</v>
      </c>
      <c r="I10" s="2898">
        <v>0.4</v>
      </c>
      <c r="J10" s="2898">
        <f>H10*I10</f>
        <v>32.119999999999997</v>
      </c>
      <c r="O10" s="2563"/>
      <c r="P10" s="2563"/>
      <c r="Q10" s="2563"/>
      <c r="R10" s="2563"/>
      <c r="S10" s="2563"/>
      <c r="T10" s="2563"/>
      <c r="V10" s="2540"/>
      <c r="W10" s="2564" t="s">
        <v>1879</v>
      </c>
      <c r="X10" s="2564" t="str">
        <f>AB11&amp;AC11</f>
        <v>①</v>
      </c>
      <c r="Y10" s="2565" t="str">
        <f>AB12&amp;AC12</f>
        <v>②</v>
      </c>
      <c r="Z10" s="2565" t="str">
        <f>AB13&amp;AC13</f>
        <v>③</v>
      </c>
      <c r="AA10" s="2564" t="str">
        <f>AB14&amp;AC14</f>
        <v>④</v>
      </c>
      <c r="AC10" s="2566"/>
      <c r="AD10" s="2567" t="s">
        <v>991</v>
      </c>
      <c r="AE10" s="2568" t="s">
        <v>1958</v>
      </c>
      <c r="AF10" s="2568">
        <v>4</v>
      </c>
      <c r="AG10" s="2567" t="s">
        <v>1959</v>
      </c>
      <c r="AH10" s="2568">
        <v>2</v>
      </c>
      <c r="AI10" s="2569" t="s">
        <v>1960</v>
      </c>
    </row>
    <row r="11" spans="2:35" ht="21" customHeight="1">
      <c r="B11" s="2901"/>
      <c r="C11" s="2570" t="s">
        <v>1961</v>
      </c>
      <c r="D11" s="2571" t="s">
        <v>650</v>
      </c>
      <c r="E11" s="2572"/>
      <c r="F11" s="2573">
        <f>スコア表示!L24</f>
        <v>3</v>
      </c>
      <c r="G11" s="2574">
        <f>T11</f>
        <v>7.1428571428571438E-2</v>
      </c>
      <c r="H11" s="2896"/>
      <c r="I11" s="2899"/>
      <c r="J11" s="2899"/>
      <c r="O11" s="2540">
        <f>スコア表示!AF24</f>
        <v>3</v>
      </c>
      <c r="P11" s="2540">
        <f>'改修前の重み（重点項目）'!D11</f>
        <v>7.1428571428571438E-2</v>
      </c>
      <c r="Q11" s="2540">
        <f>スコア表示!AJ24</f>
        <v>3</v>
      </c>
      <c r="R11" s="2540">
        <f>'改修前の重み（重点項目）'!E11</f>
        <v>0</v>
      </c>
      <c r="S11" s="2540">
        <f t="shared" ref="S11:S18" si="0">IF(O11=0,Q11,IF(Q11=0,O11,O11*P$8+Q11*R$8))</f>
        <v>3</v>
      </c>
      <c r="T11" s="2540">
        <f t="shared" ref="T11:T18" si="1">P11</f>
        <v>7.1428571428571438E-2</v>
      </c>
      <c r="V11" s="2540" t="s">
        <v>1962</v>
      </c>
      <c r="W11" s="2575">
        <f>J7</f>
        <v>77</v>
      </c>
      <c r="X11" s="2576">
        <f>H10</f>
        <v>80.3</v>
      </c>
      <c r="Y11" s="2576">
        <f>H19</f>
        <v>75</v>
      </c>
      <c r="Z11" s="2576">
        <f>H25</f>
        <v>75</v>
      </c>
      <c r="AA11" s="2576">
        <f>H30</f>
        <v>75</v>
      </c>
      <c r="AC11" s="2577" t="s">
        <v>1937</v>
      </c>
      <c r="AD11" s="2578" t="s">
        <v>1880</v>
      </c>
      <c r="AE11" s="2579">
        <v>125</v>
      </c>
      <c r="AF11" s="2579">
        <v>100</v>
      </c>
      <c r="AG11" s="2566">
        <v>75</v>
      </c>
      <c r="AH11" s="2579">
        <v>50</v>
      </c>
      <c r="AI11" s="2580">
        <f>X11</f>
        <v>80.3</v>
      </c>
    </row>
    <row r="12" spans="2:35" ht="21" customHeight="1">
      <c r="B12" s="2901"/>
      <c r="C12" s="2570" t="s">
        <v>1963</v>
      </c>
      <c r="D12" s="2571" t="s">
        <v>1881</v>
      </c>
      <c r="E12" s="2572"/>
      <c r="F12" s="2573">
        <f>スコア表示!L38</f>
        <v>3</v>
      </c>
      <c r="G12" s="2574">
        <f t="shared" ref="G12:G18" si="2">T12</f>
        <v>7.1428571428571438E-2</v>
      </c>
      <c r="H12" s="2896"/>
      <c r="I12" s="2899"/>
      <c r="J12" s="2899"/>
      <c r="O12" s="2540">
        <f>スコア表示!AF38</f>
        <v>3</v>
      </c>
      <c r="P12" s="2540">
        <f>'改修前の重み（重点項目）'!D12</f>
        <v>7.1428571428571438E-2</v>
      </c>
      <c r="Q12" s="2540">
        <f>スコア表示!AJ38</f>
        <v>3</v>
      </c>
      <c r="R12" s="2540">
        <f>'改修前の重み（重点項目）'!E12</f>
        <v>0</v>
      </c>
      <c r="S12" s="2540">
        <f t="shared" si="0"/>
        <v>3</v>
      </c>
      <c r="T12" s="2540">
        <f t="shared" si="1"/>
        <v>7.1428571428571438E-2</v>
      </c>
      <c r="V12" s="2540" t="s">
        <v>1882</v>
      </c>
      <c r="W12" s="2575">
        <f>IF(W11&gt;100,0,100-W11)</f>
        <v>23</v>
      </c>
      <c r="X12" s="2575">
        <f>IF(X11&gt;100,0,100-X11)</f>
        <v>19.700000000000003</v>
      </c>
      <c r="Y12" s="2575">
        <f>IF(Y11&gt;100,0,100-Y11)</f>
        <v>25</v>
      </c>
      <c r="Z12" s="2575">
        <f>IF(Z11&gt;100,0,100-Z11)</f>
        <v>25</v>
      </c>
      <c r="AA12" s="2575">
        <f>IF(AA11&gt;100,0,100-AA11)</f>
        <v>25</v>
      </c>
      <c r="AC12" s="2577" t="s">
        <v>1942</v>
      </c>
      <c r="AD12" s="2581" t="s">
        <v>1884</v>
      </c>
      <c r="AE12" s="2579">
        <v>125</v>
      </c>
      <c r="AF12" s="2579">
        <v>100</v>
      </c>
      <c r="AG12" s="2566">
        <v>75</v>
      </c>
      <c r="AH12" s="2579">
        <v>50</v>
      </c>
      <c r="AI12" s="2580">
        <f>Y11</f>
        <v>75</v>
      </c>
    </row>
    <row r="13" spans="2:35" ht="21" customHeight="1">
      <c r="B13" s="2901"/>
      <c r="C13" s="2570" t="s">
        <v>1943</v>
      </c>
      <c r="D13" s="2571" t="s">
        <v>1885</v>
      </c>
      <c r="E13" s="2572"/>
      <c r="F13" s="2573">
        <f>スコア表示!L41</f>
        <v>3</v>
      </c>
      <c r="G13" s="2574">
        <f t="shared" si="2"/>
        <v>7.1428571428571438E-2</v>
      </c>
      <c r="H13" s="2896"/>
      <c r="I13" s="2899"/>
      <c r="J13" s="2899"/>
      <c r="O13" s="2540">
        <f>スコア表示!AF41</f>
        <v>3</v>
      </c>
      <c r="P13" s="2540">
        <f>'改修前の重み（重点項目）'!D13</f>
        <v>7.1428571428571438E-2</v>
      </c>
      <c r="Q13" s="2540">
        <f>スコア表示!AJ41</f>
        <v>3</v>
      </c>
      <c r="R13" s="2540">
        <f>'改修前の重み（重点項目）'!E13</f>
        <v>0</v>
      </c>
      <c r="S13" s="2540">
        <f t="shared" si="0"/>
        <v>3</v>
      </c>
      <c r="T13" s="2540">
        <f t="shared" si="1"/>
        <v>7.1428571428571438E-2</v>
      </c>
      <c r="V13" s="2540" t="s">
        <v>1964</v>
      </c>
      <c r="W13" s="2575">
        <f>IF(W11&lt;40,1,IF(W11&lt;60,2,IF(W11&lt;80,3,IF(W11&lt;100,4,5))))/5</f>
        <v>0.6</v>
      </c>
      <c r="X13" s="2575">
        <f>IF(X11&lt;40,1,IF(X11&lt;60,2,IF(X11&lt;80,3,IF(X11&lt;100,4,5))))/5</f>
        <v>0.8</v>
      </c>
      <c r="Y13" s="2575">
        <f>IF(Y11&lt;40,1,IF(Y11&lt;60,2,IF(Y11&lt;80,3,IF(Y11&lt;100,4,5))))/5</f>
        <v>0.6</v>
      </c>
      <c r="Z13" s="2575">
        <f>IF(Z11&lt;40,1,IF(Z11&lt;60,2,IF(Z11&lt;80,3,IF(Z11&lt;100,4,5))))/5</f>
        <v>0.6</v>
      </c>
      <c r="AA13" s="2575">
        <f>IF(AA11&lt;40,1,IF(AA11&lt;60,2,IF(AA11&lt;80,3,IF(AA11&lt;100,4,5))))/5</f>
        <v>0.6</v>
      </c>
      <c r="AC13" s="2577" t="s">
        <v>1948</v>
      </c>
      <c r="AD13" s="2581" t="s">
        <v>1886</v>
      </c>
      <c r="AE13" s="2579">
        <v>125</v>
      </c>
      <c r="AF13" s="2579">
        <v>100</v>
      </c>
      <c r="AG13" s="2566">
        <v>75</v>
      </c>
      <c r="AH13" s="2579">
        <v>50</v>
      </c>
      <c r="AI13" s="2580">
        <f>Z11</f>
        <v>75</v>
      </c>
    </row>
    <row r="14" spans="2:35" ht="21" customHeight="1">
      <c r="B14" s="2901"/>
      <c r="C14" s="2570" t="s">
        <v>1946</v>
      </c>
      <c r="D14" s="2680" t="s">
        <v>2031</v>
      </c>
      <c r="E14" s="2572"/>
      <c r="F14" s="2573">
        <f>スコア表示!L118</f>
        <v>4</v>
      </c>
      <c r="G14" s="2574">
        <f t="shared" si="2"/>
        <v>0.2142857142857143</v>
      </c>
      <c r="H14" s="2896"/>
      <c r="I14" s="2899"/>
      <c r="J14" s="2899"/>
      <c r="O14" s="2540">
        <f>スコア表示!AF118</f>
        <v>4</v>
      </c>
      <c r="P14" s="2540">
        <f>'改修前の重み（重点項目）'!D14</f>
        <v>0.2142857142857143</v>
      </c>
      <c r="Q14" s="2540">
        <f>スコア表示!AJ118</f>
        <v>0</v>
      </c>
      <c r="R14" s="2540">
        <f>'改修前の重み（重点項目）'!E14</f>
        <v>0</v>
      </c>
      <c r="S14" s="2540">
        <f t="shared" si="0"/>
        <v>4</v>
      </c>
      <c r="T14" s="2540">
        <f t="shared" si="1"/>
        <v>0.2142857142857143</v>
      </c>
      <c r="V14" s="2540" t="s">
        <v>1882</v>
      </c>
      <c r="W14" s="2575">
        <f>1-W13</f>
        <v>0.4</v>
      </c>
      <c r="X14" s="2575">
        <f>1-X13</f>
        <v>0.19999999999999996</v>
      </c>
      <c r="Y14" s="2575">
        <f>1-Y13</f>
        <v>0.4</v>
      </c>
      <c r="Z14" s="2575">
        <f>1-Z13</f>
        <v>0.4</v>
      </c>
      <c r="AA14" s="2575">
        <f>1-AA13</f>
        <v>0.4</v>
      </c>
      <c r="AC14" s="2577" t="s">
        <v>1950</v>
      </c>
      <c r="AD14" s="2578" t="s">
        <v>1887</v>
      </c>
      <c r="AE14" s="2579">
        <v>125</v>
      </c>
      <c r="AF14" s="2579">
        <v>100</v>
      </c>
      <c r="AG14" s="2566">
        <v>75</v>
      </c>
      <c r="AH14" s="2579">
        <v>50</v>
      </c>
      <c r="AI14" s="2580">
        <f>AA11</f>
        <v>75</v>
      </c>
    </row>
    <row r="15" spans="2:35" ht="21" customHeight="1">
      <c r="B15" s="2901"/>
      <c r="C15" s="2582" t="s">
        <v>1965</v>
      </c>
      <c r="D15" s="2583" t="s">
        <v>1966</v>
      </c>
      <c r="E15" s="2584"/>
      <c r="F15" s="2573">
        <f>スコア表示!L119</f>
        <v>3</v>
      </c>
      <c r="G15" s="2585">
        <f t="shared" si="2"/>
        <v>0.28571428571428575</v>
      </c>
      <c r="H15" s="2896"/>
      <c r="I15" s="2899"/>
      <c r="J15" s="2899"/>
      <c r="O15" s="2540">
        <f>スコア表示!AF119</f>
        <v>3</v>
      </c>
      <c r="P15" s="2540">
        <f>'改修前の重み（重点項目）'!D15</f>
        <v>0.28571428571428575</v>
      </c>
      <c r="Q15" s="2540">
        <f>スコア表示!AJ119</f>
        <v>0</v>
      </c>
      <c r="R15" s="2540">
        <f>'改修前の重み（重点項目）'!E15</f>
        <v>0</v>
      </c>
      <c r="S15" s="2540">
        <f t="shared" si="0"/>
        <v>3</v>
      </c>
      <c r="T15" s="2540">
        <f t="shared" si="1"/>
        <v>0.28571428571428575</v>
      </c>
    </row>
    <row r="16" spans="2:35" ht="21" customHeight="1">
      <c r="B16" s="2901"/>
      <c r="C16" s="2582" t="s">
        <v>1967</v>
      </c>
      <c r="D16" s="2583" t="s">
        <v>1968</v>
      </c>
      <c r="E16" s="2584"/>
      <c r="F16" s="2573">
        <f>スコア表示!L124</f>
        <v>3</v>
      </c>
      <c r="G16" s="2585">
        <f t="shared" si="2"/>
        <v>0</v>
      </c>
      <c r="H16" s="2896"/>
      <c r="I16" s="2899"/>
      <c r="J16" s="2899"/>
      <c r="L16" s="2586"/>
      <c r="O16" s="2540">
        <f>スコア表示!AF124</f>
        <v>3</v>
      </c>
      <c r="P16" s="2540">
        <f>'改修前の重み（重点項目）'!D16</f>
        <v>0</v>
      </c>
      <c r="Q16" s="2540">
        <f>スコア表示!AJ124</f>
        <v>0</v>
      </c>
      <c r="R16" s="2540">
        <f>'改修前の重み（重点項目）'!E16</f>
        <v>0</v>
      </c>
      <c r="S16" s="2540">
        <f t="shared" si="0"/>
        <v>3</v>
      </c>
      <c r="T16" s="2540">
        <f t="shared" si="1"/>
        <v>0</v>
      </c>
    </row>
    <row r="17" spans="2:20" ht="21" customHeight="1">
      <c r="B17" s="2901"/>
      <c r="C17" s="2582" t="s">
        <v>1969</v>
      </c>
      <c r="D17" s="2583" t="s">
        <v>1889</v>
      </c>
      <c r="E17" s="2584"/>
      <c r="F17" s="2573">
        <f>スコア表示!L147</f>
        <v>3</v>
      </c>
      <c r="G17" s="2585">
        <f t="shared" si="2"/>
        <v>0.14285714285714288</v>
      </c>
      <c r="H17" s="2896"/>
      <c r="I17" s="2899"/>
      <c r="J17" s="2899"/>
      <c r="L17" s="2587" t="s">
        <v>262</v>
      </c>
      <c r="O17" s="2540">
        <f>スコア表示!AF143</f>
        <v>2.9999999999999996</v>
      </c>
      <c r="P17" s="2540">
        <f>'改修前の重み（重点項目）'!D17</f>
        <v>0.14285714285714288</v>
      </c>
      <c r="Q17" s="2540">
        <f>スコア表示!AJ143</f>
        <v>0</v>
      </c>
      <c r="R17" s="2540">
        <f>'改修前の重み（重点項目）'!E17</f>
        <v>0</v>
      </c>
      <c r="S17" s="2540">
        <f t="shared" si="0"/>
        <v>2.9999999999999996</v>
      </c>
      <c r="T17" s="2540">
        <f t="shared" si="1"/>
        <v>0.14285714285714288</v>
      </c>
    </row>
    <row r="18" spans="2:20" ht="21" customHeight="1" thickBot="1">
      <c r="B18" s="2902"/>
      <c r="C18" s="2588" t="s">
        <v>1970</v>
      </c>
      <c r="D18" s="2589" t="s">
        <v>1890</v>
      </c>
      <c r="E18" s="2590"/>
      <c r="F18" s="2591">
        <f>スコア表示!L167</f>
        <v>3</v>
      </c>
      <c r="G18" s="2592">
        <f t="shared" si="2"/>
        <v>0.14285714285714288</v>
      </c>
      <c r="H18" s="2897"/>
      <c r="I18" s="2900"/>
      <c r="J18" s="2900"/>
      <c r="L18" s="2593" t="str">
        <f>IF(SUM(G11:G18)=1,"OK","NG")</f>
        <v>OK</v>
      </c>
      <c r="O18" s="2540">
        <f>スコア表示!AF163</f>
        <v>3</v>
      </c>
      <c r="P18" s="2540">
        <f>'改修前の重み（重点項目）'!D18</f>
        <v>0.14285714285714288</v>
      </c>
      <c r="Q18" s="2540">
        <f>スコア表示!AJ163</f>
        <v>0</v>
      </c>
      <c r="R18" s="2540">
        <f>'改修前の重み（重点項目）'!E18</f>
        <v>0</v>
      </c>
      <c r="S18" s="2540">
        <f t="shared" si="0"/>
        <v>3</v>
      </c>
      <c r="T18" s="2540">
        <f t="shared" si="1"/>
        <v>0.14285714285714288</v>
      </c>
    </row>
    <row r="19" spans="2:20" ht="24" customHeight="1">
      <c r="B19" s="2558" t="s">
        <v>1942</v>
      </c>
      <c r="C19" s="2559" t="s">
        <v>1891</v>
      </c>
      <c r="D19" s="2594"/>
      <c r="E19" s="2594"/>
      <c r="F19" s="2561"/>
      <c r="G19" s="2562"/>
      <c r="H19" s="2895">
        <f>ROUNDDOWN((G20*F20+G21*F21+G22*F22+G23*F23+G24*F24)*(5/4)*20,1)</f>
        <v>75</v>
      </c>
      <c r="I19" s="2898">
        <v>0.2</v>
      </c>
      <c r="J19" s="2898">
        <f>H19*I19</f>
        <v>15</v>
      </c>
      <c r="O19" s="2563"/>
      <c r="P19" s="2563"/>
      <c r="Q19" s="2563"/>
      <c r="R19" s="2563"/>
      <c r="S19" s="2563"/>
      <c r="T19" s="2563"/>
    </row>
    <row r="20" spans="2:20" ht="21" customHeight="1">
      <c r="B20" s="2901"/>
      <c r="C20" s="2570" t="s">
        <v>1971</v>
      </c>
      <c r="D20" s="2571" t="s">
        <v>714</v>
      </c>
      <c r="E20" s="2572"/>
      <c r="F20" s="2573">
        <f>スコア表示!L66</f>
        <v>3</v>
      </c>
      <c r="G20" s="2574">
        <f>T20</f>
        <v>0.25</v>
      </c>
      <c r="H20" s="2896"/>
      <c r="I20" s="2899"/>
      <c r="J20" s="2899"/>
      <c r="O20" s="2540">
        <f>スコア表示!AF66</f>
        <v>3</v>
      </c>
      <c r="P20" s="2540">
        <f>'改修前の重み（重点項目）'!D20</f>
        <v>0.25</v>
      </c>
      <c r="Q20" s="2540">
        <f>スコア表示!AJ66</f>
        <v>0</v>
      </c>
      <c r="R20" s="2540">
        <f>'改修前の重み（重点項目）'!E20</f>
        <v>0</v>
      </c>
      <c r="S20" s="2540">
        <f>IF(O20=0,Q20,IF(Q20=0,O20,O20*P$8+Q20*R$8))</f>
        <v>3</v>
      </c>
      <c r="T20" s="2540">
        <f>P20</f>
        <v>0.25</v>
      </c>
    </row>
    <row r="21" spans="2:20" ht="21" customHeight="1">
      <c r="B21" s="2901"/>
      <c r="C21" s="2570" t="s">
        <v>1972</v>
      </c>
      <c r="D21" s="2571" t="s">
        <v>731</v>
      </c>
      <c r="E21" s="2572"/>
      <c r="F21" s="2595">
        <f>スコア表示!L77</f>
        <v>3</v>
      </c>
      <c r="G21" s="2574">
        <f>T21</f>
        <v>0.25</v>
      </c>
      <c r="H21" s="2896"/>
      <c r="I21" s="2899"/>
      <c r="J21" s="2899"/>
      <c r="O21" s="2540">
        <f>スコア表示!AF77</f>
        <v>3</v>
      </c>
      <c r="P21" s="2540">
        <f>'改修前の重み（重点項目）'!D21</f>
        <v>0.25</v>
      </c>
      <c r="Q21" s="2540">
        <f>スコア表示!AJ77</f>
        <v>0</v>
      </c>
      <c r="R21" s="2540">
        <f>'改修前の重み（重点項目）'!E21</f>
        <v>0</v>
      </c>
      <c r="S21" s="2540">
        <f>IF(O21=0,Q21,IF(Q21=0,O21,O21*P$8+Q21*R$8))</f>
        <v>3</v>
      </c>
      <c r="T21" s="2540">
        <f>P21</f>
        <v>0.25</v>
      </c>
    </row>
    <row r="22" spans="2:20" ht="21" customHeight="1">
      <c r="B22" s="2901"/>
      <c r="C22" s="2582" t="s">
        <v>1973</v>
      </c>
      <c r="D22" s="2583" t="s">
        <v>1893</v>
      </c>
      <c r="E22" s="2584"/>
      <c r="F22" s="2596">
        <f>スコア表示!L110</f>
        <v>3</v>
      </c>
      <c r="G22" s="2585">
        <f>T22</f>
        <v>0.15</v>
      </c>
      <c r="H22" s="2896"/>
      <c r="I22" s="2899"/>
      <c r="J22" s="2899"/>
      <c r="L22" s="2586"/>
      <c r="O22" s="2540">
        <f>スコア表示!AF110</f>
        <v>3</v>
      </c>
      <c r="P22" s="2540">
        <f>'改修前の重み（重点項目）'!D22</f>
        <v>0.15</v>
      </c>
      <c r="Q22" s="2540">
        <f>スコア表示!AJ110</f>
        <v>0</v>
      </c>
      <c r="R22" s="2540">
        <f>'改修前の重み（重点項目）'!E22</f>
        <v>0</v>
      </c>
      <c r="S22" s="2540">
        <f>IF(O22=0,Q22,IF(Q22=0,O22,O22*P$8+Q22*R$8))</f>
        <v>3</v>
      </c>
      <c r="T22" s="2540">
        <f>P22</f>
        <v>0.15</v>
      </c>
    </row>
    <row r="23" spans="2:20" ht="21" customHeight="1">
      <c r="B23" s="2901"/>
      <c r="C23" s="2582" t="s">
        <v>1974</v>
      </c>
      <c r="D23" s="2583" t="s">
        <v>1975</v>
      </c>
      <c r="E23" s="2584"/>
      <c r="F23" s="2596">
        <f>スコア表示!L112</f>
        <v>3</v>
      </c>
      <c r="G23" s="2585">
        <f>T23</f>
        <v>0.2</v>
      </c>
      <c r="H23" s="2896"/>
      <c r="I23" s="2899"/>
      <c r="J23" s="2899"/>
      <c r="L23" s="2587" t="s">
        <v>262</v>
      </c>
      <c r="O23" s="2540">
        <f>スコア表示!AF112</f>
        <v>3</v>
      </c>
      <c r="P23" s="2540">
        <f>'改修前の重み（重点項目）'!D23</f>
        <v>0.2</v>
      </c>
      <c r="Q23" s="2540">
        <f>スコア表示!AJ112</f>
        <v>0</v>
      </c>
      <c r="R23" s="2540">
        <f>'改修前の重み（重点項目）'!E23</f>
        <v>0</v>
      </c>
      <c r="S23" s="2540">
        <f>IF(O23=0,Q23,IF(Q23=0,O23,O23*P$8+Q23*R$8))</f>
        <v>3</v>
      </c>
      <c r="T23" s="2540">
        <f>P23</f>
        <v>0.2</v>
      </c>
    </row>
    <row r="24" spans="2:20" ht="21" customHeight="1" thickBot="1">
      <c r="B24" s="2902"/>
      <c r="C24" s="2582" t="s">
        <v>1976</v>
      </c>
      <c r="D24" s="2583" t="s">
        <v>1894</v>
      </c>
      <c r="E24" s="2584"/>
      <c r="F24" s="2596">
        <f>スコア表示!L163</f>
        <v>3</v>
      </c>
      <c r="G24" s="2585">
        <f>T24</f>
        <v>0.15</v>
      </c>
      <c r="H24" s="2897"/>
      <c r="I24" s="2900"/>
      <c r="J24" s="2900"/>
      <c r="L24" s="2593" t="str">
        <f>IF(SUM(G20:G24)=1,"OK","NG")</f>
        <v>OK</v>
      </c>
      <c r="O24" s="2540">
        <f>スコア表示!AF159</f>
        <v>0</v>
      </c>
      <c r="P24" s="2540">
        <f>'改修前の重み（重点項目）'!D24</f>
        <v>0.15</v>
      </c>
      <c r="Q24" s="2540">
        <f>スコア表示!AJ159</f>
        <v>0</v>
      </c>
      <c r="R24" s="2540">
        <f>'改修前の重み（重点項目）'!E24</f>
        <v>0</v>
      </c>
      <c r="S24" s="2540">
        <f>IF(O24=0,Q24,IF(Q24=0,O24,O24*P$8+Q24*R$8))</f>
        <v>0</v>
      </c>
      <c r="T24" s="2540">
        <f>P24</f>
        <v>0.15</v>
      </c>
    </row>
    <row r="25" spans="2:20" ht="24" customHeight="1">
      <c r="B25" s="2558" t="s">
        <v>1948</v>
      </c>
      <c r="C25" s="2559" t="s">
        <v>1895</v>
      </c>
      <c r="D25" s="2594"/>
      <c r="E25" s="2594"/>
      <c r="F25" s="2561"/>
      <c r="G25" s="2562"/>
      <c r="H25" s="2895">
        <f>ROUNDDOWN((G26*F26+G27*F27+G28*F28+G29*F29)*(5/4)*20,1)</f>
        <v>75</v>
      </c>
      <c r="I25" s="2898">
        <v>0.2</v>
      </c>
      <c r="J25" s="2898">
        <f>H25*I25</f>
        <v>15</v>
      </c>
      <c r="O25" s="2563"/>
      <c r="P25" s="2563"/>
      <c r="Q25" s="2563"/>
      <c r="R25" s="2563"/>
      <c r="S25" s="2563"/>
      <c r="T25" s="2563"/>
    </row>
    <row r="26" spans="2:20" ht="21" customHeight="1">
      <c r="B26" s="2901"/>
      <c r="C26" s="2572" t="s">
        <v>1896</v>
      </c>
      <c r="D26" s="2571" t="s">
        <v>1897</v>
      </c>
      <c r="E26" s="2572"/>
      <c r="F26" s="2573">
        <f>スコア表示!L111</f>
        <v>3</v>
      </c>
      <c r="G26" s="2574">
        <f>T26</f>
        <v>0.5</v>
      </c>
      <c r="H26" s="2896"/>
      <c r="I26" s="2899"/>
      <c r="J26" s="2899"/>
      <c r="O26" s="2540">
        <f>スコア表示!AF111</f>
        <v>3</v>
      </c>
      <c r="P26" s="2540">
        <f>'改修前の重み（重点項目）'!D26</f>
        <v>0.5</v>
      </c>
      <c r="Q26" s="2540">
        <f>スコア表示!AJ111</f>
        <v>0</v>
      </c>
      <c r="R26" s="2540">
        <f>'改修前の重み（重点項目）'!E26</f>
        <v>0</v>
      </c>
      <c r="S26" s="2540">
        <f>IF(O26=0,Q26,IF(Q26=0,O26,O26*P$8+Q26*R$8))</f>
        <v>3</v>
      </c>
      <c r="T26" s="2540">
        <f>P26</f>
        <v>0.5</v>
      </c>
    </row>
    <row r="27" spans="2:20" ht="21" customHeight="1">
      <c r="B27" s="2901"/>
      <c r="C27" s="2584" t="s">
        <v>1977</v>
      </c>
      <c r="D27" s="2583" t="s">
        <v>1898</v>
      </c>
      <c r="E27" s="2584"/>
      <c r="F27" s="2597">
        <f>スコア表示!L142</f>
        <v>3</v>
      </c>
      <c r="G27" s="2585">
        <f>T27</f>
        <v>0</v>
      </c>
      <c r="H27" s="2896"/>
      <c r="I27" s="2899"/>
      <c r="J27" s="2899"/>
      <c r="O27" s="2540">
        <f>スコア表示!AF138</f>
        <v>0</v>
      </c>
      <c r="P27" s="2540">
        <f>'改修前の重み（重点項目）'!D27</f>
        <v>0</v>
      </c>
      <c r="Q27" s="2540">
        <f>スコア表示!AJ138</f>
        <v>0</v>
      </c>
      <c r="R27" s="2540">
        <f>'改修前の重み（重点項目）'!E27</f>
        <v>0</v>
      </c>
      <c r="S27" s="2540">
        <f>IF(O27=0,Q27,IF(Q27=0,O27,O27*P$8+Q27*R$8))</f>
        <v>0</v>
      </c>
      <c r="T27" s="2540">
        <f>P27</f>
        <v>0</v>
      </c>
    </row>
    <row r="28" spans="2:20" ht="21" customHeight="1">
      <c r="B28" s="2901"/>
      <c r="C28" s="2584" t="s">
        <v>1978</v>
      </c>
      <c r="D28" s="2583" t="s">
        <v>1899</v>
      </c>
      <c r="E28" s="2598"/>
      <c r="F28" s="2599">
        <f>スコア表示!L144</f>
        <v>3</v>
      </c>
      <c r="G28" s="2600">
        <f>T28</f>
        <v>0</v>
      </c>
      <c r="H28" s="2896"/>
      <c r="I28" s="2899"/>
      <c r="J28" s="2899"/>
      <c r="L28" s="2587" t="s">
        <v>262</v>
      </c>
      <c r="O28" s="2540">
        <f>スコア表示!AF140</f>
        <v>0</v>
      </c>
      <c r="P28" s="2540">
        <f>'改修前の重み（重点項目）'!D28</f>
        <v>0</v>
      </c>
      <c r="Q28" s="2540">
        <f>スコア表示!AJ140</f>
        <v>0</v>
      </c>
      <c r="R28" s="2540">
        <f>'改修前の重み（重点項目）'!E28</f>
        <v>0</v>
      </c>
      <c r="S28" s="2540">
        <f>IF(O28=0,Q28,IF(Q28=0,O28,O28*P$8+Q28*R$8))</f>
        <v>0</v>
      </c>
      <c r="T28" s="2540">
        <f>P28</f>
        <v>0</v>
      </c>
    </row>
    <row r="29" spans="2:20" ht="21" customHeight="1" thickBot="1">
      <c r="B29" s="2902"/>
      <c r="C29" s="2601" t="s">
        <v>1949</v>
      </c>
      <c r="D29" s="2602" t="s">
        <v>1900</v>
      </c>
      <c r="E29" s="2601"/>
      <c r="F29" s="2603">
        <f>スコア表示!L147</f>
        <v>3</v>
      </c>
      <c r="G29" s="2604">
        <f>T29</f>
        <v>0.5</v>
      </c>
      <c r="H29" s="2897"/>
      <c r="I29" s="2900"/>
      <c r="J29" s="2900"/>
      <c r="L29" s="2593" t="str">
        <f>IF(SUM(G26:G29)=1,"OK","NG")</f>
        <v>OK</v>
      </c>
      <c r="O29" s="2540">
        <f>スコア表示!AF147</f>
        <v>3</v>
      </c>
      <c r="P29" s="2540">
        <f>'改修前の重み（重点項目）'!D29</f>
        <v>0.5</v>
      </c>
      <c r="Q29" s="2540">
        <f>スコア表示!AJ147</f>
        <v>0</v>
      </c>
      <c r="R29" s="2540">
        <f>'改修前の重み（重点項目）'!E29</f>
        <v>0</v>
      </c>
      <c r="S29" s="2540">
        <f>IF(O29=0,Q29,IF(Q29=0,O29,O29*P$8+Q29*R$8))</f>
        <v>3</v>
      </c>
      <c r="T29" s="2540">
        <f>P29</f>
        <v>0.5</v>
      </c>
    </row>
    <row r="30" spans="2:20" ht="24" customHeight="1">
      <c r="B30" s="2558" t="s">
        <v>1950</v>
      </c>
      <c r="C30" s="2559" t="s">
        <v>1901</v>
      </c>
      <c r="D30" s="2594"/>
      <c r="E30" s="2594"/>
      <c r="F30" s="2561"/>
      <c r="G30" s="2562"/>
      <c r="H30" s="2895">
        <f>ROUNDDOWN((G31*F31+G32*F32+G33*F33+G34*F34+G35*F35)*(5/4)*20,1)</f>
        <v>75</v>
      </c>
      <c r="I30" s="2898">
        <v>0.2</v>
      </c>
      <c r="J30" s="2898">
        <f>H30*I30</f>
        <v>15</v>
      </c>
      <c r="O30" s="2563"/>
      <c r="P30" s="2563"/>
      <c r="Q30" s="2563"/>
      <c r="R30" s="2563"/>
      <c r="S30" s="2563"/>
      <c r="T30" s="2563"/>
    </row>
    <row r="31" spans="2:20" ht="21" customHeight="1">
      <c r="B31" s="2901"/>
      <c r="C31" s="2572" t="s">
        <v>1951</v>
      </c>
      <c r="D31" s="2571" t="s">
        <v>1902</v>
      </c>
      <c r="E31" s="2572"/>
      <c r="F31" s="2573">
        <f>スコア表示!L79</f>
        <v>3</v>
      </c>
      <c r="G31" s="2574">
        <f>T31</f>
        <v>0.42857142857142849</v>
      </c>
      <c r="H31" s="2896"/>
      <c r="I31" s="2899"/>
      <c r="J31" s="2899"/>
      <c r="O31" s="2540">
        <f>スコア表示!AF79</f>
        <v>3</v>
      </c>
      <c r="P31" s="2540">
        <f>'改修前の重み（重点項目）'!D31</f>
        <v>0.42857142857142849</v>
      </c>
      <c r="Q31" s="2540">
        <f>スコア表示!AJ79</f>
        <v>0</v>
      </c>
      <c r="R31" s="2540">
        <f>'改修前の重み（重点項目）'!E31</f>
        <v>0</v>
      </c>
      <c r="S31" s="2540">
        <f>IF(O31=0,Q31,IF(Q31=0,O31,O31*P$8+Q31*R$8))</f>
        <v>3</v>
      </c>
      <c r="T31" s="2540">
        <f>P31</f>
        <v>0.42857142857142849</v>
      </c>
    </row>
    <row r="32" spans="2:20" ht="21" customHeight="1">
      <c r="B32" s="2901"/>
      <c r="C32" s="2584" t="s">
        <v>1952</v>
      </c>
      <c r="D32" s="2583" t="s">
        <v>1903</v>
      </c>
      <c r="E32" s="2584"/>
      <c r="F32" s="2597">
        <f>スコア表示!L97</f>
        <v>3</v>
      </c>
      <c r="G32" s="2585">
        <f>T32</f>
        <v>0</v>
      </c>
      <c r="H32" s="2896"/>
      <c r="I32" s="2899"/>
      <c r="J32" s="2899"/>
      <c r="O32" s="2540">
        <f>スコア表示!AF97</f>
        <v>3</v>
      </c>
      <c r="P32" s="2540">
        <f>'改修前の重み（重点項目）'!D32</f>
        <v>0</v>
      </c>
      <c r="Q32" s="2540">
        <f>スコア表示!AJ97</f>
        <v>0</v>
      </c>
      <c r="R32" s="2540">
        <f>'改修前の重み（重点項目）'!E32</f>
        <v>0</v>
      </c>
      <c r="S32" s="2540">
        <f>IF(O32=0,Q32,IF(Q32=0,O32,O32*P$8+Q32*R$8))</f>
        <v>3</v>
      </c>
      <c r="T32" s="2540">
        <f>P32</f>
        <v>0</v>
      </c>
    </row>
    <row r="33" spans="2:20" ht="21" customHeight="1">
      <c r="B33" s="2901"/>
      <c r="C33" s="2598" t="s">
        <v>1953</v>
      </c>
      <c r="D33" s="2605" t="s">
        <v>1904</v>
      </c>
      <c r="E33" s="2598"/>
      <c r="F33" s="2599">
        <f>スコア表示!L148</f>
        <v>3</v>
      </c>
      <c r="G33" s="2600">
        <f>T33</f>
        <v>0.14285714285714285</v>
      </c>
      <c r="H33" s="2896"/>
      <c r="I33" s="2899"/>
      <c r="J33" s="2899"/>
      <c r="L33" s="2586"/>
      <c r="O33" s="2540">
        <f>スコア表示!AF144</f>
        <v>3</v>
      </c>
      <c r="P33" s="2540">
        <f>'改修前の重み（重点項目）'!D33</f>
        <v>0.14285714285714285</v>
      </c>
      <c r="Q33" s="2540">
        <f>スコア表示!AJ144</f>
        <v>0</v>
      </c>
      <c r="R33" s="2540">
        <f>'改修前の重み（重点項目）'!E33</f>
        <v>0</v>
      </c>
      <c r="S33" s="2540">
        <f>IF(O33=0,Q33,IF(Q33=0,O33,O33*P$8+Q33*R$8))</f>
        <v>3</v>
      </c>
      <c r="T33" s="2540">
        <f>P33</f>
        <v>0.14285714285714285</v>
      </c>
    </row>
    <row r="34" spans="2:20" ht="21" customHeight="1">
      <c r="B34" s="2901"/>
      <c r="C34" s="2598" t="s">
        <v>1905</v>
      </c>
      <c r="D34" s="2605" t="s">
        <v>1906</v>
      </c>
      <c r="E34" s="2598"/>
      <c r="F34" s="2599">
        <f>スコア表示!L149</f>
        <v>3</v>
      </c>
      <c r="G34" s="2600">
        <f>T34</f>
        <v>0.21428571428571425</v>
      </c>
      <c r="H34" s="2896"/>
      <c r="I34" s="2899"/>
      <c r="J34" s="2899"/>
      <c r="L34" s="2587" t="s">
        <v>262</v>
      </c>
      <c r="M34" s="2587" t="s">
        <v>262</v>
      </c>
      <c r="O34" s="2540">
        <f>スコア表示!AF145</f>
        <v>3</v>
      </c>
      <c r="P34" s="2540">
        <f>'改修前の重み（重点項目）'!D34</f>
        <v>0.21428571428571425</v>
      </c>
      <c r="Q34" s="2540">
        <f>スコア表示!AJ145</f>
        <v>0</v>
      </c>
      <c r="R34" s="2540">
        <f>'改修前の重み（重点項目）'!E34</f>
        <v>0</v>
      </c>
      <c r="S34" s="2540">
        <f>IF(O34=0,Q34,IF(Q34=0,O34,O34*P$8+Q34*R$8))</f>
        <v>3</v>
      </c>
      <c r="T34" s="2540">
        <f>P34</f>
        <v>0.21428571428571425</v>
      </c>
    </row>
    <row r="35" spans="2:20" ht="21" customHeight="1" thickBot="1">
      <c r="B35" s="2902"/>
      <c r="C35" s="2601" t="s">
        <v>1907</v>
      </c>
      <c r="D35" s="2681" t="s">
        <v>2032</v>
      </c>
      <c r="E35" s="2601"/>
      <c r="F35" s="2603">
        <f>スコア表示!L150</f>
        <v>3</v>
      </c>
      <c r="G35" s="2604">
        <f>T35</f>
        <v>0.21428571428571425</v>
      </c>
      <c r="H35" s="2897"/>
      <c r="I35" s="2900"/>
      <c r="J35" s="2900"/>
      <c r="L35" s="2593" t="str">
        <f>IF(SUM(G31:G35)=1,"OK","NG")</f>
        <v>OK</v>
      </c>
      <c r="M35" s="2593" t="str">
        <f>IF(SUM(G10,G19,G25,G30)=1,"OK","NG")</f>
        <v>NG</v>
      </c>
      <c r="O35" s="2540">
        <f>スコア表示!AF146</f>
        <v>3.0000000000000004</v>
      </c>
      <c r="P35" s="2540">
        <f>'改修前の重み（重点項目）'!D35</f>
        <v>0.21428571428571425</v>
      </c>
      <c r="Q35" s="2540">
        <f>スコア表示!AJ146</f>
        <v>0</v>
      </c>
      <c r="R35" s="2540">
        <f>'改修前の重み（重点項目）'!E35</f>
        <v>0</v>
      </c>
      <c r="S35" s="2540">
        <f>IF(O35=0,Q35,IF(Q35=0,O35,O35*P$8+Q35*R$8))</f>
        <v>3.0000000000000004</v>
      </c>
      <c r="T35" s="2540">
        <f>P35</f>
        <v>0.21428571428571425</v>
      </c>
    </row>
    <row r="36" spans="2:20" ht="6" customHeight="1"/>
    <row r="37" spans="2:20" ht="18" customHeight="1">
      <c r="C37" s="2894" t="s">
        <v>1908</v>
      </c>
      <c r="D37" s="2894"/>
      <c r="E37" s="2894"/>
      <c r="F37" s="2894"/>
      <c r="G37" s="2894"/>
      <c r="H37" s="2894"/>
      <c r="I37" s="2894"/>
      <c r="J37" s="2894"/>
    </row>
    <row r="38" spans="2:20" ht="18" customHeight="1">
      <c r="B38" s="2665"/>
      <c r="C38" s="2894"/>
      <c r="D38" s="2894"/>
      <c r="E38" s="2894"/>
      <c r="F38" s="2894"/>
      <c r="G38" s="2894"/>
      <c r="H38" s="2894"/>
      <c r="I38" s="2894"/>
      <c r="J38" s="2894"/>
    </row>
    <row r="39" spans="2:20" ht="18" customHeight="1">
      <c r="B39" s="2665"/>
      <c r="C39" s="2894"/>
      <c r="D39" s="2894"/>
      <c r="E39" s="2894"/>
      <c r="F39" s="2894"/>
      <c r="G39" s="2894"/>
      <c r="H39" s="2894"/>
      <c r="I39" s="2894"/>
      <c r="J39" s="2894"/>
    </row>
    <row r="40" spans="2:20" ht="18" customHeight="1">
      <c r="B40" s="2665"/>
      <c r="C40" s="2894"/>
      <c r="D40" s="2894"/>
      <c r="E40" s="2894"/>
      <c r="F40" s="2894"/>
      <c r="G40" s="2894"/>
      <c r="H40" s="2894"/>
      <c r="I40" s="2894"/>
      <c r="J40" s="2894"/>
    </row>
    <row r="41" spans="2:20" ht="18" customHeight="1">
      <c r="B41" s="2665"/>
      <c r="C41" s="2894"/>
      <c r="D41" s="2894"/>
      <c r="E41" s="2894"/>
      <c r="F41" s="2894"/>
      <c r="G41" s="2894"/>
      <c r="H41" s="2894"/>
      <c r="I41" s="2894"/>
      <c r="J41" s="2894"/>
    </row>
    <row r="42" spans="2:20" ht="18" customHeight="1">
      <c r="B42" s="2665"/>
      <c r="C42" s="2894"/>
      <c r="D42" s="2894"/>
      <c r="E42" s="2894"/>
      <c r="F42" s="2894"/>
      <c r="G42" s="2894"/>
      <c r="H42" s="2894"/>
      <c r="I42" s="2894"/>
      <c r="J42" s="2894"/>
    </row>
    <row r="43" spans="2:20" ht="18" customHeight="1">
      <c r="B43" s="2665"/>
      <c r="C43" s="2894"/>
      <c r="D43" s="2894"/>
      <c r="E43" s="2894"/>
      <c r="F43" s="2894"/>
      <c r="G43" s="2894"/>
      <c r="H43" s="2894"/>
      <c r="I43" s="2894"/>
      <c r="J43" s="2894"/>
    </row>
    <row r="45" spans="2:20" ht="18" customHeight="1">
      <c r="C45" s="2665"/>
      <c r="D45" s="2665"/>
      <c r="E45" s="2665"/>
      <c r="F45" s="2665"/>
      <c r="G45" s="2665"/>
      <c r="H45" s="2665"/>
      <c r="I45" s="2665"/>
      <c r="J45" s="2665"/>
    </row>
  </sheetData>
  <sheetProtection password="8D30" sheet="1" objects="1" scenarios="1"/>
  <mergeCells count="23">
    <mergeCell ref="B2:F2"/>
    <mergeCell ref="G2:J2"/>
    <mergeCell ref="B3:C3"/>
    <mergeCell ref="H8:H9"/>
    <mergeCell ref="I8:I9"/>
    <mergeCell ref="J8:J9"/>
    <mergeCell ref="H10:H18"/>
    <mergeCell ref="I10:I18"/>
    <mergeCell ref="J10:J18"/>
    <mergeCell ref="B11:B18"/>
    <mergeCell ref="H19:H24"/>
    <mergeCell ref="I19:I24"/>
    <mergeCell ref="J19:J24"/>
    <mergeCell ref="B20:B24"/>
    <mergeCell ref="C37:J43"/>
    <mergeCell ref="H25:H29"/>
    <mergeCell ref="I25:I29"/>
    <mergeCell ref="J25:J29"/>
    <mergeCell ref="B26:B29"/>
    <mergeCell ref="H30:H35"/>
    <mergeCell ref="I30:I35"/>
    <mergeCell ref="J30:J35"/>
    <mergeCell ref="B31:B35"/>
  </mergeCells>
  <phoneticPr fontId="20"/>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4/4</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FF"/>
    <pageSetUpPr fitToPage="1"/>
  </sheetPr>
  <dimension ref="A1:L72"/>
  <sheetViews>
    <sheetView showGridLines="0" zoomScaleNormal="100" workbookViewId="0">
      <selection activeCell="F22" sqref="F2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2" width="0" hidden="1" customWidth="1"/>
    <col min="13" max="16384" width="9" hidden="1"/>
  </cols>
  <sheetData>
    <row r="1" spans="2:6" ht="6" customHeight="1"/>
    <row r="2" spans="2:6" ht="18.75">
      <c r="B2" s="1299" t="s">
        <v>109</v>
      </c>
      <c r="C2" s="778"/>
      <c r="D2" s="778"/>
      <c r="E2" s="512" t="s">
        <v>837</v>
      </c>
      <c r="F2" s="513" t="str">
        <f>メイン!H11</f>
        <v>新ビル</v>
      </c>
    </row>
    <row r="3" spans="2:6" ht="16.5" customHeight="1">
      <c r="F3" s="1300" t="str">
        <f>メイン!C5</f>
        <v>CASBEE-BD_RN_2014(v.2.0)</v>
      </c>
    </row>
    <row r="4" spans="2:6">
      <c r="B4" s="2920" t="s">
        <v>110</v>
      </c>
      <c r="C4" s="2921"/>
      <c r="D4" s="1301" t="s">
        <v>111</v>
      </c>
      <c r="E4" s="1302" t="s">
        <v>112</v>
      </c>
      <c r="F4" s="1302" t="s">
        <v>882</v>
      </c>
    </row>
    <row r="5" spans="2:6" ht="35.25" customHeight="1">
      <c r="B5" s="2922" t="s">
        <v>113</v>
      </c>
      <c r="C5" s="1302" t="s">
        <v>883</v>
      </c>
      <c r="D5" s="1301" t="str">
        <f>メイン!H21</f>
        <v>事務所,物販店,</v>
      </c>
      <c r="E5" s="1301" t="str">
        <f>D5</f>
        <v>事務所,物販店,</v>
      </c>
      <c r="F5" s="1302"/>
    </row>
    <row r="6" spans="2:6">
      <c r="B6" s="2923"/>
      <c r="C6" s="1302" t="s">
        <v>114</v>
      </c>
      <c r="D6" s="1304">
        <f>メイン!H19</f>
        <v>10000</v>
      </c>
      <c r="E6" s="1304">
        <f>D6</f>
        <v>10000</v>
      </c>
      <c r="F6" s="1305"/>
    </row>
    <row r="7" spans="2:6">
      <c r="B7" s="2924"/>
      <c r="C7" s="1302" t="s">
        <v>115</v>
      </c>
      <c r="D7" s="1302" t="str">
        <f>メイン!H23</f>
        <v>S造</v>
      </c>
      <c r="E7" s="1302" t="str">
        <f>D7</f>
        <v>S造</v>
      </c>
      <c r="F7" s="1305"/>
    </row>
    <row r="8" spans="2:6" ht="31.5" customHeight="1">
      <c r="B8" s="1301" t="s">
        <v>116</v>
      </c>
      <c r="C8" s="1307" t="s">
        <v>117</v>
      </c>
      <c r="D8" s="1308" t="str">
        <f>CO2計算_後!O35</f>
        <v>事務所部分60年,他</v>
      </c>
      <c r="E8" s="1308" t="str">
        <f>CO2計算_後!L35</f>
        <v>事務所部分60年,他</v>
      </c>
      <c r="F8" s="1309"/>
    </row>
    <row r="9" spans="2:6" ht="19.5" customHeight="1">
      <c r="B9" s="1310"/>
      <c r="C9" s="1307" t="s">
        <v>118</v>
      </c>
      <c r="D9" s="1311">
        <f>CO2計算_後!O133</f>
        <v>14.775099999999998</v>
      </c>
      <c r="E9" s="1311">
        <f>CO2計算_後!L133</f>
        <v>12.453849999999999</v>
      </c>
      <c r="F9" s="1312" t="s">
        <v>119</v>
      </c>
    </row>
    <row r="10" spans="2:6" ht="29.25" customHeight="1">
      <c r="B10" s="2917" t="s">
        <v>121</v>
      </c>
      <c r="C10" s="1301" t="s">
        <v>122</v>
      </c>
      <c r="D10" s="1313" t="s">
        <v>1780</v>
      </c>
      <c r="E10" s="1314" t="s">
        <v>123</v>
      </c>
      <c r="F10" s="1305"/>
    </row>
    <row r="11" spans="2:6" ht="25.5">
      <c r="B11" s="2917"/>
      <c r="C11" s="1301" t="s">
        <v>124</v>
      </c>
      <c r="D11" s="1313" t="s">
        <v>1781</v>
      </c>
      <c r="E11" s="1315" t="s">
        <v>125</v>
      </c>
      <c r="F11" s="1305"/>
    </row>
    <row r="12" spans="2:6">
      <c r="B12" s="2917"/>
      <c r="C12" s="1303" t="s">
        <v>172</v>
      </c>
      <c r="D12" s="1316" t="s">
        <v>126</v>
      </c>
      <c r="E12" s="1317" t="s">
        <v>125</v>
      </c>
      <c r="F12" s="1318"/>
    </row>
    <row r="13" spans="2:6">
      <c r="B13" s="2918"/>
      <c r="C13" s="1320" t="s">
        <v>127</v>
      </c>
      <c r="D13" s="1321"/>
      <c r="E13" s="1322"/>
      <c r="F13" s="1323"/>
    </row>
    <row r="14" spans="2:6" ht="19.5" customHeight="1">
      <c r="B14" s="2917"/>
      <c r="C14" s="1324" t="s">
        <v>128</v>
      </c>
      <c r="D14" s="1325">
        <f>CO2計算_後!O93</f>
        <v>0.49949999999999994</v>
      </c>
      <c r="E14" s="1326">
        <f>CO2計算_後!L93</f>
        <v>0.34964999999999996</v>
      </c>
      <c r="F14" s="1327" t="s">
        <v>129</v>
      </c>
    </row>
    <row r="15" spans="2:6" ht="14.25">
      <c r="B15" s="2917"/>
      <c r="C15" s="1328" t="s">
        <v>130</v>
      </c>
      <c r="D15" s="1329">
        <f>CO2計算_後!O94</f>
        <v>0</v>
      </c>
      <c r="E15" s="1330">
        <f>CO2計算_後!L94</f>
        <v>0</v>
      </c>
      <c r="F15" s="1331" t="s">
        <v>129</v>
      </c>
    </row>
    <row r="16" spans="2:6">
      <c r="B16" s="2917"/>
      <c r="C16" s="1328" t="s">
        <v>131</v>
      </c>
      <c r="D16" s="1329">
        <f>CO2計算_後!O95</f>
        <v>0.1168</v>
      </c>
      <c r="E16" s="1330">
        <f>CO2計算_後!L95</f>
        <v>8.1759999999999999E-2</v>
      </c>
      <c r="F16" s="1332" t="s">
        <v>132</v>
      </c>
    </row>
    <row r="17" spans="2:6" hidden="1">
      <c r="B17" s="2917"/>
      <c r="C17" s="1328" t="s">
        <v>133</v>
      </c>
      <c r="D17" s="1329">
        <f>CO2計算_後!O96</f>
        <v>0</v>
      </c>
      <c r="E17" s="1330">
        <f>CO2計算_後!L96</f>
        <v>0</v>
      </c>
      <c r="F17" s="1332" t="s">
        <v>132</v>
      </c>
    </row>
    <row r="18" spans="2:6">
      <c r="B18" s="2917"/>
      <c r="C18" s="1328" t="s">
        <v>134</v>
      </c>
      <c r="D18" s="1329">
        <f>CO2計算_後!O97</f>
        <v>5.62E-2</v>
      </c>
      <c r="E18" s="1330">
        <f>CO2計算_後!L97</f>
        <v>3.934E-2</v>
      </c>
      <c r="F18" s="1332" t="s">
        <v>132</v>
      </c>
    </row>
    <row r="19" spans="2:6">
      <c r="B19" s="2917"/>
      <c r="C19" s="1328" t="s">
        <v>135</v>
      </c>
      <c r="D19" s="1329">
        <f>CO2計算_後!O98</f>
        <v>4.0999999999999995E-3</v>
      </c>
      <c r="E19" s="1330">
        <f>CO2計算_後!L98</f>
        <v>2.8700000000000002E-3</v>
      </c>
      <c r="F19" s="1332" t="s">
        <v>132</v>
      </c>
    </row>
    <row r="20" spans="2:6">
      <c r="B20" s="2917"/>
      <c r="C20" s="1333" t="s">
        <v>136</v>
      </c>
      <c r="D20" s="1333" t="s">
        <v>137</v>
      </c>
      <c r="E20" s="1334" t="s">
        <v>140</v>
      </c>
      <c r="F20" s="1335" t="s">
        <v>141</v>
      </c>
    </row>
    <row r="21" spans="2:6">
      <c r="B21" s="2918"/>
      <c r="C21" s="1320" t="s">
        <v>142</v>
      </c>
      <c r="D21" s="1321"/>
      <c r="E21" s="1322"/>
      <c r="F21" s="1336"/>
    </row>
    <row r="22" spans="2:6" ht="15">
      <c r="B22" s="2917"/>
      <c r="C22" s="1324" t="s">
        <v>128</v>
      </c>
      <c r="D22" s="1325">
        <v>266.70999999999998</v>
      </c>
      <c r="E22" s="1326" t="s">
        <v>140</v>
      </c>
      <c r="F22" s="1331" t="s">
        <v>143</v>
      </c>
    </row>
    <row r="23" spans="2:6" ht="15">
      <c r="B23" s="2917"/>
      <c r="C23" s="1328" t="s">
        <v>130</v>
      </c>
      <c r="D23" s="1329">
        <v>216.57</v>
      </c>
      <c r="E23" s="1330" t="s">
        <v>140</v>
      </c>
      <c r="F23" s="1332" t="s">
        <v>143</v>
      </c>
    </row>
    <row r="24" spans="2:6">
      <c r="B24" s="2917"/>
      <c r="C24" s="1328" t="s">
        <v>131</v>
      </c>
      <c r="D24" s="1329">
        <v>1.28</v>
      </c>
      <c r="E24" s="1330" t="s">
        <v>140</v>
      </c>
      <c r="F24" s="1332" t="s">
        <v>148</v>
      </c>
    </row>
    <row r="25" spans="2:6" hidden="1">
      <c r="B25" s="2917"/>
      <c r="C25" s="1328" t="s">
        <v>133</v>
      </c>
      <c r="D25" s="1329"/>
      <c r="E25" s="1330" t="s">
        <v>140</v>
      </c>
      <c r="F25" s="1332" t="s">
        <v>145</v>
      </c>
    </row>
    <row r="26" spans="2:6">
      <c r="B26" s="2917"/>
      <c r="C26" s="1328" t="s">
        <v>134</v>
      </c>
      <c r="D26" s="1329">
        <v>0.51</v>
      </c>
      <c r="E26" s="1330" t="s">
        <v>140</v>
      </c>
      <c r="F26" s="1332" t="s">
        <v>148</v>
      </c>
    </row>
    <row r="27" spans="2:6">
      <c r="B27" s="2917"/>
      <c r="C27" s="1328" t="s">
        <v>146</v>
      </c>
      <c r="D27" s="1329">
        <v>4.75</v>
      </c>
      <c r="E27" s="1330" t="s">
        <v>140</v>
      </c>
      <c r="F27" s="1332" t="s">
        <v>1840</v>
      </c>
    </row>
    <row r="28" spans="2:6">
      <c r="B28" s="2917"/>
      <c r="C28" s="1333" t="s">
        <v>136</v>
      </c>
      <c r="D28" s="1333" t="s">
        <v>137</v>
      </c>
      <c r="E28" s="1334" t="s">
        <v>147</v>
      </c>
      <c r="F28" s="1332" t="s">
        <v>148</v>
      </c>
    </row>
    <row r="29" spans="2:6" ht="14.25" thickBot="1">
      <c r="B29" s="2918"/>
      <c r="C29" s="1320" t="s">
        <v>149</v>
      </c>
      <c r="D29" s="1321"/>
      <c r="E29" s="1337"/>
      <c r="F29" s="1338"/>
    </row>
    <row r="30" spans="2:6" ht="24" customHeight="1">
      <c r="B30" s="2917"/>
      <c r="C30" s="1324" t="s">
        <v>150</v>
      </c>
      <c r="D30" s="1339">
        <v>0</v>
      </c>
      <c r="E30" s="1340">
        <v>0</v>
      </c>
      <c r="F30" s="1341"/>
    </row>
    <row r="31" spans="2:6" ht="25.5" customHeight="1" thickBot="1">
      <c r="B31" s="2917"/>
      <c r="C31" s="1324" t="s">
        <v>151</v>
      </c>
      <c r="D31" s="1339">
        <v>0</v>
      </c>
      <c r="E31" s="1342">
        <v>0.3</v>
      </c>
      <c r="F31" s="1343"/>
    </row>
    <row r="32" spans="2:6" ht="24" customHeight="1">
      <c r="B32" s="2917"/>
      <c r="C32" s="1328" t="s">
        <v>152</v>
      </c>
      <c r="D32" s="1339">
        <v>0</v>
      </c>
      <c r="E32" s="1344">
        <v>0</v>
      </c>
      <c r="F32" s="1331"/>
    </row>
    <row r="33" spans="2:6" ht="24" customHeight="1">
      <c r="B33" s="2917"/>
      <c r="C33" s="1345" t="s">
        <v>153</v>
      </c>
      <c r="D33" s="1346">
        <v>0</v>
      </c>
      <c r="E33" s="1347">
        <v>0</v>
      </c>
      <c r="F33" s="1348"/>
    </row>
    <row r="34" spans="2:6" ht="19.5" customHeight="1">
      <c r="B34" s="1303"/>
      <c r="C34" s="1349" t="s">
        <v>118</v>
      </c>
      <c r="D34" s="1350">
        <f>CO2計算_後!O134</f>
        <v>13.257699999999998</v>
      </c>
      <c r="E34" s="1351">
        <f>CO2計算_後!L134</f>
        <v>13.257699999999998</v>
      </c>
      <c r="F34" s="1312" t="s">
        <v>119</v>
      </c>
    </row>
    <row r="35" spans="2:6">
      <c r="B35" s="1319" t="s">
        <v>455</v>
      </c>
      <c r="C35" s="1352" t="s">
        <v>154</v>
      </c>
      <c r="D35" s="1353"/>
      <c r="E35" s="1353"/>
      <c r="F35" s="1323"/>
    </row>
    <row r="36" spans="2:6">
      <c r="B36" s="1310" t="s">
        <v>155</v>
      </c>
      <c r="C36" s="1354" t="s">
        <v>617</v>
      </c>
      <c r="D36" s="1355">
        <f>CO2データ!I269</f>
        <v>25</v>
      </c>
      <c r="E36" s="1355">
        <f>D36</f>
        <v>25</v>
      </c>
      <c r="F36" s="1356"/>
    </row>
    <row r="37" spans="2:6" ht="13.5" hidden="1" customHeight="1">
      <c r="B37" s="1310"/>
      <c r="C37" s="1357" t="s">
        <v>156</v>
      </c>
      <c r="D37" s="1358">
        <f>CO2データ!I270</f>
        <v>0</v>
      </c>
      <c r="E37" s="1358"/>
      <c r="F37" s="1359"/>
    </row>
    <row r="38" spans="2:6">
      <c r="B38" s="1310"/>
      <c r="C38" s="1328" t="s">
        <v>616</v>
      </c>
      <c r="D38" s="1358">
        <f>CO2データ!I271</f>
        <v>18</v>
      </c>
      <c r="E38" s="1358">
        <f>D38</f>
        <v>18</v>
      </c>
      <c r="F38" s="1359"/>
    </row>
    <row r="39" spans="2:6">
      <c r="B39" s="1310"/>
      <c r="C39" s="1357" t="s">
        <v>157</v>
      </c>
      <c r="D39" s="1355">
        <f>CO2データ!I272</f>
        <v>15</v>
      </c>
      <c r="E39" s="1355">
        <f>D39</f>
        <v>15</v>
      </c>
      <c r="F39" s="1356"/>
    </row>
    <row r="40" spans="2:6">
      <c r="B40" s="1319"/>
      <c r="C40" s="1352" t="s">
        <v>158</v>
      </c>
      <c r="D40" s="1353"/>
      <c r="E40" s="1353"/>
      <c r="F40" s="1323"/>
    </row>
    <row r="41" spans="2:6">
      <c r="B41" s="1310"/>
      <c r="C41" s="1357" t="s">
        <v>617</v>
      </c>
      <c r="D41" s="1360">
        <f>CO2データ!I275</f>
        <v>0.01</v>
      </c>
      <c r="E41" s="1360">
        <f>D41</f>
        <v>0.01</v>
      </c>
      <c r="F41" s="1361"/>
    </row>
    <row r="42" spans="2:6">
      <c r="B42" s="1310"/>
      <c r="C42" s="1328" t="s">
        <v>616</v>
      </c>
      <c r="D42" s="1362">
        <f>CO2データ!I276</f>
        <v>0.01</v>
      </c>
      <c r="E42" s="1362">
        <f>D42</f>
        <v>0.01</v>
      </c>
      <c r="F42" s="1363"/>
    </row>
    <row r="43" spans="2:6">
      <c r="B43" s="1310"/>
      <c r="C43" s="1364" t="s">
        <v>157</v>
      </c>
      <c r="D43" s="1365">
        <f>CO2データ!I277</f>
        <v>0.02</v>
      </c>
      <c r="E43" s="1365">
        <f>D43</f>
        <v>0.02</v>
      </c>
      <c r="F43" s="1366"/>
    </row>
    <row r="44" spans="2:6" ht="27.75" customHeight="1">
      <c r="B44" s="1367"/>
      <c r="C44" s="1307" t="s">
        <v>159</v>
      </c>
      <c r="D44" s="1313" t="s">
        <v>160</v>
      </c>
      <c r="E44" s="1301" t="s">
        <v>161</v>
      </c>
      <c r="F44" s="1305"/>
    </row>
    <row r="45" spans="2:6" ht="15" customHeight="1">
      <c r="B45" s="1303"/>
      <c r="C45" s="1352" t="s">
        <v>118</v>
      </c>
      <c r="D45" s="1321"/>
      <c r="E45" s="1838"/>
      <c r="F45" s="1371"/>
    </row>
    <row r="46" spans="2:6" ht="24" customHeight="1">
      <c r="B46" s="1310"/>
      <c r="C46" s="1301" t="s">
        <v>887</v>
      </c>
      <c r="D46" s="1311">
        <f>IF(F58=H58,#REF!,CO2計算_後!O116)</f>
        <v>111.16395434754098</v>
      </c>
      <c r="E46" s="1311">
        <f>IF(F58=H58,#REF!,CO2計算_後!L116)</f>
        <v>100.04755891278688</v>
      </c>
      <c r="F46" s="1312" t="s">
        <v>119</v>
      </c>
    </row>
    <row r="47" spans="2:6" ht="24" customHeight="1">
      <c r="B47" s="1310"/>
      <c r="C47" s="1324" t="s">
        <v>910</v>
      </c>
      <c r="D47" s="1839" t="s">
        <v>884</v>
      </c>
      <c r="E47" s="1840">
        <f>IF(F58=H58,#REF!,CO2計算_後!L123)</f>
        <v>100.04755891278688</v>
      </c>
      <c r="F47" s="1312" t="s">
        <v>119</v>
      </c>
    </row>
    <row r="48" spans="2:6" ht="24" hidden="1" customHeight="1">
      <c r="B48" s="2917" t="s">
        <v>162</v>
      </c>
      <c r="C48" s="1333" t="s">
        <v>888</v>
      </c>
      <c r="D48" s="1841"/>
      <c r="E48" s="1842"/>
      <c r="F48" s="1843" t="s">
        <v>119</v>
      </c>
    </row>
    <row r="49" spans="2:12" ht="24" hidden="1" customHeight="1">
      <c r="B49" s="2917"/>
      <c r="C49" s="2384"/>
      <c r="D49" s="1844"/>
      <c r="E49" s="1842"/>
      <c r="F49" s="1843"/>
    </row>
    <row r="50" spans="2:12" ht="24" hidden="1" customHeight="1">
      <c r="B50" s="2917"/>
      <c r="C50" s="2384"/>
      <c r="D50" s="1845"/>
      <c r="E50" s="2390"/>
      <c r="F50" s="1846"/>
    </row>
    <row r="51" spans="2:12" ht="24" hidden="1" customHeight="1">
      <c r="B51" s="2917"/>
      <c r="C51" s="1367"/>
      <c r="D51" s="1847" t="s">
        <v>892</v>
      </c>
      <c r="E51" s="1848" t="s">
        <v>884</v>
      </c>
      <c r="F51" s="1849"/>
    </row>
    <row r="52" spans="2:12" ht="24" customHeight="1">
      <c r="B52" s="2918"/>
      <c r="C52" s="1354" t="s">
        <v>1794</v>
      </c>
      <c r="D52" s="2389" t="s">
        <v>884</v>
      </c>
      <c r="E52" s="2391">
        <f>E47</f>
        <v>100.04755891278688</v>
      </c>
      <c r="F52" s="1327" t="s">
        <v>119</v>
      </c>
    </row>
    <row r="53" spans="2:12" ht="24" customHeight="1">
      <c r="B53" s="2917"/>
      <c r="C53" s="1333" t="s">
        <v>888</v>
      </c>
      <c r="D53" s="1851" t="s">
        <v>895</v>
      </c>
      <c r="E53" s="1852" t="s">
        <v>896</v>
      </c>
      <c r="F53" s="1331"/>
    </row>
    <row r="54" spans="2:12" ht="24" customHeight="1">
      <c r="B54" s="2917"/>
      <c r="C54" s="1310"/>
      <c r="D54" s="1851" t="s">
        <v>897</v>
      </c>
      <c r="E54" s="1852" t="s">
        <v>896</v>
      </c>
      <c r="F54" s="1332"/>
    </row>
    <row r="55" spans="2:12" ht="24" customHeight="1">
      <c r="B55" s="2917"/>
      <c r="C55" s="1310"/>
      <c r="D55" s="1851" t="s">
        <v>898</v>
      </c>
      <c r="E55" s="1852" t="s">
        <v>896</v>
      </c>
      <c r="F55" s="1332"/>
    </row>
    <row r="56" spans="2:12" ht="24">
      <c r="B56" s="1310"/>
      <c r="C56" s="1310"/>
      <c r="D56" s="1851" t="s">
        <v>899</v>
      </c>
      <c r="E56" s="1852" t="s">
        <v>896</v>
      </c>
      <c r="F56" s="1348"/>
      <c r="I56" s="2387" t="s">
        <v>1788</v>
      </c>
      <c r="J56" s="2388"/>
      <c r="K56" s="2387" t="s">
        <v>1789</v>
      </c>
      <c r="L56" s="2388"/>
    </row>
    <row r="57" spans="2:12" hidden="1">
      <c r="B57" s="1310"/>
      <c r="C57" s="1307"/>
      <c r="D57" s="1311"/>
      <c r="E57" s="1311"/>
      <c r="F57" s="1312"/>
    </row>
    <row r="58" spans="2:12" ht="29.25" customHeight="1">
      <c r="B58" s="2917" t="s">
        <v>162</v>
      </c>
      <c r="C58" s="1307" t="s">
        <v>163</v>
      </c>
      <c r="D58" s="1313" t="str">
        <f>IF(F58=H58,K58,I58)</f>
        <v>統計値より、一次エネルギー消費量の平均値を引用</v>
      </c>
      <c r="E58" s="1313" t="str">
        <f>IF(F58=H58,L58,J58)</f>
        <v>LR1の取り組みによる省エネルギー量を推定</v>
      </c>
      <c r="F58" s="2386">
        <f>スコア入力!L124</f>
        <v>0</v>
      </c>
      <c r="H58" t="s">
        <v>1787</v>
      </c>
      <c r="I58" s="1313" t="s">
        <v>164</v>
      </c>
      <c r="J58" s="1313" t="s">
        <v>165</v>
      </c>
      <c r="K58" s="1313" t="s">
        <v>1785</v>
      </c>
      <c r="L58" s="1313" t="s">
        <v>1786</v>
      </c>
    </row>
    <row r="59" spans="2:12" ht="25.5" customHeight="1">
      <c r="B59" s="2917"/>
      <c r="C59" s="1349" t="s">
        <v>166</v>
      </c>
      <c r="D59" s="1368">
        <f>IF(F58=H58,SUM(#REF!),SUM(CO2計算_後!H118:H121))</f>
        <v>17860</v>
      </c>
      <c r="E59" s="1368">
        <f>IF(F58=H58,SUM(#REF!),SUM(CO2計算_後!I125:I127))</f>
        <v>16074</v>
      </c>
      <c r="F59" s="1369" t="s">
        <v>1392</v>
      </c>
    </row>
    <row r="60" spans="2:12">
      <c r="B60" s="2918"/>
      <c r="C60" s="1370" t="s">
        <v>1790</v>
      </c>
      <c r="D60" s="1353"/>
      <c r="E60" s="1353"/>
      <c r="F60" s="1371"/>
    </row>
    <row r="61" spans="2:12">
      <c r="B61" s="2917"/>
      <c r="C61" s="1372" t="s">
        <v>1791</v>
      </c>
      <c r="D61" s="1373">
        <f>IF(F58=H58,#REF!,CO2計算_後!J118)</f>
        <v>6.2241855737704917E-2</v>
      </c>
      <c r="E61" s="1374" t="s">
        <v>161</v>
      </c>
      <c r="F61" s="1846" t="s">
        <v>1464</v>
      </c>
    </row>
    <row r="62" spans="2:12">
      <c r="B62" s="2917"/>
      <c r="C62" s="1372" t="s">
        <v>1792</v>
      </c>
      <c r="D62" s="1373">
        <f>IF(F58=H58,#REF!,CO2計算_後!J120)</f>
        <v>6.0541508196721307E-2</v>
      </c>
      <c r="E62" s="1376" t="s">
        <v>161</v>
      </c>
      <c r="F62" s="1846" t="s">
        <v>1464</v>
      </c>
    </row>
    <row r="63" spans="2:12">
      <c r="B63" s="2917"/>
      <c r="C63" s="1375" t="s">
        <v>167</v>
      </c>
      <c r="D63" s="1376">
        <f>CO2データ!I95</f>
        <v>0.61199999999999999</v>
      </c>
      <c r="E63" s="1376" t="s">
        <v>161</v>
      </c>
      <c r="F63" s="1843" t="s">
        <v>1793</v>
      </c>
    </row>
    <row r="64" spans="2:12">
      <c r="B64" s="2917"/>
      <c r="C64" s="1375" t="s">
        <v>168</v>
      </c>
      <c r="D64" s="1376">
        <f>CO2データ!I97</f>
        <v>4.9799999999999997E-2</v>
      </c>
      <c r="E64" s="1376" t="s">
        <v>161</v>
      </c>
      <c r="F64" s="1846" t="s">
        <v>1464</v>
      </c>
    </row>
    <row r="65" spans="2:6" ht="24">
      <c r="B65" s="2917"/>
      <c r="C65" s="1377" t="s">
        <v>169</v>
      </c>
      <c r="D65" s="1378">
        <f>CO2データ!I101</f>
        <v>6.855E-2</v>
      </c>
      <c r="E65" s="1378" t="s">
        <v>161</v>
      </c>
      <c r="F65" s="1868" t="s">
        <v>1464</v>
      </c>
    </row>
    <row r="66" spans="2:6">
      <c r="B66" s="1310"/>
      <c r="C66" s="1379" t="s">
        <v>170</v>
      </c>
      <c r="D66" s="1380"/>
      <c r="E66" s="1380"/>
      <c r="F66" s="1381"/>
    </row>
    <row r="67" spans="2:6">
      <c r="B67" s="1310"/>
      <c r="C67" s="1364"/>
      <c r="D67" s="1306"/>
      <c r="E67" s="1306"/>
      <c r="F67" s="1366"/>
    </row>
    <row r="68" spans="2:6">
      <c r="B68" s="2919" t="s">
        <v>885</v>
      </c>
      <c r="C68" s="2914"/>
      <c r="D68" s="2914"/>
      <c r="E68" s="2914"/>
      <c r="F68" s="2914"/>
    </row>
    <row r="69" spans="2:6">
      <c r="B69" s="2919"/>
      <c r="C69" s="2915"/>
      <c r="D69" s="2915"/>
      <c r="E69" s="2915"/>
      <c r="F69" s="2915"/>
    </row>
    <row r="70" spans="2:6">
      <c r="B70" s="2919"/>
      <c r="C70" s="2915"/>
      <c r="D70" s="2915"/>
      <c r="E70" s="2915"/>
      <c r="F70" s="2915"/>
    </row>
    <row r="71" spans="2:6">
      <c r="B71" s="2919"/>
      <c r="C71" s="2916"/>
      <c r="D71" s="2916"/>
      <c r="E71" s="2916"/>
      <c r="F71" s="2916"/>
    </row>
    <row r="72" spans="2:6"/>
  </sheetData>
  <sheetProtection password="8D30"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3" orientation="portrait" verticalDpi="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FFFF"/>
    <pageSetUpPr fitToPage="1"/>
  </sheetPr>
  <dimension ref="A1:H72"/>
  <sheetViews>
    <sheetView showGridLines="0" zoomScaleNormal="100" workbookViewId="0"/>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384" width="9" hidden="1"/>
  </cols>
  <sheetData>
    <row r="1" spans="2:6" ht="6" customHeight="1"/>
    <row r="2" spans="2:6" ht="18.75">
      <c r="B2" s="1299" t="s">
        <v>109</v>
      </c>
      <c r="C2" s="778"/>
      <c r="D2" s="778"/>
      <c r="E2" s="512" t="s">
        <v>837</v>
      </c>
      <c r="F2" s="513" t="str">
        <f>メイン!C11</f>
        <v>旧ビル</v>
      </c>
    </row>
    <row r="3" spans="2:6" ht="16.5" customHeight="1">
      <c r="F3" s="1300" t="str">
        <f>メイン!C5</f>
        <v>CASBEE-BD_RN_2014(v.2.0)</v>
      </c>
    </row>
    <row r="4" spans="2:6">
      <c r="B4" s="2920" t="s">
        <v>110</v>
      </c>
      <c r="C4" s="2921"/>
      <c r="D4" s="1301" t="s">
        <v>111</v>
      </c>
      <c r="E4" s="1302" t="s">
        <v>112</v>
      </c>
      <c r="F4" s="1302" t="s">
        <v>882</v>
      </c>
    </row>
    <row r="5" spans="2:6" ht="35.25" customHeight="1">
      <c r="B5" s="2922" t="s">
        <v>113</v>
      </c>
      <c r="C5" s="1302" t="s">
        <v>883</v>
      </c>
      <c r="D5" s="1301" t="str">
        <f>メイン!C21</f>
        <v>事務所,</v>
      </c>
      <c r="E5" s="1301" t="str">
        <f>D5</f>
        <v>事務所,</v>
      </c>
      <c r="F5" s="1302"/>
    </row>
    <row r="6" spans="2:6">
      <c r="B6" s="2923"/>
      <c r="C6" s="1302" t="s">
        <v>114</v>
      </c>
      <c r="D6" s="1304">
        <f>メイン!C19</f>
        <v>10000</v>
      </c>
      <c r="E6" s="1304">
        <f>D6</f>
        <v>10000</v>
      </c>
      <c r="F6" s="1305"/>
    </row>
    <row r="7" spans="2:6">
      <c r="B7" s="2924"/>
      <c r="C7" s="1302" t="s">
        <v>115</v>
      </c>
      <c r="D7" s="1302" t="str">
        <f>メイン!C23</f>
        <v>S造</v>
      </c>
      <c r="E7" s="1302" t="str">
        <f>D7</f>
        <v>S造</v>
      </c>
      <c r="F7" s="1305"/>
    </row>
    <row r="8" spans="2:6" ht="31.5" customHeight="1">
      <c r="B8" s="1301" t="s">
        <v>116</v>
      </c>
      <c r="C8" s="1307" t="s">
        <v>117</v>
      </c>
      <c r="D8" s="1308" t="str">
        <f>CO2計算_前!O35</f>
        <v>事務所部分60年,</v>
      </c>
      <c r="E8" s="1308" t="str">
        <f>CO2計算_前!L35</f>
        <v>事務所部分60年,</v>
      </c>
      <c r="F8" s="1309"/>
    </row>
    <row r="9" spans="2:6" ht="19.5" customHeight="1">
      <c r="B9" s="1310"/>
      <c r="C9" s="1307" t="s">
        <v>118</v>
      </c>
      <c r="D9" s="1311">
        <f>CO2計算_前!O133</f>
        <v>14.004999999999999</v>
      </c>
      <c r="E9" s="1311">
        <f>CO2計算_前!L133</f>
        <v>11.739099999999999</v>
      </c>
      <c r="F9" s="1312" t="s">
        <v>119</v>
      </c>
    </row>
    <row r="10" spans="2:6" ht="29.25" customHeight="1">
      <c r="B10" s="2917" t="s">
        <v>121</v>
      </c>
      <c r="C10" s="1301" t="s">
        <v>122</v>
      </c>
      <c r="D10" s="1313" t="s">
        <v>1780</v>
      </c>
      <c r="E10" s="1314" t="s">
        <v>123</v>
      </c>
      <c r="F10" s="1305"/>
    </row>
    <row r="11" spans="2:6" ht="25.5">
      <c r="B11" s="2917"/>
      <c r="C11" s="1301" t="s">
        <v>124</v>
      </c>
      <c r="D11" s="1313" t="s">
        <v>1781</v>
      </c>
      <c r="E11" s="1315" t="s">
        <v>125</v>
      </c>
      <c r="F11" s="1305"/>
    </row>
    <row r="12" spans="2:6">
      <c r="B12" s="2917"/>
      <c r="C12" s="1303" t="s">
        <v>172</v>
      </c>
      <c r="D12" s="1316" t="s">
        <v>126</v>
      </c>
      <c r="E12" s="1317" t="s">
        <v>125</v>
      </c>
      <c r="F12" s="1318"/>
    </row>
    <row r="13" spans="2:6">
      <c r="B13" s="2918"/>
      <c r="C13" s="1320" t="s">
        <v>127</v>
      </c>
      <c r="D13" s="1321"/>
      <c r="E13" s="1322"/>
      <c r="F13" s="1323"/>
    </row>
    <row r="14" spans="2:6" ht="19.5" customHeight="1">
      <c r="B14" s="2917"/>
      <c r="C14" s="1324" t="s">
        <v>128</v>
      </c>
      <c r="D14" s="1325">
        <f>CO2計算_前!O93</f>
        <v>0.56699999999999995</v>
      </c>
      <c r="E14" s="1326">
        <f>CO2計算_前!L93</f>
        <v>0.39689999999999998</v>
      </c>
      <c r="F14" s="1327" t="s">
        <v>129</v>
      </c>
    </row>
    <row r="15" spans="2:6" ht="14.25">
      <c r="B15" s="2917"/>
      <c r="C15" s="1393" t="s">
        <v>130</v>
      </c>
      <c r="D15" s="1329">
        <f>CO2計算_前!O94</f>
        <v>0</v>
      </c>
      <c r="E15" s="1330">
        <f>CO2計算_前!L94</f>
        <v>0</v>
      </c>
      <c r="F15" s="1331" t="s">
        <v>129</v>
      </c>
    </row>
    <row r="16" spans="2:6">
      <c r="B16" s="2917"/>
      <c r="C16" s="1328" t="s">
        <v>131</v>
      </c>
      <c r="D16" s="1329">
        <f>CO2計算_前!O95</f>
        <v>0.13600000000000001</v>
      </c>
      <c r="E16" s="1330">
        <f>CO2計算_前!L95</f>
        <v>9.5200000000000007E-2</v>
      </c>
      <c r="F16" s="1332" t="s">
        <v>132</v>
      </c>
    </row>
    <row r="17" spans="2:6" hidden="1">
      <c r="B17" s="2917"/>
      <c r="C17" s="1328" t="s">
        <v>133</v>
      </c>
      <c r="D17" s="1329">
        <f>CO2計算_前!O96</f>
        <v>0</v>
      </c>
      <c r="E17" s="1330">
        <f>CO2計算_前!L96</f>
        <v>0</v>
      </c>
      <c r="F17" s="1332" t="s">
        <v>132</v>
      </c>
    </row>
    <row r="18" spans="2:6">
      <c r="B18" s="2917"/>
      <c r="C18" s="1328" t="s">
        <v>134</v>
      </c>
      <c r="D18" s="1329">
        <f>CO2計算_前!O97</f>
        <v>7.0000000000000007E-2</v>
      </c>
      <c r="E18" s="1330">
        <f>CO2計算_前!L97</f>
        <v>4.9000000000000002E-2</v>
      </c>
      <c r="F18" s="1332" t="s">
        <v>132</v>
      </c>
    </row>
    <row r="19" spans="2:6">
      <c r="B19" s="2917"/>
      <c r="C19" s="1328" t="s">
        <v>135</v>
      </c>
      <c r="D19" s="1329">
        <f>CO2計算_前!O98</f>
        <v>5.0000000000000001E-3</v>
      </c>
      <c r="E19" s="1330">
        <f>CO2計算_前!L98</f>
        <v>3.5000000000000001E-3</v>
      </c>
      <c r="F19" s="1332" t="s">
        <v>132</v>
      </c>
    </row>
    <row r="20" spans="2:6">
      <c r="B20" s="2917"/>
      <c r="C20" s="1333" t="s">
        <v>136</v>
      </c>
      <c r="D20" s="1333" t="s">
        <v>137</v>
      </c>
      <c r="E20" s="1334" t="s">
        <v>140</v>
      </c>
      <c r="F20" s="1335" t="s">
        <v>141</v>
      </c>
    </row>
    <row r="21" spans="2:6">
      <c r="B21" s="2918"/>
      <c r="C21" s="1320" t="s">
        <v>142</v>
      </c>
      <c r="D21" s="1321"/>
      <c r="E21" s="1322"/>
      <c r="F21" s="1336"/>
    </row>
    <row r="22" spans="2:6" ht="15">
      <c r="B22" s="2917"/>
      <c r="C22" s="1324" t="s">
        <v>128</v>
      </c>
      <c r="D22" s="1325">
        <v>266.70999999999998</v>
      </c>
      <c r="E22" s="1326" t="s">
        <v>140</v>
      </c>
      <c r="F22" s="1331" t="s">
        <v>143</v>
      </c>
    </row>
    <row r="23" spans="2:6" ht="15">
      <c r="B23" s="2917"/>
      <c r="C23" s="1328" t="s">
        <v>130</v>
      </c>
      <c r="D23" s="1329">
        <v>216.57</v>
      </c>
      <c r="E23" s="1330" t="s">
        <v>140</v>
      </c>
      <c r="F23" s="1332" t="s">
        <v>143</v>
      </c>
    </row>
    <row r="24" spans="2:6">
      <c r="B24" s="2917"/>
      <c r="C24" s="1328" t="s">
        <v>131</v>
      </c>
      <c r="D24" s="1329">
        <v>1.28</v>
      </c>
      <c r="E24" s="1330" t="s">
        <v>140</v>
      </c>
      <c r="F24" s="1332" t="s">
        <v>148</v>
      </c>
    </row>
    <row r="25" spans="2:6" hidden="1">
      <c r="B25" s="2917"/>
      <c r="C25" s="1328" t="s">
        <v>133</v>
      </c>
      <c r="D25" s="1329"/>
      <c r="E25" s="1330" t="s">
        <v>140</v>
      </c>
      <c r="F25" s="1332" t="s">
        <v>144</v>
      </c>
    </row>
    <row r="26" spans="2:6">
      <c r="B26" s="2917"/>
      <c r="C26" s="1328" t="s">
        <v>134</v>
      </c>
      <c r="D26" s="1329">
        <v>0.51</v>
      </c>
      <c r="E26" s="1330" t="s">
        <v>140</v>
      </c>
      <c r="F26" s="1332" t="s">
        <v>148</v>
      </c>
    </row>
    <row r="27" spans="2:6">
      <c r="B27" s="2917"/>
      <c r="C27" s="1328" t="s">
        <v>146</v>
      </c>
      <c r="D27" s="1329">
        <v>4.75</v>
      </c>
      <c r="E27" s="1330" t="s">
        <v>140</v>
      </c>
      <c r="F27" s="1332" t="s">
        <v>1840</v>
      </c>
    </row>
    <row r="28" spans="2:6">
      <c r="B28" s="2917"/>
      <c r="C28" s="1333" t="s">
        <v>136</v>
      </c>
      <c r="D28" s="1333" t="s">
        <v>137</v>
      </c>
      <c r="E28" s="1334" t="s">
        <v>147</v>
      </c>
      <c r="F28" s="1332" t="s">
        <v>148</v>
      </c>
    </row>
    <row r="29" spans="2:6">
      <c r="B29" s="2918"/>
      <c r="C29" s="1320" t="s">
        <v>149</v>
      </c>
      <c r="D29" s="1321"/>
      <c r="E29" s="1337"/>
      <c r="F29" s="1338"/>
    </row>
    <row r="30" spans="2:6" ht="24" customHeight="1">
      <c r="B30" s="2917"/>
      <c r="C30" s="1324" t="s">
        <v>150</v>
      </c>
      <c r="D30" s="1339">
        <v>0</v>
      </c>
      <c r="E30" s="2385">
        <f>'条件(標準)_後'!E30</f>
        <v>0</v>
      </c>
      <c r="F30" s="1327">
        <f>'条件(標準)_後'!F30</f>
        <v>0</v>
      </c>
    </row>
    <row r="31" spans="2:6" ht="24" customHeight="1">
      <c r="B31" s="2917"/>
      <c r="C31" s="1324" t="s">
        <v>151</v>
      </c>
      <c r="D31" s="1339">
        <v>0</v>
      </c>
      <c r="E31" s="1344">
        <f>'条件(標準)_後'!E31</f>
        <v>0.3</v>
      </c>
      <c r="F31" s="1331">
        <f>'条件(標準)_後'!F31</f>
        <v>0</v>
      </c>
    </row>
    <row r="32" spans="2:6" ht="24" customHeight="1">
      <c r="B32" s="2917"/>
      <c r="C32" s="1328" t="s">
        <v>152</v>
      </c>
      <c r="D32" s="1339">
        <v>0</v>
      </c>
      <c r="E32" s="1344">
        <v>0</v>
      </c>
      <c r="F32" s="1331"/>
    </row>
    <row r="33" spans="2:6" ht="24" customHeight="1">
      <c r="B33" s="2917"/>
      <c r="C33" s="1345" t="s">
        <v>153</v>
      </c>
      <c r="D33" s="1346">
        <v>0</v>
      </c>
      <c r="E33" s="1347">
        <v>0</v>
      </c>
      <c r="F33" s="1849"/>
    </row>
    <row r="34" spans="2:6" ht="19.5" customHeight="1">
      <c r="B34" s="1303"/>
      <c r="C34" s="1349" t="s">
        <v>118</v>
      </c>
      <c r="D34" s="1350">
        <f>CO2計算_前!O134</f>
        <v>15.990999999999998</v>
      </c>
      <c r="E34" s="1351">
        <f>CO2計算_前!L134</f>
        <v>15.990999999999998</v>
      </c>
      <c r="F34" s="1312" t="s">
        <v>119</v>
      </c>
    </row>
    <row r="35" spans="2:6">
      <c r="B35" s="1319" t="s">
        <v>455</v>
      </c>
      <c r="C35" s="1352" t="s">
        <v>154</v>
      </c>
      <c r="D35" s="1353"/>
      <c r="E35" s="1353"/>
      <c r="F35" s="1323"/>
    </row>
    <row r="36" spans="2:6">
      <c r="B36" s="1310" t="s">
        <v>155</v>
      </c>
      <c r="C36" s="1354" t="s">
        <v>617</v>
      </c>
      <c r="D36" s="1355">
        <f>CO2データ!I269</f>
        <v>25</v>
      </c>
      <c r="E36" s="1355">
        <f>D36</f>
        <v>25</v>
      </c>
      <c r="F36" s="1356"/>
    </row>
    <row r="37" spans="2:6" ht="13.5" hidden="1" customHeight="1">
      <c r="B37" s="1310"/>
      <c r="C37" s="1357" t="s">
        <v>156</v>
      </c>
      <c r="D37" s="1358">
        <f>CO2データ!I270</f>
        <v>0</v>
      </c>
      <c r="E37" s="1358"/>
      <c r="F37" s="1359"/>
    </row>
    <row r="38" spans="2:6">
      <c r="B38" s="1310"/>
      <c r="C38" s="1328" t="s">
        <v>616</v>
      </c>
      <c r="D38" s="1358">
        <f>CO2データ!I271</f>
        <v>18</v>
      </c>
      <c r="E38" s="1358">
        <f>D38</f>
        <v>18</v>
      </c>
      <c r="F38" s="1359"/>
    </row>
    <row r="39" spans="2:6">
      <c r="B39" s="1310"/>
      <c r="C39" s="1357" t="s">
        <v>157</v>
      </c>
      <c r="D39" s="1355">
        <f>CO2データ!I272</f>
        <v>15</v>
      </c>
      <c r="E39" s="1355">
        <f>D39</f>
        <v>15</v>
      </c>
      <c r="F39" s="1356"/>
    </row>
    <row r="40" spans="2:6">
      <c r="B40" s="1319"/>
      <c r="C40" s="1352" t="s">
        <v>158</v>
      </c>
      <c r="D40" s="1353"/>
      <c r="E40" s="1353"/>
      <c r="F40" s="1323"/>
    </row>
    <row r="41" spans="2:6">
      <c r="B41" s="1310"/>
      <c r="C41" s="1357" t="s">
        <v>617</v>
      </c>
      <c r="D41" s="1360">
        <f>CO2データ!I275</f>
        <v>0.01</v>
      </c>
      <c r="E41" s="1360">
        <f>D41</f>
        <v>0.01</v>
      </c>
      <c r="F41" s="1361"/>
    </row>
    <row r="42" spans="2:6">
      <c r="B42" s="1310"/>
      <c r="C42" s="1328" t="s">
        <v>616</v>
      </c>
      <c r="D42" s="1362">
        <f>CO2データ!I276</f>
        <v>0.01</v>
      </c>
      <c r="E42" s="1362">
        <f>D42</f>
        <v>0.01</v>
      </c>
      <c r="F42" s="1363"/>
    </row>
    <row r="43" spans="2:6">
      <c r="B43" s="1310"/>
      <c r="C43" s="1364" t="s">
        <v>157</v>
      </c>
      <c r="D43" s="1365">
        <f>CO2データ!I277</f>
        <v>0.02</v>
      </c>
      <c r="E43" s="1365">
        <f>D43</f>
        <v>0.02</v>
      </c>
      <c r="F43" s="1366"/>
    </row>
    <row r="44" spans="2:6" ht="27.75" customHeight="1">
      <c r="B44" s="1367"/>
      <c r="C44" s="1307" t="s">
        <v>159</v>
      </c>
      <c r="D44" s="1313" t="s">
        <v>160</v>
      </c>
      <c r="E44" s="1301" t="s">
        <v>161</v>
      </c>
      <c r="F44" s="1305"/>
    </row>
    <row r="45" spans="2:6">
      <c r="B45" s="1303"/>
      <c r="C45" s="1352" t="s">
        <v>118</v>
      </c>
      <c r="D45" s="1321"/>
      <c r="E45" s="1838"/>
      <c r="F45" s="1371"/>
    </row>
    <row r="46" spans="2:6" ht="24" customHeight="1">
      <c r="B46" s="1310"/>
      <c r="C46" s="1301" t="s">
        <v>887</v>
      </c>
      <c r="D46" s="1311">
        <f>IF(F58=H58,#REF!,CO2計算_前!O116)</f>
        <v>119.9773426229508</v>
      </c>
      <c r="E46" s="1311">
        <f>IF(F58=H58,#REF!,CO2計算_前!L116)</f>
        <v>107.97960836065572</v>
      </c>
      <c r="F46" s="1312" t="s">
        <v>119</v>
      </c>
    </row>
    <row r="47" spans="2:6" ht="24" customHeight="1">
      <c r="B47" s="1310"/>
      <c r="C47" s="1324" t="s">
        <v>910</v>
      </c>
      <c r="D47" s="1839" t="s">
        <v>884</v>
      </c>
      <c r="E47" s="1840">
        <f>IF(F58=H58,#REF!,CO2計算_前!L123)</f>
        <v>107.97960836065572</v>
      </c>
      <c r="F47" s="1312" t="s">
        <v>119</v>
      </c>
    </row>
    <row r="48" spans="2:6" ht="24" hidden="1" customHeight="1">
      <c r="B48" s="2917" t="s">
        <v>162</v>
      </c>
      <c r="C48" s="1333" t="s">
        <v>888</v>
      </c>
      <c r="D48" s="1841"/>
      <c r="E48" s="1842"/>
      <c r="F48" s="1843" t="s">
        <v>119</v>
      </c>
    </row>
    <row r="49" spans="2:8" ht="24" hidden="1" customHeight="1">
      <c r="B49" s="2917"/>
      <c r="C49" s="2384"/>
      <c r="D49" s="1844"/>
      <c r="E49" s="1842"/>
      <c r="F49" s="1843"/>
    </row>
    <row r="50" spans="2:8" ht="24" hidden="1" customHeight="1">
      <c r="B50" s="2917"/>
      <c r="C50" s="2384"/>
      <c r="D50" s="1845"/>
      <c r="E50" s="2390"/>
      <c r="F50" s="1846"/>
    </row>
    <row r="51" spans="2:8" ht="24" hidden="1" customHeight="1">
      <c r="B51" s="2917"/>
      <c r="C51" s="1367"/>
      <c r="D51" s="1847" t="s">
        <v>892</v>
      </c>
      <c r="E51" s="1848" t="s">
        <v>884</v>
      </c>
      <c r="F51" s="1849"/>
    </row>
    <row r="52" spans="2:8" ht="24" customHeight="1">
      <c r="B52" s="2918"/>
      <c r="C52" s="1354" t="s">
        <v>1794</v>
      </c>
      <c r="D52" s="2389" t="s">
        <v>884</v>
      </c>
      <c r="E52" s="2391">
        <f>E47</f>
        <v>107.97960836065572</v>
      </c>
      <c r="F52" s="1327" t="s">
        <v>119</v>
      </c>
    </row>
    <row r="53" spans="2:8" ht="24" customHeight="1">
      <c r="B53" s="2917"/>
      <c r="C53" s="1333" t="s">
        <v>888</v>
      </c>
      <c r="D53" s="1851" t="s">
        <v>895</v>
      </c>
      <c r="E53" s="1852" t="s">
        <v>896</v>
      </c>
      <c r="F53" s="1331"/>
    </row>
    <row r="54" spans="2:8" ht="24" customHeight="1">
      <c r="B54" s="2917"/>
      <c r="C54" s="1310"/>
      <c r="D54" s="1851" t="s">
        <v>897</v>
      </c>
      <c r="E54" s="1852" t="s">
        <v>896</v>
      </c>
      <c r="F54" s="1332"/>
    </row>
    <row r="55" spans="2:8" ht="24" customHeight="1">
      <c r="B55" s="2917"/>
      <c r="C55" s="1310"/>
      <c r="D55" s="1851" t="s">
        <v>898</v>
      </c>
      <c r="E55" s="1852" t="s">
        <v>896</v>
      </c>
      <c r="F55" s="1332"/>
    </row>
    <row r="56" spans="2:8" ht="24" customHeight="1">
      <c r="B56" s="1310"/>
      <c r="C56" s="1310"/>
      <c r="D56" s="1851" t="s">
        <v>899</v>
      </c>
      <c r="E56" s="1852" t="s">
        <v>896</v>
      </c>
      <c r="F56" s="1348"/>
    </row>
    <row r="57" spans="2:8" ht="13.5" hidden="1" customHeight="1">
      <c r="B57" s="1310"/>
      <c r="C57" s="1367"/>
      <c r="D57" s="1853"/>
      <c r="E57" s="1848" t="s">
        <v>901</v>
      </c>
      <c r="F57" s="1849"/>
    </row>
    <row r="58" spans="2:8" ht="24">
      <c r="B58" s="2917" t="s">
        <v>162</v>
      </c>
      <c r="C58" s="1307" t="s">
        <v>163</v>
      </c>
      <c r="D58" s="1313" t="str">
        <f>'条件(標準)_後'!D58</f>
        <v>統計値より、一次エネルギー消費量の平均値を引用</v>
      </c>
      <c r="E58" s="1313" t="str">
        <f>'条件(標準)_後'!E58</f>
        <v>LR1の取り組みによる省エネルギー量を推定</v>
      </c>
      <c r="F58" s="1313">
        <f>'条件(標準)_後'!F58</f>
        <v>0</v>
      </c>
      <c r="H58" t="s">
        <v>1787</v>
      </c>
    </row>
    <row r="59" spans="2:8" ht="25.5" customHeight="1">
      <c r="B59" s="2917"/>
      <c r="C59" s="1349" t="s">
        <v>166</v>
      </c>
      <c r="D59" s="1368">
        <f>IF(F58=H58,SUM(#REF!),SUM(CO2計算_前!H118:H121))</f>
        <v>19300</v>
      </c>
      <c r="E59" s="1368">
        <f>IF(F58=H58,SUM(#REF!),SUM(CO2計算_前!I125:I127))</f>
        <v>17370</v>
      </c>
      <c r="F59" s="1369" t="s">
        <v>1392</v>
      </c>
    </row>
    <row r="60" spans="2:8">
      <c r="B60" s="2918"/>
      <c r="C60" s="1370" t="s">
        <v>1790</v>
      </c>
      <c r="D60" s="1353"/>
      <c r="E60" s="1353"/>
      <c r="F60" s="1371"/>
    </row>
    <row r="61" spans="2:8">
      <c r="B61" s="2917"/>
      <c r="C61" s="1372" t="s">
        <v>1791</v>
      </c>
      <c r="D61" s="1373">
        <f>IF(F58=H58,#REF!,CO2計算_前!J118)</f>
        <v>6.2164426229508192E-2</v>
      </c>
      <c r="E61" s="1374" t="s">
        <v>161</v>
      </c>
      <c r="F61" s="1846" t="s">
        <v>1464</v>
      </c>
    </row>
    <row r="62" spans="2:8">
      <c r="B62" s="2917"/>
      <c r="C62" s="1372" t="s">
        <v>1792</v>
      </c>
      <c r="D62" s="1373">
        <f>IF(F58=H58,#REF!,CO2計算_前!J120)</f>
        <v>6.0541508196721307E-2</v>
      </c>
      <c r="E62" s="1376" t="s">
        <v>161</v>
      </c>
      <c r="F62" s="1846" t="s">
        <v>1464</v>
      </c>
    </row>
    <row r="63" spans="2:8">
      <c r="B63" s="2917"/>
      <c r="C63" s="1375" t="s">
        <v>167</v>
      </c>
      <c r="D63" s="1376">
        <f>CO2データ!I95</f>
        <v>0.61199999999999999</v>
      </c>
      <c r="E63" s="1376" t="s">
        <v>161</v>
      </c>
      <c r="F63" s="1843" t="s">
        <v>1793</v>
      </c>
    </row>
    <row r="64" spans="2:8">
      <c r="B64" s="2917"/>
      <c r="C64" s="1375" t="s">
        <v>168</v>
      </c>
      <c r="D64" s="1376">
        <f>CO2データ!I97</f>
        <v>4.9799999999999997E-2</v>
      </c>
      <c r="E64" s="1376" t="s">
        <v>161</v>
      </c>
      <c r="F64" s="1846" t="s">
        <v>1464</v>
      </c>
    </row>
    <row r="65" spans="2:6" ht="24">
      <c r="B65" s="2917"/>
      <c r="C65" s="1377" t="s">
        <v>169</v>
      </c>
      <c r="D65" s="1378">
        <f>CO2データ!I101</f>
        <v>6.855E-2</v>
      </c>
      <c r="E65" s="1378" t="s">
        <v>161</v>
      </c>
      <c r="F65" s="1868" t="s">
        <v>1464</v>
      </c>
    </row>
    <row r="66" spans="2:6">
      <c r="B66" s="1310"/>
      <c r="C66" s="1379" t="s">
        <v>170</v>
      </c>
      <c r="D66" s="1380"/>
      <c r="E66" s="1380"/>
      <c r="F66" s="1381"/>
    </row>
    <row r="67" spans="2:6">
      <c r="B67" s="1310"/>
      <c r="C67" s="1364"/>
      <c r="D67" s="1306"/>
      <c r="E67" s="1306"/>
      <c r="F67" s="1366"/>
    </row>
    <row r="68" spans="2:6">
      <c r="B68" s="2919" t="s">
        <v>885</v>
      </c>
      <c r="C68" s="2914"/>
      <c r="D68" s="2914"/>
      <c r="E68" s="2914"/>
      <c r="F68" s="2914"/>
    </row>
    <row r="69" spans="2:6">
      <c r="B69" s="2919"/>
      <c r="C69" s="2915"/>
      <c r="D69" s="2915"/>
      <c r="E69" s="2915"/>
      <c r="F69" s="2915"/>
    </row>
    <row r="70" spans="2:6">
      <c r="B70" s="2919"/>
      <c r="C70" s="2915"/>
      <c r="D70" s="2915"/>
      <c r="E70" s="2915"/>
      <c r="F70" s="2915"/>
    </row>
    <row r="71" spans="2:6">
      <c r="B71" s="2919"/>
      <c r="C71" s="2916"/>
      <c r="D71" s="2916"/>
      <c r="E71" s="2916"/>
      <c r="F71" s="2916"/>
    </row>
    <row r="72" spans="2:6"/>
  </sheetData>
  <sheetProtection password="8D30"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4" orientation="portrait"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4"/>
  <sheetViews>
    <sheetView workbookViewId="0">
      <selection activeCell="A2" sqref="A2"/>
    </sheetView>
  </sheetViews>
  <sheetFormatPr defaultRowHeight="13.5"/>
  <cols>
    <col min="1" max="1" width="70.625" customWidth="1"/>
    <col min="257" max="257" width="70.625" customWidth="1"/>
    <col min="513" max="513" width="70.625" customWidth="1"/>
    <col min="769" max="769" width="70.625" customWidth="1"/>
    <col min="1025" max="1025" width="70.625" customWidth="1"/>
    <col min="1281" max="1281" width="70.625" customWidth="1"/>
    <col min="1537" max="1537" width="70.625" customWidth="1"/>
    <col min="1793" max="1793" width="70.625" customWidth="1"/>
    <col min="2049" max="2049" width="70.625" customWidth="1"/>
    <col min="2305" max="2305" width="70.625" customWidth="1"/>
    <col min="2561" max="2561" width="70.625" customWidth="1"/>
    <col min="2817" max="2817" width="70.625" customWidth="1"/>
    <col min="3073" max="3073" width="70.625" customWidth="1"/>
    <col min="3329" max="3329" width="70.625" customWidth="1"/>
    <col min="3585" max="3585" width="70.625" customWidth="1"/>
    <col min="3841" max="3841" width="70.625" customWidth="1"/>
    <col min="4097" max="4097" width="70.625" customWidth="1"/>
    <col min="4353" max="4353" width="70.625" customWidth="1"/>
    <col min="4609" max="4609" width="70.625" customWidth="1"/>
    <col min="4865" max="4865" width="70.625" customWidth="1"/>
    <col min="5121" max="5121" width="70.625" customWidth="1"/>
    <col min="5377" max="5377" width="70.625" customWidth="1"/>
    <col min="5633" max="5633" width="70.625" customWidth="1"/>
    <col min="5889" max="5889" width="70.625" customWidth="1"/>
    <col min="6145" max="6145" width="70.625" customWidth="1"/>
    <col min="6401" max="6401" width="70.625" customWidth="1"/>
    <col min="6657" max="6657" width="70.625" customWidth="1"/>
    <col min="6913" max="6913" width="70.625" customWidth="1"/>
    <col min="7169" max="7169" width="70.625" customWidth="1"/>
    <col min="7425" max="7425" width="70.625" customWidth="1"/>
    <col min="7681" max="7681" width="70.625" customWidth="1"/>
    <col min="7937" max="7937" width="70.625" customWidth="1"/>
    <col min="8193" max="8193" width="70.625" customWidth="1"/>
    <col min="8449" max="8449" width="70.625" customWidth="1"/>
    <col min="8705" max="8705" width="70.625" customWidth="1"/>
    <col min="8961" max="8961" width="70.625" customWidth="1"/>
    <col min="9217" max="9217" width="70.625" customWidth="1"/>
    <col min="9473" max="9473" width="70.625" customWidth="1"/>
    <col min="9729" max="9729" width="70.625" customWidth="1"/>
    <col min="9985" max="9985" width="70.625" customWidth="1"/>
    <col min="10241" max="10241" width="70.625" customWidth="1"/>
    <col min="10497" max="10497" width="70.625" customWidth="1"/>
    <col min="10753" max="10753" width="70.625" customWidth="1"/>
    <col min="11009" max="11009" width="70.625" customWidth="1"/>
    <col min="11265" max="11265" width="70.625" customWidth="1"/>
    <col min="11521" max="11521" width="70.625" customWidth="1"/>
    <col min="11777" max="11777" width="70.625" customWidth="1"/>
    <col min="12033" max="12033" width="70.625" customWidth="1"/>
    <col min="12289" max="12289" width="70.625" customWidth="1"/>
    <col min="12545" max="12545" width="70.625" customWidth="1"/>
    <col min="12801" max="12801" width="70.625" customWidth="1"/>
    <col min="13057" max="13057" width="70.625" customWidth="1"/>
    <col min="13313" max="13313" width="70.625" customWidth="1"/>
    <col min="13569" max="13569" width="70.625" customWidth="1"/>
    <col min="13825" max="13825" width="70.625" customWidth="1"/>
    <col min="14081" max="14081" width="70.625" customWidth="1"/>
    <col min="14337" max="14337" width="70.625" customWidth="1"/>
    <col min="14593" max="14593" width="70.625" customWidth="1"/>
    <col min="14849" max="14849" width="70.625" customWidth="1"/>
    <col min="15105" max="15105" width="70.625" customWidth="1"/>
    <col min="15361" max="15361" width="70.625" customWidth="1"/>
    <col min="15617" max="15617" width="70.625" customWidth="1"/>
    <col min="15873" max="15873" width="70.625" customWidth="1"/>
    <col min="16129" max="16129" width="70.625" customWidth="1"/>
  </cols>
  <sheetData>
    <row r="1" spans="1:1" ht="24" customHeight="1">
      <c r="A1" t="s">
        <v>1849</v>
      </c>
    </row>
    <row r="2" spans="1:1" ht="270" customHeight="1">
      <c r="A2" s="2506"/>
    </row>
    <row r="4" spans="1:1" ht="81" customHeight="1">
      <c r="A4" s="2507" t="s">
        <v>1850</v>
      </c>
    </row>
  </sheetData>
  <phoneticPr fontId="20"/>
  <pageMargins left="0.75" right="0.75" top="1"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FFFF"/>
  </sheetPr>
  <dimension ref="B1:H90"/>
  <sheetViews>
    <sheetView showGridLines="0" zoomScaleNormal="100" workbookViewId="0"/>
  </sheetViews>
  <sheetFormatPr defaultColWidth="0" defaultRowHeight="13.5" zeroHeight="1"/>
  <cols>
    <col min="1" max="1" width="2" customWidth="1"/>
    <col min="2" max="2" width="10.625" customWidth="1"/>
    <col min="3" max="3" width="17.875" customWidth="1"/>
    <col min="4" max="4" width="30.25" customWidth="1"/>
    <col min="5" max="5" width="29.125" customWidth="1"/>
    <col min="6" max="6" width="16.125" customWidth="1"/>
    <col min="7" max="7" width="1.875" customWidth="1"/>
    <col min="8" max="8" width="10.125" hidden="1" customWidth="1"/>
  </cols>
  <sheetData>
    <row r="1" spans="2:6" ht="6" customHeight="1"/>
    <row r="2" spans="2:6" ht="18.75">
      <c r="B2" s="1299" t="s">
        <v>171</v>
      </c>
      <c r="C2" s="778"/>
      <c r="D2" s="778"/>
      <c r="E2" s="512" t="s">
        <v>837</v>
      </c>
      <c r="F2" s="513" t="str">
        <f>メイン!H11</f>
        <v>新ビル</v>
      </c>
    </row>
    <row r="3" spans="2:6" ht="15.75" customHeight="1">
      <c r="F3" s="1300" t="str">
        <f>メイン!C5</f>
        <v>CASBEE-BD_RN_2014(v.2.0)</v>
      </c>
    </row>
    <row r="4" spans="2:6">
      <c r="B4" s="2920" t="s">
        <v>110</v>
      </c>
      <c r="C4" s="2921"/>
      <c r="D4" s="1301" t="s">
        <v>111</v>
      </c>
      <c r="E4" s="1302" t="s">
        <v>112</v>
      </c>
      <c r="F4" s="1302" t="s">
        <v>882</v>
      </c>
    </row>
    <row r="5" spans="2:6" ht="27" customHeight="1">
      <c r="B5" s="2922" t="s">
        <v>113</v>
      </c>
      <c r="C5" s="1302" t="s">
        <v>883</v>
      </c>
      <c r="D5" s="1301" t="str">
        <f>メイン!H21</f>
        <v>事務所,物販店,</v>
      </c>
      <c r="E5" s="1301" t="str">
        <f>D5</f>
        <v>事務所,物販店,</v>
      </c>
      <c r="F5" s="1382"/>
    </row>
    <row r="6" spans="2:6">
      <c r="B6" s="2923"/>
      <c r="C6" s="1302" t="s">
        <v>114</v>
      </c>
      <c r="D6" s="1304">
        <f>メイン!H19</f>
        <v>10000</v>
      </c>
      <c r="E6" s="1304">
        <f>D6</f>
        <v>10000</v>
      </c>
      <c r="F6" s="1383"/>
    </row>
    <row r="7" spans="2:6">
      <c r="B7" s="2924"/>
      <c r="C7" s="1302" t="s">
        <v>115</v>
      </c>
      <c r="D7" s="1302" t="str">
        <f>メイン!H23</f>
        <v>S造</v>
      </c>
      <c r="E7" s="1302" t="str">
        <f>D7</f>
        <v>S造</v>
      </c>
      <c r="F7" s="1383"/>
    </row>
    <row r="8" spans="2:6" ht="31.5" customHeight="1">
      <c r="B8" s="1301" t="s">
        <v>116</v>
      </c>
      <c r="C8" s="1307" t="s">
        <v>117</v>
      </c>
      <c r="D8" s="1384"/>
      <c r="E8" s="1384"/>
      <c r="F8" s="1385"/>
    </row>
    <row r="9" spans="2:6" ht="19.5" customHeight="1">
      <c r="B9" s="1310"/>
      <c r="C9" s="1307" t="s">
        <v>118</v>
      </c>
      <c r="D9" s="1386">
        <v>6</v>
      </c>
      <c r="E9" s="1386">
        <v>5</v>
      </c>
      <c r="F9" s="1385" t="s">
        <v>119</v>
      </c>
    </row>
    <row r="10" spans="2:6" ht="29.25" customHeight="1">
      <c r="B10" s="2917" t="s">
        <v>121</v>
      </c>
      <c r="C10" s="1301" t="s">
        <v>122</v>
      </c>
      <c r="D10" s="1387"/>
      <c r="E10" s="1388"/>
      <c r="F10" s="1383"/>
    </row>
    <row r="11" spans="2:6" ht="27" customHeight="1">
      <c r="B11" s="2917"/>
      <c r="C11" s="1301" t="s">
        <v>124</v>
      </c>
      <c r="D11" s="1387"/>
      <c r="E11" s="1389"/>
      <c r="F11" s="1383"/>
    </row>
    <row r="12" spans="2:6" ht="30.75" customHeight="1">
      <c r="B12" s="2917"/>
      <c r="C12" s="1301" t="s">
        <v>172</v>
      </c>
      <c r="D12" s="1387"/>
      <c r="E12" s="1389"/>
      <c r="F12" s="1385"/>
    </row>
    <row r="13" spans="2:6">
      <c r="B13" s="2917"/>
      <c r="C13" s="1320" t="s">
        <v>127</v>
      </c>
      <c r="D13" s="1321"/>
      <c r="E13" s="1322"/>
      <c r="F13" s="1323"/>
    </row>
    <row r="14" spans="2:6" ht="14.25">
      <c r="B14" s="2917"/>
      <c r="C14" s="1354" t="s">
        <v>128</v>
      </c>
      <c r="D14" s="1390" t="s">
        <v>173</v>
      </c>
      <c r="E14" s="1391" t="s">
        <v>174</v>
      </c>
      <c r="F14" s="1392" t="s">
        <v>129</v>
      </c>
    </row>
    <row r="15" spans="2:6" ht="14.25">
      <c r="B15" s="2917"/>
      <c r="C15" s="1393" t="s">
        <v>130</v>
      </c>
      <c r="D15" s="1394" t="s">
        <v>175</v>
      </c>
      <c r="E15" s="1395" t="s">
        <v>140</v>
      </c>
      <c r="F15" s="1396" t="s">
        <v>129</v>
      </c>
    </row>
    <row r="16" spans="2:6">
      <c r="B16" s="2917"/>
      <c r="C16" s="1328" t="s">
        <v>131</v>
      </c>
      <c r="D16" s="1394" t="s">
        <v>137</v>
      </c>
      <c r="E16" s="1395" t="s">
        <v>140</v>
      </c>
      <c r="F16" s="1397" t="s">
        <v>132</v>
      </c>
    </row>
    <row r="17" spans="2:6">
      <c r="B17" s="2917"/>
      <c r="C17" s="1328" t="s">
        <v>133</v>
      </c>
      <c r="D17" s="1394" t="s">
        <v>176</v>
      </c>
      <c r="E17" s="1395" t="s">
        <v>140</v>
      </c>
      <c r="F17" s="1397" t="s">
        <v>132</v>
      </c>
    </row>
    <row r="18" spans="2:6">
      <c r="B18" s="2917"/>
      <c r="C18" s="1328" t="s">
        <v>134</v>
      </c>
      <c r="D18" s="1394" t="s">
        <v>137</v>
      </c>
      <c r="E18" s="1395" t="s">
        <v>140</v>
      </c>
      <c r="F18" s="1397" t="s">
        <v>132</v>
      </c>
    </row>
    <row r="19" spans="2:6">
      <c r="B19" s="2917"/>
      <c r="C19" s="1394" t="s">
        <v>136</v>
      </c>
      <c r="D19" s="1394" t="s">
        <v>137</v>
      </c>
      <c r="E19" s="1395" t="s">
        <v>147</v>
      </c>
      <c r="F19" s="1397" t="s">
        <v>132</v>
      </c>
    </row>
    <row r="20" spans="2:6">
      <c r="B20" s="2917"/>
      <c r="C20" s="1398" t="s">
        <v>136</v>
      </c>
      <c r="D20" s="1398" t="s">
        <v>137</v>
      </c>
      <c r="E20" s="1399" t="s">
        <v>140</v>
      </c>
      <c r="F20" s="1400" t="s">
        <v>177</v>
      </c>
    </row>
    <row r="21" spans="2:6">
      <c r="B21" s="2918"/>
      <c r="C21" s="1320" t="s">
        <v>142</v>
      </c>
      <c r="D21" s="1321"/>
      <c r="E21" s="1322"/>
      <c r="F21" s="1323"/>
    </row>
    <row r="22" spans="2:6" ht="15">
      <c r="B22" s="2917"/>
      <c r="C22" s="1324" t="s">
        <v>128</v>
      </c>
      <c r="D22" s="1401" t="s">
        <v>1841</v>
      </c>
      <c r="E22" s="1402" t="s">
        <v>140</v>
      </c>
      <c r="F22" s="1396" t="s">
        <v>143</v>
      </c>
    </row>
    <row r="23" spans="2:6" ht="15">
      <c r="B23" s="2917"/>
      <c r="C23" s="1393" t="s">
        <v>130</v>
      </c>
      <c r="D23" s="1394" t="s">
        <v>1841</v>
      </c>
      <c r="E23" s="1395" t="s">
        <v>140</v>
      </c>
      <c r="F23" s="1397" t="s">
        <v>143</v>
      </c>
    </row>
    <row r="24" spans="2:6">
      <c r="B24" s="2917"/>
      <c r="C24" s="1328" t="s">
        <v>131</v>
      </c>
      <c r="D24" s="1394" t="s">
        <v>1841</v>
      </c>
      <c r="E24" s="1395" t="s">
        <v>140</v>
      </c>
      <c r="F24" s="1397" t="s">
        <v>148</v>
      </c>
    </row>
    <row r="25" spans="2:6">
      <c r="B25" s="2917"/>
      <c r="C25" s="1328" t="s">
        <v>133</v>
      </c>
      <c r="D25" s="1394" t="s">
        <v>1841</v>
      </c>
      <c r="E25" s="1395" t="s">
        <v>140</v>
      </c>
      <c r="F25" s="1397" t="s">
        <v>148</v>
      </c>
    </row>
    <row r="26" spans="2:6">
      <c r="B26" s="2917"/>
      <c r="C26" s="1328" t="s">
        <v>134</v>
      </c>
      <c r="D26" s="1394" t="s">
        <v>1841</v>
      </c>
      <c r="E26" s="1395" t="s">
        <v>140</v>
      </c>
      <c r="F26" s="1397" t="s">
        <v>148</v>
      </c>
    </row>
    <row r="27" spans="2:6">
      <c r="B27" s="2917"/>
      <c r="C27" s="1403" t="s">
        <v>178</v>
      </c>
      <c r="D27" s="1394" t="s">
        <v>1841</v>
      </c>
      <c r="E27" s="1395" t="s">
        <v>140</v>
      </c>
      <c r="F27" s="1397" t="s">
        <v>148</v>
      </c>
    </row>
    <row r="28" spans="2:6">
      <c r="B28" s="2917"/>
      <c r="C28" s="1398" t="s">
        <v>136</v>
      </c>
      <c r="D28" s="1398" t="s">
        <v>1841</v>
      </c>
      <c r="E28" s="1399" t="s">
        <v>140</v>
      </c>
      <c r="F28" s="1397" t="s">
        <v>148</v>
      </c>
    </row>
    <row r="29" spans="2:6">
      <c r="B29" s="2918"/>
      <c r="C29" s="1320" t="s">
        <v>149</v>
      </c>
      <c r="D29" s="1321"/>
      <c r="E29" s="1322"/>
      <c r="F29" s="1371"/>
    </row>
    <row r="30" spans="2:6" ht="24" customHeight="1">
      <c r="B30" s="2917"/>
      <c r="C30" s="1324" t="s">
        <v>150</v>
      </c>
      <c r="D30" s="1404" t="s">
        <v>179</v>
      </c>
      <c r="E30" s="1404" t="s">
        <v>179</v>
      </c>
      <c r="F30" s="1405"/>
    </row>
    <row r="31" spans="2:6" ht="24" customHeight="1">
      <c r="B31" s="2917"/>
      <c r="C31" s="1324" t="s">
        <v>151</v>
      </c>
      <c r="D31" s="1404" t="s">
        <v>179</v>
      </c>
      <c r="E31" s="1404" t="s">
        <v>179</v>
      </c>
      <c r="F31" s="1405"/>
    </row>
    <row r="32" spans="2:6" ht="24" customHeight="1">
      <c r="B32" s="2917"/>
      <c r="C32" s="1328" t="s">
        <v>152</v>
      </c>
      <c r="D32" s="1404" t="s">
        <v>180</v>
      </c>
      <c r="E32" s="1404" t="s">
        <v>180</v>
      </c>
      <c r="F32" s="1406"/>
    </row>
    <row r="33" spans="2:6" ht="24" customHeight="1">
      <c r="B33" s="2917"/>
      <c r="C33" s="1345" t="s">
        <v>153</v>
      </c>
      <c r="D33" s="1407" t="s">
        <v>180</v>
      </c>
      <c r="E33" s="1407" t="s">
        <v>180</v>
      </c>
      <c r="F33" s="1408"/>
    </row>
    <row r="34" spans="2:6" ht="19.5" customHeight="1">
      <c r="B34" s="1303"/>
      <c r="C34" s="1349" t="s">
        <v>118</v>
      </c>
      <c r="D34" s="1409">
        <v>5</v>
      </c>
      <c r="E34" s="1409">
        <v>3</v>
      </c>
      <c r="F34" s="1385" t="s">
        <v>119</v>
      </c>
    </row>
    <row r="35" spans="2:6">
      <c r="B35" s="1319" t="s">
        <v>455</v>
      </c>
      <c r="C35" s="1352" t="s">
        <v>154</v>
      </c>
      <c r="D35" s="1353"/>
      <c r="E35" s="1353"/>
      <c r="F35" s="1323"/>
    </row>
    <row r="36" spans="2:6">
      <c r="B36" s="1310" t="s">
        <v>155</v>
      </c>
      <c r="C36" s="1364" t="s">
        <v>617</v>
      </c>
      <c r="D36" s="1410"/>
      <c r="E36" s="1410"/>
      <c r="F36" s="1411"/>
    </row>
    <row r="37" spans="2:6" hidden="1">
      <c r="B37" s="1310"/>
      <c r="C37" s="1364" t="s">
        <v>156</v>
      </c>
      <c r="D37" s="1410"/>
      <c r="E37" s="1410"/>
      <c r="F37" s="1385"/>
    </row>
    <row r="38" spans="2:6">
      <c r="B38" s="1310"/>
      <c r="C38" s="1307" t="s">
        <v>616</v>
      </c>
      <c r="D38" s="1384"/>
      <c r="E38" s="1384"/>
      <c r="F38" s="1385"/>
    </row>
    <row r="39" spans="2:6">
      <c r="B39" s="1310"/>
      <c r="C39" s="1349" t="s">
        <v>157</v>
      </c>
      <c r="D39" s="1412"/>
      <c r="E39" s="1412"/>
      <c r="F39" s="1413"/>
    </row>
    <row r="40" spans="2:6">
      <c r="B40" s="1319"/>
      <c r="C40" s="1352" t="s">
        <v>158</v>
      </c>
      <c r="D40" s="1353"/>
      <c r="E40" s="1353"/>
      <c r="F40" s="1323"/>
    </row>
    <row r="41" spans="2:6">
      <c r="B41" s="1310"/>
      <c r="C41" s="1364" t="s">
        <v>617</v>
      </c>
      <c r="D41" s="1414"/>
      <c r="E41" s="1414"/>
      <c r="F41" s="1381"/>
    </row>
    <row r="42" spans="2:6">
      <c r="B42" s="1310"/>
      <c r="C42" s="1307" t="s">
        <v>616</v>
      </c>
      <c r="D42" s="1415"/>
      <c r="E42" s="1415"/>
      <c r="F42" s="1383"/>
    </row>
    <row r="43" spans="2:6">
      <c r="B43" s="1310"/>
      <c r="C43" s="1307" t="s">
        <v>157</v>
      </c>
      <c r="D43" s="1415"/>
      <c r="E43" s="1415"/>
      <c r="F43" s="1383"/>
    </row>
    <row r="44" spans="2:6" ht="27.75" customHeight="1">
      <c r="B44" s="1367"/>
      <c r="C44" s="1307" t="s">
        <v>159</v>
      </c>
      <c r="D44" s="1387"/>
      <c r="E44" s="1416"/>
      <c r="F44" s="1383"/>
    </row>
    <row r="45" spans="2:6">
      <c r="B45" s="1303"/>
      <c r="C45" s="1352" t="s">
        <v>118</v>
      </c>
      <c r="D45" s="1321"/>
      <c r="E45" s="1838"/>
      <c r="F45" s="1371"/>
    </row>
    <row r="46" spans="2:6" ht="24" customHeight="1">
      <c r="B46" s="1310"/>
      <c r="C46" s="1324" t="s">
        <v>900</v>
      </c>
      <c r="D46" s="1386">
        <v>3</v>
      </c>
      <c r="E46" s="1386">
        <v>2</v>
      </c>
      <c r="F46" s="1335" t="s">
        <v>119</v>
      </c>
    </row>
    <row r="47" spans="2:6" ht="24">
      <c r="B47" s="1310"/>
      <c r="C47" s="1324" t="s">
        <v>902</v>
      </c>
      <c r="D47" s="1839" t="s">
        <v>903</v>
      </c>
      <c r="E47" s="1854">
        <v>1</v>
      </c>
      <c r="F47" s="1335" t="s">
        <v>119</v>
      </c>
    </row>
    <row r="48" spans="2:6" ht="26.25" customHeight="1">
      <c r="B48" s="1310" t="s">
        <v>162</v>
      </c>
      <c r="C48" s="1357" t="s">
        <v>888</v>
      </c>
      <c r="D48" s="1841" t="s">
        <v>889</v>
      </c>
      <c r="E48" s="1855"/>
      <c r="F48" s="1397"/>
    </row>
    <row r="49" spans="2:8" ht="26.25" customHeight="1">
      <c r="B49" s="1310"/>
      <c r="C49" s="1357"/>
      <c r="D49" s="1844" t="s">
        <v>890</v>
      </c>
      <c r="E49" s="1856"/>
      <c r="F49" s="1397"/>
    </row>
    <row r="50" spans="2:8" ht="26.25" customHeight="1">
      <c r="B50" s="1310"/>
      <c r="C50" s="1357"/>
      <c r="D50" s="1845" t="s">
        <v>891</v>
      </c>
      <c r="E50" s="1855"/>
      <c r="F50" s="1397"/>
    </row>
    <row r="51" spans="2:8" ht="26.25" customHeight="1">
      <c r="B51" s="1310"/>
      <c r="C51" s="1367"/>
      <c r="D51" s="1847" t="s">
        <v>892</v>
      </c>
      <c r="E51" s="1857"/>
      <c r="F51" s="1858"/>
    </row>
    <row r="52" spans="2:8" ht="24">
      <c r="B52" s="1310"/>
      <c r="C52" s="1357" t="s">
        <v>894</v>
      </c>
      <c r="D52" s="1850" t="s">
        <v>893</v>
      </c>
      <c r="E52" s="1856">
        <v>-5</v>
      </c>
      <c r="F52" s="1348" t="s">
        <v>119</v>
      </c>
    </row>
    <row r="53" spans="2:8" ht="24" customHeight="1">
      <c r="B53" s="1310"/>
      <c r="C53" s="1333" t="s">
        <v>888</v>
      </c>
      <c r="D53" s="1851" t="s">
        <v>904</v>
      </c>
      <c r="E53" s="1855"/>
      <c r="F53" s="1397"/>
    </row>
    <row r="54" spans="2:8" ht="24" customHeight="1">
      <c r="B54" s="1310"/>
      <c r="C54" s="1310"/>
      <c r="D54" s="1851" t="s">
        <v>905</v>
      </c>
      <c r="E54" s="1855"/>
      <c r="F54" s="1397"/>
    </row>
    <row r="55" spans="2:8" ht="24" customHeight="1">
      <c r="B55" s="1310"/>
      <c r="C55" s="1310"/>
      <c r="D55" s="1851" t="s">
        <v>906</v>
      </c>
      <c r="E55" s="1855"/>
      <c r="F55" s="1397"/>
    </row>
    <row r="56" spans="2:8" ht="24" customHeight="1">
      <c r="B56" s="1310"/>
      <c r="C56" s="1310"/>
      <c r="D56" s="1851" t="s">
        <v>907</v>
      </c>
      <c r="E56" s="1855"/>
      <c r="F56" s="1397"/>
    </row>
    <row r="57" spans="2:8" ht="24" hidden="1" customHeight="1">
      <c r="B57" s="1310"/>
      <c r="C57" s="1307"/>
      <c r="D57" s="1386"/>
      <c r="E57" s="1386"/>
      <c r="F57" s="1385"/>
    </row>
    <row r="58" spans="2:8" ht="38.25" customHeight="1">
      <c r="B58" s="2917" t="s">
        <v>162</v>
      </c>
      <c r="C58" s="1307" t="s">
        <v>163</v>
      </c>
      <c r="D58" s="1387" t="s">
        <v>909</v>
      </c>
      <c r="E58" s="1387" t="s">
        <v>909</v>
      </c>
      <c r="F58" s="1397">
        <f>'条件(標準)_後'!F58</f>
        <v>0</v>
      </c>
      <c r="H58" t="s">
        <v>605</v>
      </c>
    </row>
    <row r="59" spans="2:8" ht="28.5" customHeight="1">
      <c r="B59" s="2917"/>
      <c r="C59" s="1349" t="s">
        <v>166</v>
      </c>
      <c r="D59" s="1417" t="s">
        <v>181</v>
      </c>
      <c r="E59" s="1417" t="s">
        <v>181</v>
      </c>
      <c r="F59" s="1418" t="s">
        <v>881</v>
      </c>
    </row>
    <row r="60" spans="2:8">
      <c r="B60" s="2918"/>
      <c r="C60" s="1370" t="s">
        <v>1790</v>
      </c>
      <c r="D60" s="1353"/>
      <c r="E60" s="1353"/>
      <c r="F60" s="1371"/>
    </row>
    <row r="61" spans="2:8">
      <c r="B61" s="2917"/>
      <c r="C61" s="1372" t="s">
        <v>1791</v>
      </c>
      <c r="D61" s="1419" t="s">
        <v>456</v>
      </c>
      <c r="E61" s="1419" t="s">
        <v>161</v>
      </c>
      <c r="F61" s="2411" t="s">
        <v>1182</v>
      </c>
    </row>
    <row r="62" spans="2:8">
      <c r="B62" s="2917"/>
      <c r="C62" s="1372" t="s">
        <v>1792</v>
      </c>
      <c r="D62" s="1419"/>
      <c r="E62" s="1419"/>
      <c r="F62" s="2411" t="s">
        <v>1182</v>
      </c>
    </row>
    <row r="63" spans="2:8">
      <c r="B63" s="2917"/>
      <c r="C63" s="1375" t="s">
        <v>167</v>
      </c>
      <c r="D63" s="1420" t="s">
        <v>456</v>
      </c>
      <c r="E63" s="1420" t="s">
        <v>161</v>
      </c>
      <c r="F63" s="2412" t="s">
        <v>1793</v>
      </c>
    </row>
    <row r="64" spans="2:8">
      <c r="B64" s="2917"/>
      <c r="C64" s="1375" t="s">
        <v>168</v>
      </c>
      <c r="D64" s="1420" t="s">
        <v>182</v>
      </c>
      <c r="E64" s="1420" t="s">
        <v>161</v>
      </c>
      <c r="F64" s="2411" t="s">
        <v>1182</v>
      </c>
    </row>
    <row r="65" spans="2:8" ht="24">
      <c r="B65" s="2917"/>
      <c r="C65" s="2414" t="s">
        <v>169</v>
      </c>
      <c r="D65" s="1421" t="s">
        <v>183</v>
      </c>
      <c r="E65" s="1421" t="s">
        <v>161</v>
      </c>
      <c r="F65" s="2413" t="s">
        <v>1182</v>
      </c>
    </row>
    <row r="66" spans="2:8">
      <c r="B66" s="1310"/>
      <c r="C66" s="1379" t="s">
        <v>170</v>
      </c>
      <c r="D66" s="1380"/>
      <c r="E66" s="1380"/>
      <c r="F66" s="1381"/>
    </row>
    <row r="67" spans="2:8">
      <c r="B67" s="1310"/>
      <c r="C67" s="1364"/>
      <c r="D67" s="1380"/>
      <c r="E67" s="1380"/>
      <c r="F67" s="1381"/>
    </row>
    <row r="68" spans="2:8">
      <c r="B68" s="2919" t="s">
        <v>885</v>
      </c>
      <c r="C68" s="2914"/>
      <c r="D68" s="2914"/>
      <c r="E68" s="2914"/>
      <c r="F68" s="2914"/>
    </row>
    <row r="69" spans="2:8">
      <c r="B69" s="2919"/>
      <c r="C69" s="2915"/>
      <c r="D69" s="2915"/>
      <c r="E69" s="2915"/>
      <c r="F69" s="2915"/>
    </row>
    <row r="70" spans="2:8">
      <c r="B70" s="2919"/>
      <c r="C70" s="2915"/>
      <c r="D70" s="2915"/>
      <c r="E70" s="2915"/>
      <c r="F70" s="2915"/>
    </row>
    <row r="71" spans="2:8">
      <c r="B71" s="2919"/>
      <c r="C71" s="2916"/>
      <c r="D71" s="2916"/>
      <c r="E71" s="2916"/>
      <c r="F71" s="2916"/>
    </row>
    <row r="72" spans="2:8"/>
    <row r="73" spans="2:8">
      <c r="B73" t="s">
        <v>916</v>
      </c>
    </row>
    <row r="74" spans="2:8">
      <c r="B74" s="1303"/>
      <c r="C74" s="1320" t="s">
        <v>917</v>
      </c>
      <c r="D74" s="1321"/>
      <c r="E74" s="1322"/>
      <c r="F74" s="1336"/>
      <c r="H74" s="2445">
        <f>'条件(標準)_後'!F58</f>
        <v>0</v>
      </c>
    </row>
    <row r="75" spans="2:8">
      <c r="B75" s="1310"/>
      <c r="C75" s="1333" t="s">
        <v>918</v>
      </c>
      <c r="D75" s="1329" t="s">
        <v>919</v>
      </c>
      <c r="E75" s="1859">
        <f>IF(H74=H58,H75,(計画書_後!I43+計画書_後!M43+計画書_後!N43)/CO2データ!J96*1000)</f>
        <v>0</v>
      </c>
      <c r="F75" s="1332" t="s">
        <v>920</v>
      </c>
      <c r="H75" t="e">
        <f>(#REF!+#REF!+#REF!)/CO2データ!J96*1000</f>
        <v>#REF!</v>
      </c>
    </row>
    <row r="76" spans="2:8">
      <c r="B76" s="1310" t="s">
        <v>1056</v>
      </c>
      <c r="C76" s="1310"/>
      <c r="D76" s="1329" t="s">
        <v>921</v>
      </c>
      <c r="E76" s="1859">
        <f>IF(H74=H58,H76,-((計画書_後!I41-計画書_後!I42)+(計画書_後!M41-計画書_後!M42)+(計画書_後!N41-計画書_後!N42))/CO2データ!J96*1000)</f>
        <v>0</v>
      </c>
      <c r="F76" s="1332" t="s">
        <v>922</v>
      </c>
      <c r="H76" t="e">
        <f>-((#REF!-#REF!)+(#REF!-#REF!)+(#REF!-#REF!))/CO2データ!J96*1000</f>
        <v>#REF!</v>
      </c>
    </row>
    <row r="77" spans="2:8">
      <c r="B77" s="1310" t="s">
        <v>923</v>
      </c>
      <c r="C77" s="1324"/>
      <c r="D77" s="1329" t="s">
        <v>924</v>
      </c>
      <c r="E77" s="1859">
        <f>E75-E76</f>
        <v>0</v>
      </c>
      <c r="F77" s="1332" t="s">
        <v>922</v>
      </c>
    </row>
    <row r="78" spans="2:8">
      <c r="B78" s="1310"/>
      <c r="C78" s="1333" t="s">
        <v>925</v>
      </c>
      <c r="D78" s="1329" t="s">
        <v>926</v>
      </c>
      <c r="E78" s="1330">
        <f>E75*E81/E$6</f>
        <v>0</v>
      </c>
      <c r="F78" s="1860" t="s">
        <v>119</v>
      </c>
    </row>
    <row r="79" spans="2:8">
      <c r="B79" s="1310"/>
      <c r="C79" s="1310"/>
      <c r="D79" s="1329" t="s">
        <v>927</v>
      </c>
      <c r="E79" s="1330">
        <f>E78-E80</f>
        <v>0</v>
      </c>
      <c r="F79" s="1860" t="s">
        <v>119</v>
      </c>
    </row>
    <row r="80" spans="2:8">
      <c r="B80" s="1310"/>
      <c r="C80" s="1324"/>
      <c r="D80" s="1329" t="s">
        <v>928</v>
      </c>
      <c r="E80" s="1330">
        <f>E77*E82/E$6</f>
        <v>0</v>
      </c>
      <c r="F80" s="1860" t="s">
        <v>119</v>
      </c>
    </row>
    <row r="81" spans="2:8" hidden="1">
      <c r="B81" s="1310"/>
      <c r="C81" s="1333" t="s">
        <v>929</v>
      </c>
      <c r="D81" s="1329" t="s">
        <v>930</v>
      </c>
      <c r="E81" s="1861">
        <f>CO2データ!I95</f>
        <v>0.61199999999999999</v>
      </c>
      <c r="F81" s="1860" t="s">
        <v>931</v>
      </c>
    </row>
    <row r="82" spans="2:8" hidden="1">
      <c r="B82" s="1310"/>
      <c r="C82" s="1310"/>
      <c r="D82" s="1329" t="s">
        <v>928</v>
      </c>
      <c r="E82" s="1861">
        <f>CO2データ!I95</f>
        <v>0.61199999999999999</v>
      </c>
      <c r="F82" s="1860" t="s">
        <v>932</v>
      </c>
    </row>
    <row r="83" spans="2:8" hidden="1">
      <c r="B83" s="1310"/>
      <c r="C83" s="1324"/>
      <c r="D83" s="1329" t="s">
        <v>882</v>
      </c>
      <c r="E83" s="1330" t="s">
        <v>933</v>
      </c>
      <c r="F83" s="1332"/>
    </row>
    <row r="84" spans="2:8">
      <c r="B84" s="1310"/>
      <c r="C84" s="1320" t="s">
        <v>934</v>
      </c>
      <c r="D84" s="1321"/>
      <c r="E84" s="1322"/>
      <c r="F84" s="1336"/>
    </row>
    <row r="85" spans="2:8">
      <c r="B85" s="1310"/>
      <c r="C85" s="1862" t="s">
        <v>935</v>
      </c>
      <c r="D85" s="1325"/>
      <c r="E85" s="1863">
        <f>IF(H74=H58,H85,(CO2計算_後!I125*計画書_後!T74+CO2計算_後!I127*CO2データ!N169+CO2計算_後!I126*CO2データ!N168)/CO2データ!J96*1000)</f>
        <v>1495290.9836065574</v>
      </c>
      <c r="F85" s="1331" t="s">
        <v>920</v>
      </c>
      <c r="H85" t="e">
        <f>(#REF!*#REF!+#REF!*CO2データ!N169+#REF!*CO2データ!N168)/CO2データ!J96*1000</f>
        <v>#REF!</v>
      </c>
    </row>
    <row r="86" spans="2:8">
      <c r="B86" s="1310"/>
      <c r="C86" s="1333" t="s">
        <v>234</v>
      </c>
      <c r="D86" s="1329" t="s">
        <v>936</v>
      </c>
      <c r="E86" s="1861">
        <f>係数!D5*1000</f>
        <v>0.61199999999999999</v>
      </c>
      <c r="F86" s="1860" t="s">
        <v>937</v>
      </c>
    </row>
    <row r="87" spans="2:8">
      <c r="B87" s="1310"/>
      <c r="C87" s="1324"/>
      <c r="D87" s="1329" t="s">
        <v>938</v>
      </c>
      <c r="E87" s="1861">
        <f>係数!J50*1000</f>
        <v>0.59899999999999998</v>
      </c>
      <c r="F87" s="1860" t="s">
        <v>931</v>
      </c>
    </row>
    <row r="88" spans="2:8">
      <c r="B88" s="1310"/>
      <c r="C88" s="1333" t="s">
        <v>939</v>
      </c>
      <c r="D88" s="1864" t="s">
        <v>860</v>
      </c>
      <c r="E88" s="1865">
        <f>E85*(E86-E87)</f>
        <v>19438.782786885262</v>
      </c>
      <c r="F88" s="1860" t="s">
        <v>868</v>
      </c>
    </row>
    <row r="89" spans="2:8">
      <c r="B89" s="1367"/>
      <c r="C89" s="1367"/>
      <c r="D89" s="1866" t="s">
        <v>940</v>
      </c>
      <c r="E89" s="1867">
        <f>E88/E6</f>
        <v>1.9438782786885263</v>
      </c>
      <c r="F89" s="1868" t="s">
        <v>119</v>
      </c>
    </row>
    <row r="90" spans="2:8"/>
  </sheetData>
  <sheetProtection password="8D30" sheet="1" objects="1" scenarios="1"/>
  <mergeCells count="9">
    <mergeCell ref="E68:E71"/>
    <mergeCell ref="F68:F71"/>
    <mergeCell ref="B58:B65"/>
    <mergeCell ref="B68:B71"/>
    <mergeCell ref="B4:C4"/>
    <mergeCell ref="B5:B7"/>
    <mergeCell ref="B10:B33"/>
    <mergeCell ref="C68:C71"/>
    <mergeCell ref="D68:D71"/>
  </mergeCells>
  <phoneticPr fontId="20"/>
  <printOptions horizontalCentered="1"/>
  <pageMargins left="0.59055118110236227" right="0.59055118110236227" top="0.78740157480314965" bottom="0.59055118110236227" header="0.51181102362204722" footer="0.51181102362204722"/>
  <pageSetup paperSize="9" scale="64"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CCFFFF"/>
  </sheetPr>
  <dimension ref="A1:H90"/>
  <sheetViews>
    <sheetView showGridLines="0" zoomScaleNormal="100" workbookViewId="0"/>
  </sheetViews>
  <sheetFormatPr defaultColWidth="0" defaultRowHeight="13.5" zeroHeight="1"/>
  <cols>
    <col min="1" max="1" width="2" customWidth="1"/>
    <col min="2" max="2" width="10.625" customWidth="1"/>
    <col min="3" max="3" width="17.875" customWidth="1"/>
    <col min="4" max="4" width="30.25" customWidth="1"/>
    <col min="5" max="5" width="29.125" customWidth="1"/>
    <col min="6" max="6" width="16.125" customWidth="1"/>
    <col min="7" max="7" width="1.875" customWidth="1"/>
    <col min="8" max="8" width="0" hidden="1" customWidth="1"/>
    <col min="9" max="16384" width="9" hidden="1"/>
  </cols>
  <sheetData>
    <row r="1" spans="2:6" ht="6" customHeight="1"/>
    <row r="2" spans="2:6" ht="18.75">
      <c r="B2" s="1299" t="s">
        <v>171</v>
      </c>
      <c r="C2" s="778"/>
      <c r="D2" s="778"/>
      <c r="E2" s="512" t="s">
        <v>837</v>
      </c>
      <c r="F2" s="513" t="str">
        <f>メイン!C11</f>
        <v>旧ビル</v>
      </c>
    </row>
    <row r="3" spans="2:6" ht="15.75" customHeight="1">
      <c r="F3" s="1300" t="str">
        <f>メイン!C5</f>
        <v>CASBEE-BD_RN_2014(v.2.0)</v>
      </c>
    </row>
    <row r="4" spans="2:6">
      <c r="B4" s="2920" t="s">
        <v>110</v>
      </c>
      <c r="C4" s="2921"/>
      <c r="D4" s="1301" t="s">
        <v>111</v>
      </c>
      <c r="E4" s="1302" t="s">
        <v>112</v>
      </c>
      <c r="F4" s="1302" t="s">
        <v>882</v>
      </c>
    </row>
    <row r="5" spans="2:6" ht="27" customHeight="1">
      <c r="B5" s="2922" t="s">
        <v>113</v>
      </c>
      <c r="C5" s="1302" t="s">
        <v>883</v>
      </c>
      <c r="D5" s="1301" t="str">
        <f>メイン!C21</f>
        <v>事務所,</v>
      </c>
      <c r="E5" s="1301" t="str">
        <f>D5</f>
        <v>事務所,</v>
      </c>
      <c r="F5" s="1382"/>
    </row>
    <row r="6" spans="2:6">
      <c r="B6" s="2923"/>
      <c r="C6" s="1302" t="s">
        <v>114</v>
      </c>
      <c r="D6" s="1304">
        <f>メイン!C19</f>
        <v>10000</v>
      </c>
      <c r="E6" s="1304">
        <f>D6</f>
        <v>10000</v>
      </c>
      <c r="F6" s="1383"/>
    </row>
    <row r="7" spans="2:6">
      <c r="B7" s="2924"/>
      <c r="C7" s="1302" t="s">
        <v>115</v>
      </c>
      <c r="D7" s="1302" t="str">
        <f>メイン!C23</f>
        <v>S造</v>
      </c>
      <c r="E7" s="1302" t="str">
        <f>D7</f>
        <v>S造</v>
      </c>
      <c r="F7" s="1383"/>
    </row>
    <row r="8" spans="2:6" ht="31.5" customHeight="1">
      <c r="B8" s="1301" t="s">
        <v>116</v>
      </c>
      <c r="C8" s="1307" t="s">
        <v>117</v>
      </c>
      <c r="D8" s="1384"/>
      <c r="E8" s="1384"/>
      <c r="F8" s="1385"/>
    </row>
    <row r="9" spans="2:6" ht="19.5" customHeight="1">
      <c r="B9" s="1310"/>
      <c r="C9" s="1307" t="s">
        <v>118</v>
      </c>
      <c r="D9" s="1386">
        <v>6</v>
      </c>
      <c r="E9" s="1386">
        <v>5</v>
      </c>
      <c r="F9" s="1385" t="s">
        <v>119</v>
      </c>
    </row>
    <row r="10" spans="2:6" ht="29.25" customHeight="1">
      <c r="B10" s="2917" t="s">
        <v>121</v>
      </c>
      <c r="C10" s="1301" t="s">
        <v>122</v>
      </c>
      <c r="D10" s="1387"/>
      <c r="E10" s="1388"/>
      <c r="F10" s="1383"/>
    </row>
    <row r="11" spans="2:6" ht="27" customHeight="1">
      <c r="B11" s="2917"/>
      <c r="C11" s="1301" t="s">
        <v>124</v>
      </c>
      <c r="D11" s="1387"/>
      <c r="E11" s="1389"/>
      <c r="F11" s="1383"/>
    </row>
    <row r="12" spans="2:6" ht="30.75" customHeight="1">
      <c r="B12" s="2917"/>
      <c r="C12" s="1301" t="s">
        <v>172</v>
      </c>
      <c r="D12" s="1387"/>
      <c r="E12" s="1389"/>
      <c r="F12" s="1385"/>
    </row>
    <row r="13" spans="2:6">
      <c r="B13" s="2917"/>
      <c r="C13" s="1320" t="s">
        <v>127</v>
      </c>
      <c r="D13" s="1321"/>
      <c r="E13" s="1322"/>
      <c r="F13" s="1323"/>
    </row>
    <row r="14" spans="2:6" ht="14.25">
      <c r="B14" s="2917"/>
      <c r="C14" s="1354" t="s">
        <v>128</v>
      </c>
      <c r="D14" s="1390" t="s">
        <v>173</v>
      </c>
      <c r="E14" s="1391" t="s">
        <v>174</v>
      </c>
      <c r="F14" s="1392" t="s">
        <v>129</v>
      </c>
    </row>
    <row r="15" spans="2:6" ht="14.25">
      <c r="B15" s="2917"/>
      <c r="C15" s="1393" t="s">
        <v>130</v>
      </c>
      <c r="D15" s="1394" t="s">
        <v>175</v>
      </c>
      <c r="E15" s="1395" t="s">
        <v>140</v>
      </c>
      <c r="F15" s="1396" t="s">
        <v>129</v>
      </c>
    </row>
    <row r="16" spans="2:6">
      <c r="B16" s="2917"/>
      <c r="C16" s="1328" t="s">
        <v>131</v>
      </c>
      <c r="D16" s="1394" t="s">
        <v>137</v>
      </c>
      <c r="E16" s="1395" t="s">
        <v>140</v>
      </c>
      <c r="F16" s="1397" t="s">
        <v>132</v>
      </c>
    </row>
    <row r="17" spans="2:6">
      <c r="B17" s="2917"/>
      <c r="C17" s="1328" t="s">
        <v>133</v>
      </c>
      <c r="D17" s="1394" t="s">
        <v>176</v>
      </c>
      <c r="E17" s="1395" t="s">
        <v>140</v>
      </c>
      <c r="F17" s="1397" t="s">
        <v>132</v>
      </c>
    </row>
    <row r="18" spans="2:6">
      <c r="B18" s="2917"/>
      <c r="C18" s="1328" t="s">
        <v>134</v>
      </c>
      <c r="D18" s="1394" t="s">
        <v>137</v>
      </c>
      <c r="E18" s="1395" t="s">
        <v>140</v>
      </c>
      <c r="F18" s="1397" t="s">
        <v>132</v>
      </c>
    </row>
    <row r="19" spans="2:6">
      <c r="B19" s="2917"/>
      <c r="C19" s="1394" t="s">
        <v>136</v>
      </c>
      <c r="D19" s="1394" t="s">
        <v>137</v>
      </c>
      <c r="E19" s="1395" t="s">
        <v>147</v>
      </c>
      <c r="F19" s="1397" t="s">
        <v>132</v>
      </c>
    </row>
    <row r="20" spans="2:6">
      <c r="B20" s="2917"/>
      <c r="C20" s="1398" t="s">
        <v>136</v>
      </c>
      <c r="D20" s="1398" t="s">
        <v>137</v>
      </c>
      <c r="E20" s="1399" t="s">
        <v>140</v>
      </c>
      <c r="F20" s="1400" t="s">
        <v>177</v>
      </c>
    </row>
    <row r="21" spans="2:6">
      <c r="B21" s="2918"/>
      <c r="C21" s="1320" t="s">
        <v>142</v>
      </c>
      <c r="D21" s="1321"/>
      <c r="E21" s="1322"/>
      <c r="F21" s="1323"/>
    </row>
    <row r="22" spans="2:6" ht="15">
      <c r="B22" s="2917"/>
      <c r="C22" s="1324" t="s">
        <v>128</v>
      </c>
      <c r="D22" s="1401" t="s">
        <v>173</v>
      </c>
      <c r="E22" s="1402" t="s">
        <v>174</v>
      </c>
      <c r="F22" s="1396" t="s">
        <v>143</v>
      </c>
    </row>
    <row r="23" spans="2:6" ht="15">
      <c r="B23" s="2917"/>
      <c r="C23" s="1393" t="s">
        <v>130</v>
      </c>
      <c r="D23" s="1394" t="s">
        <v>175</v>
      </c>
      <c r="E23" s="1395" t="s">
        <v>140</v>
      </c>
      <c r="F23" s="1397" t="s">
        <v>143</v>
      </c>
    </row>
    <row r="24" spans="2:6">
      <c r="B24" s="2917"/>
      <c r="C24" s="1328" t="s">
        <v>131</v>
      </c>
      <c r="D24" s="1394" t="s">
        <v>137</v>
      </c>
      <c r="E24" s="1395" t="s">
        <v>140</v>
      </c>
      <c r="F24" s="1397" t="s">
        <v>148</v>
      </c>
    </row>
    <row r="25" spans="2:6">
      <c r="B25" s="2917"/>
      <c r="C25" s="1328" t="s">
        <v>133</v>
      </c>
      <c r="D25" s="1394" t="s">
        <v>176</v>
      </c>
      <c r="E25" s="1395" t="s">
        <v>140</v>
      </c>
      <c r="F25" s="1397" t="s">
        <v>148</v>
      </c>
    </row>
    <row r="26" spans="2:6">
      <c r="B26" s="2917"/>
      <c r="C26" s="1328" t="s">
        <v>134</v>
      </c>
      <c r="D26" s="1394" t="s">
        <v>137</v>
      </c>
      <c r="E26" s="1395" t="s">
        <v>140</v>
      </c>
      <c r="F26" s="1397" t="s">
        <v>148</v>
      </c>
    </row>
    <row r="27" spans="2:6">
      <c r="B27" s="2917"/>
      <c r="C27" s="1403" t="s">
        <v>178</v>
      </c>
      <c r="D27" s="1394" t="s">
        <v>137</v>
      </c>
      <c r="E27" s="1395" t="s">
        <v>147</v>
      </c>
      <c r="F27" s="1397" t="s">
        <v>148</v>
      </c>
    </row>
    <row r="28" spans="2:6">
      <c r="B28" s="2917"/>
      <c r="C28" s="1398" t="s">
        <v>136</v>
      </c>
      <c r="D28" s="1398" t="s">
        <v>137</v>
      </c>
      <c r="E28" s="1399" t="s">
        <v>140</v>
      </c>
      <c r="F28" s="1397" t="s">
        <v>148</v>
      </c>
    </row>
    <row r="29" spans="2:6">
      <c r="B29" s="2918"/>
      <c r="C29" s="1320" t="s">
        <v>149</v>
      </c>
      <c r="D29" s="1321"/>
      <c r="E29" s="1322"/>
      <c r="F29" s="1371"/>
    </row>
    <row r="30" spans="2:6" ht="24" customHeight="1">
      <c r="B30" s="2917"/>
      <c r="C30" s="1324" t="s">
        <v>150</v>
      </c>
      <c r="D30" s="1404" t="s">
        <v>179</v>
      </c>
      <c r="E30" s="1404" t="s">
        <v>179</v>
      </c>
      <c r="F30" s="1405"/>
    </row>
    <row r="31" spans="2:6" ht="24" customHeight="1">
      <c r="B31" s="2917"/>
      <c r="C31" s="1324" t="s">
        <v>151</v>
      </c>
      <c r="D31" s="1404" t="s">
        <v>179</v>
      </c>
      <c r="E31" s="1404" t="s">
        <v>179</v>
      </c>
      <c r="F31" s="1405"/>
    </row>
    <row r="32" spans="2:6" ht="24" customHeight="1">
      <c r="B32" s="2917"/>
      <c r="C32" s="1328" t="s">
        <v>152</v>
      </c>
      <c r="D32" s="1404" t="s">
        <v>180</v>
      </c>
      <c r="E32" s="1404" t="s">
        <v>180</v>
      </c>
      <c r="F32" s="1406"/>
    </row>
    <row r="33" spans="2:6" ht="24" customHeight="1">
      <c r="B33" s="2917"/>
      <c r="C33" s="1345" t="s">
        <v>153</v>
      </c>
      <c r="D33" s="1407" t="s">
        <v>180</v>
      </c>
      <c r="E33" s="1407" t="s">
        <v>180</v>
      </c>
      <c r="F33" s="1408"/>
    </row>
    <row r="34" spans="2:6" ht="19.5" customHeight="1">
      <c r="B34" s="1303"/>
      <c r="C34" s="1349" t="s">
        <v>118</v>
      </c>
      <c r="D34" s="1409">
        <v>5</v>
      </c>
      <c r="E34" s="1409">
        <v>3</v>
      </c>
      <c r="F34" s="1385" t="s">
        <v>119</v>
      </c>
    </row>
    <row r="35" spans="2:6">
      <c r="B35" s="1319" t="s">
        <v>455</v>
      </c>
      <c r="C35" s="1352" t="s">
        <v>154</v>
      </c>
      <c r="D35" s="1353"/>
      <c r="E35" s="1353"/>
      <c r="F35" s="1323"/>
    </row>
    <row r="36" spans="2:6">
      <c r="B36" s="1310" t="s">
        <v>155</v>
      </c>
      <c r="C36" s="1364" t="s">
        <v>617</v>
      </c>
      <c r="D36" s="1410"/>
      <c r="E36" s="1410"/>
      <c r="F36" s="1411"/>
    </row>
    <row r="37" spans="2:6" hidden="1">
      <c r="B37" s="1310"/>
      <c r="C37" s="1364" t="s">
        <v>156</v>
      </c>
      <c r="D37" s="1410"/>
      <c r="E37" s="1410"/>
      <c r="F37" s="1385"/>
    </row>
    <row r="38" spans="2:6">
      <c r="B38" s="1310"/>
      <c r="C38" s="1307" t="s">
        <v>616</v>
      </c>
      <c r="D38" s="1384"/>
      <c r="E38" s="1384"/>
      <c r="F38" s="1385"/>
    </row>
    <row r="39" spans="2:6">
      <c r="B39" s="1310"/>
      <c r="C39" s="1349" t="s">
        <v>157</v>
      </c>
      <c r="D39" s="1412"/>
      <c r="E39" s="1412"/>
      <c r="F39" s="1413"/>
    </row>
    <row r="40" spans="2:6">
      <c r="B40" s="1319"/>
      <c r="C40" s="1352" t="s">
        <v>158</v>
      </c>
      <c r="D40" s="1353"/>
      <c r="E40" s="1353"/>
      <c r="F40" s="1323"/>
    </row>
    <row r="41" spans="2:6">
      <c r="B41" s="1310"/>
      <c r="C41" s="1364" t="s">
        <v>617</v>
      </c>
      <c r="D41" s="1414"/>
      <c r="E41" s="1414"/>
      <c r="F41" s="1381"/>
    </row>
    <row r="42" spans="2:6">
      <c r="B42" s="1310"/>
      <c r="C42" s="1307" t="s">
        <v>616</v>
      </c>
      <c r="D42" s="1415"/>
      <c r="E42" s="1415"/>
      <c r="F42" s="1383"/>
    </row>
    <row r="43" spans="2:6">
      <c r="B43" s="1310"/>
      <c r="C43" s="1307" t="s">
        <v>157</v>
      </c>
      <c r="D43" s="1415"/>
      <c r="E43" s="1415"/>
      <c r="F43" s="1383"/>
    </row>
    <row r="44" spans="2:6" ht="27.75" customHeight="1">
      <c r="B44" s="1367"/>
      <c r="C44" s="1307" t="s">
        <v>159</v>
      </c>
      <c r="D44" s="1387"/>
      <c r="E44" s="1416"/>
      <c r="F44" s="1383"/>
    </row>
    <row r="45" spans="2:6">
      <c r="B45" s="1303"/>
      <c r="C45" s="1352" t="s">
        <v>118</v>
      </c>
      <c r="D45" s="1321"/>
      <c r="E45" s="1838"/>
      <c r="F45" s="1371"/>
    </row>
    <row r="46" spans="2:6" ht="24" customHeight="1">
      <c r="B46" s="1310"/>
      <c r="C46" s="1324" t="s">
        <v>900</v>
      </c>
      <c r="D46" s="1386">
        <v>3</v>
      </c>
      <c r="E46" s="1386">
        <v>2</v>
      </c>
      <c r="F46" s="1335" t="s">
        <v>119</v>
      </c>
    </row>
    <row r="47" spans="2:6" ht="24" customHeight="1">
      <c r="B47" s="1310"/>
      <c r="C47" s="1324" t="s">
        <v>910</v>
      </c>
      <c r="D47" s="1839" t="s">
        <v>911</v>
      </c>
      <c r="E47" s="1854">
        <v>1</v>
      </c>
      <c r="F47" s="1335" t="s">
        <v>119</v>
      </c>
    </row>
    <row r="48" spans="2:6" ht="24" customHeight="1">
      <c r="B48" s="1310" t="s">
        <v>162</v>
      </c>
      <c r="C48" s="1357" t="s">
        <v>888</v>
      </c>
      <c r="D48" s="1841" t="s">
        <v>889</v>
      </c>
      <c r="E48" s="1855"/>
      <c r="F48" s="1397"/>
    </row>
    <row r="49" spans="2:8" ht="24" customHeight="1">
      <c r="B49" s="1310"/>
      <c r="C49" s="1357"/>
      <c r="D49" s="1844" t="s">
        <v>890</v>
      </c>
      <c r="E49" s="1856"/>
      <c r="F49" s="1397"/>
    </row>
    <row r="50" spans="2:8" ht="24" customHeight="1">
      <c r="B50" s="1310"/>
      <c r="C50" s="1357"/>
      <c r="D50" s="1845" t="s">
        <v>891</v>
      </c>
      <c r="E50" s="1855"/>
      <c r="F50" s="1397"/>
    </row>
    <row r="51" spans="2:8" ht="24" customHeight="1">
      <c r="B51" s="1310"/>
      <c r="C51" s="1367"/>
      <c r="D51" s="1847" t="s">
        <v>892</v>
      </c>
      <c r="E51" s="1857"/>
      <c r="F51" s="1858"/>
    </row>
    <row r="52" spans="2:8" ht="24" customHeight="1">
      <c r="B52" s="1310"/>
      <c r="C52" s="1357" t="s">
        <v>894</v>
      </c>
      <c r="D52" s="1850" t="s">
        <v>893</v>
      </c>
      <c r="E52" s="1856">
        <v>-5</v>
      </c>
      <c r="F52" s="1348" t="s">
        <v>119</v>
      </c>
    </row>
    <row r="53" spans="2:8" ht="24" customHeight="1">
      <c r="B53" s="1310"/>
      <c r="C53" s="1333" t="s">
        <v>888</v>
      </c>
      <c r="D53" s="1851" t="s">
        <v>912</v>
      </c>
      <c r="E53" s="1855"/>
      <c r="F53" s="1397"/>
    </row>
    <row r="54" spans="2:8" ht="24" customHeight="1">
      <c r="B54" s="1310"/>
      <c r="C54" s="1310"/>
      <c r="D54" s="1851" t="s">
        <v>913</v>
      </c>
      <c r="E54" s="1855"/>
      <c r="F54" s="1397"/>
    </row>
    <row r="55" spans="2:8" ht="24" customHeight="1">
      <c r="B55" s="1310"/>
      <c r="C55" s="1310"/>
      <c r="D55" s="1851" t="s">
        <v>914</v>
      </c>
      <c r="E55" s="1855"/>
      <c r="F55" s="1397"/>
    </row>
    <row r="56" spans="2:8" ht="24" customHeight="1">
      <c r="B56" s="1310"/>
      <c r="C56" s="1310"/>
      <c r="D56" s="1851" t="s">
        <v>915</v>
      </c>
      <c r="E56" s="1855"/>
      <c r="F56" s="1397"/>
    </row>
    <row r="57" spans="2:8" ht="30" hidden="1" customHeight="1">
      <c r="B57" s="1310"/>
      <c r="C57" s="1367"/>
      <c r="D57" s="1853"/>
      <c r="E57" s="1855">
        <f>E80</f>
        <v>0</v>
      </c>
      <c r="F57" s="1397" t="s">
        <v>119</v>
      </c>
    </row>
    <row r="58" spans="2:8" ht="42.75" customHeight="1">
      <c r="B58" s="2917" t="s">
        <v>162</v>
      </c>
      <c r="C58" s="1307" t="s">
        <v>163</v>
      </c>
      <c r="D58" s="1387" t="s">
        <v>908</v>
      </c>
      <c r="E58" s="1387" t="s">
        <v>908</v>
      </c>
      <c r="F58" s="2444">
        <f>'条件(標準)_後'!F58</f>
        <v>0</v>
      </c>
      <c r="H58" t="s">
        <v>605</v>
      </c>
    </row>
    <row r="59" spans="2:8" ht="33" customHeight="1">
      <c r="B59" s="2917"/>
      <c r="C59" s="1349" t="s">
        <v>166</v>
      </c>
      <c r="D59" s="1417" t="s">
        <v>181</v>
      </c>
      <c r="E59" s="1417" t="s">
        <v>181</v>
      </c>
      <c r="F59" s="1418" t="s">
        <v>881</v>
      </c>
    </row>
    <row r="60" spans="2:8">
      <c r="B60" s="2918"/>
      <c r="C60" s="1370" t="s">
        <v>1790</v>
      </c>
      <c r="D60" s="1353"/>
      <c r="E60" s="1353"/>
      <c r="F60" s="1371"/>
    </row>
    <row r="61" spans="2:8">
      <c r="B61" s="2917"/>
      <c r="C61" s="1372" t="s">
        <v>1791</v>
      </c>
      <c r="D61" s="1419" t="s">
        <v>456</v>
      </c>
      <c r="E61" s="1419" t="s">
        <v>161</v>
      </c>
      <c r="F61" s="2411" t="s">
        <v>1182</v>
      </c>
    </row>
    <row r="62" spans="2:8">
      <c r="B62" s="2917"/>
      <c r="C62" s="1372" t="s">
        <v>1792</v>
      </c>
      <c r="D62" s="1419"/>
      <c r="E62" s="1419"/>
      <c r="F62" s="2411" t="s">
        <v>1182</v>
      </c>
    </row>
    <row r="63" spans="2:8">
      <c r="B63" s="2917"/>
      <c r="C63" s="1375" t="s">
        <v>167</v>
      </c>
      <c r="D63" s="1420" t="s">
        <v>456</v>
      </c>
      <c r="E63" s="1420" t="s">
        <v>161</v>
      </c>
      <c r="F63" s="2412" t="s">
        <v>1793</v>
      </c>
    </row>
    <row r="64" spans="2:8">
      <c r="B64" s="2917"/>
      <c r="C64" s="1375" t="s">
        <v>168</v>
      </c>
      <c r="D64" s="1420" t="s">
        <v>182</v>
      </c>
      <c r="E64" s="1420" t="s">
        <v>161</v>
      </c>
      <c r="F64" s="2411" t="s">
        <v>1182</v>
      </c>
    </row>
    <row r="65" spans="2:8" ht="24">
      <c r="B65" s="2917"/>
      <c r="C65" s="2414" t="s">
        <v>169</v>
      </c>
      <c r="D65" s="1421" t="s">
        <v>183</v>
      </c>
      <c r="E65" s="1421" t="s">
        <v>161</v>
      </c>
      <c r="F65" s="2413" t="s">
        <v>1182</v>
      </c>
    </row>
    <row r="66" spans="2:8">
      <c r="B66" s="1310"/>
      <c r="C66" s="1379" t="s">
        <v>170</v>
      </c>
      <c r="D66" s="1380"/>
      <c r="E66" s="1380"/>
      <c r="F66" s="1381"/>
    </row>
    <row r="67" spans="2:8">
      <c r="B67" s="1310"/>
      <c r="C67" s="1364"/>
      <c r="D67" s="1380"/>
      <c r="E67" s="1380"/>
      <c r="F67" s="1381"/>
    </row>
    <row r="68" spans="2:8">
      <c r="B68" s="2919" t="s">
        <v>885</v>
      </c>
      <c r="C68" s="2914"/>
      <c r="D68" s="2914"/>
      <c r="E68" s="2914"/>
      <c r="F68" s="2914"/>
    </row>
    <row r="69" spans="2:8">
      <c r="B69" s="2919"/>
      <c r="C69" s="2915"/>
      <c r="D69" s="2915"/>
      <c r="E69" s="2915"/>
      <c r="F69" s="2915"/>
    </row>
    <row r="70" spans="2:8">
      <c r="B70" s="2919"/>
      <c r="C70" s="2915"/>
      <c r="D70" s="2915"/>
      <c r="E70" s="2915"/>
      <c r="F70" s="2915"/>
    </row>
    <row r="71" spans="2:8">
      <c r="B71" s="2919"/>
      <c r="C71" s="2916"/>
      <c r="D71" s="2916"/>
      <c r="E71" s="2916"/>
      <c r="F71" s="2916"/>
    </row>
    <row r="72" spans="2:8"/>
    <row r="73" spans="2:8">
      <c r="B73" t="s">
        <v>916</v>
      </c>
    </row>
    <row r="74" spans="2:8">
      <c r="B74" s="1303"/>
      <c r="C74" s="1320" t="s">
        <v>917</v>
      </c>
      <c r="D74" s="1321"/>
      <c r="E74" s="1322"/>
      <c r="F74" s="1336"/>
      <c r="H74" s="2445">
        <f>'条件(標準)_後'!F58</f>
        <v>0</v>
      </c>
    </row>
    <row r="75" spans="2:8">
      <c r="B75" s="1310"/>
      <c r="C75" s="1333" t="s">
        <v>918</v>
      </c>
      <c r="D75" s="1329" t="s">
        <v>919</v>
      </c>
      <c r="E75" s="1859">
        <f>IF(H74=H58,H75,(計画書_前!I43+計画書_前!M43+計画書_前!N43)/CO2データ!J96*1000)</f>
        <v>0</v>
      </c>
      <c r="F75" s="1332" t="s">
        <v>920</v>
      </c>
      <c r="H75" t="e">
        <f>(#REF!+#REF!+#REF!)/CO2データ!J96*1000</f>
        <v>#REF!</v>
      </c>
    </row>
    <row r="76" spans="2:8">
      <c r="B76" s="1310" t="s">
        <v>1056</v>
      </c>
      <c r="C76" s="1310"/>
      <c r="D76" s="1329" t="s">
        <v>921</v>
      </c>
      <c r="E76" s="1859">
        <f>IF(H74=H58,H76,-((計画書_前!I41-計画書_前!I42)+(計画書_前!M41-計画書_前!M42)+(計画書_前!N41-計画書_前!N42))/CO2データ!J96*1000)</f>
        <v>0</v>
      </c>
      <c r="F76" s="1332" t="s">
        <v>922</v>
      </c>
      <c r="H76" t="e">
        <f>-((#REF!-#REF!)+(#REF!-#REF!)+(#REF!-#REF!))/CO2データ!J96*1000</f>
        <v>#REF!</v>
      </c>
    </row>
    <row r="77" spans="2:8">
      <c r="B77" s="1310" t="s">
        <v>923</v>
      </c>
      <c r="C77" s="1324"/>
      <c r="D77" s="1329" t="s">
        <v>924</v>
      </c>
      <c r="E77" s="1859">
        <f>E75-E76</f>
        <v>0</v>
      </c>
      <c r="F77" s="1332" t="s">
        <v>922</v>
      </c>
    </row>
    <row r="78" spans="2:8">
      <c r="B78" s="1310"/>
      <c r="C78" s="1333" t="s">
        <v>925</v>
      </c>
      <c r="D78" s="1329" t="s">
        <v>926</v>
      </c>
      <c r="E78" s="1330">
        <f>E75*E81/E$6</f>
        <v>0</v>
      </c>
      <c r="F78" s="1860" t="s">
        <v>119</v>
      </c>
    </row>
    <row r="79" spans="2:8">
      <c r="B79" s="1310"/>
      <c r="C79" s="1310"/>
      <c r="D79" s="1329" t="s">
        <v>927</v>
      </c>
      <c r="E79" s="1330">
        <f>E78-E80</f>
        <v>0</v>
      </c>
      <c r="F79" s="1860" t="s">
        <v>119</v>
      </c>
    </row>
    <row r="80" spans="2:8">
      <c r="B80" s="1310"/>
      <c r="C80" s="1324"/>
      <c r="D80" s="1329" t="s">
        <v>928</v>
      </c>
      <c r="E80" s="1330">
        <f>E77*E82/E$6</f>
        <v>0</v>
      </c>
      <c r="F80" s="1860" t="s">
        <v>119</v>
      </c>
    </row>
    <row r="81" spans="2:8" hidden="1">
      <c r="B81" s="1310"/>
      <c r="C81" s="1333" t="s">
        <v>929</v>
      </c>
      <c r="D81" s="1329" t="s">
        <v>930</v>
      </c>
      <c r="E81" s="1861">
        <f>CO2データ!I95</f>
        <v>0.61199999999999999</v>
      </c>
      <c r="F81" s="1860" t="s">
        <v>931</v>
      </c>
    </row>
    <row r="82" spans="2:8" hidden="1">
      <c r="B82" s="1310"/>
      <c r="C82" s="1310"/>
      <c r="D82" s="1329" t="s">
        <v>928</v>
      </c>
      <c r="E82" s="1861">
        <f>CO2データ!I95</f>
        <v>0.61199999999999999</v>
      </c>
      <c r="F82" s="1860" t="s">
        <v>932</v>
      </c>
    </row>
    <row r="83" spans="2:8" hidden="1">
      <c r="B83" s="1310"/>
      <c r="C83" s="1324"/>
      <c r="D83" s="1329" t="s">
        <v>882</v>
      </c>
      <c r="E83" s="1330" t="s">
        <v>933</v>
      </c>
      <c r="F83" s="1332"/>
    </row>
    <row r="84" spans="2:8">
      <c r="B84" s="1310"/>
      <c r="C84" s="1320" t="s">
        <v>934</v>
      </c>
      <c r="D84" s="1321"/>
      <c r="E84" s="1322"/>
      <c r="F84" s="1336"/>
    </row>
    <row r="85" spans="2:8">
      <c r="B85" s="1310"/>
      <c r="C85" s="1862" t="s">
        <v>935</v>
      </c>
      <c r="D85" s="1325"/>
      <c r="E85" s="1863">
        <f>IF(H74=H58,H85,CO2計算_前!I125*計画書_前!T74+CO2計算_前!I127*CO2データ!N169+CO2計算_前!I126*CO2データ!N168)</f>
        <v>15633</v>
      </c>
      <c r="F85" s="1331" t="s">
        <v>920</v>
      </c>
      <c r="H85" t="e">
        <f>#REF!*#REF!+#REF!*CO2データ!N169+#REF!*CO2データ!N168</f>
        <v>#REF!</v>
      </c>
    </row>
    <row r="86" spans="2:8">
      <c r="B86" s="1310"/>
      <c r="C86" s="1333" t="s">
        <v>234</v>
      </c>
      <c r="D86" s="1329" t="s">
        <v>936</v>
      </c>
      <c r="E86" s="1861">
        <f>係数!D5*1000</f>
        <v>0.61199999999999999</v>
      </c>
      <c r="F86" s="1860" t="s">
        <v>937</v>
      </c>
    </row>
    <row r="87" spans="2:8">
      <c r="B87" s="1310"/>
      <c r="C87" s="1324"/>
      <c r="D87" s="1329" t="s">
        <v>938</v>
      </c>
      <c r="E87" s="1861">
        <f>係数!J50*1000</f>
        <v>0.59899999999999998</v>
      </c>
      <c r="F87" s="1860" t="s">
        <v>931</v>
      </c>
    </row>
    <row r="88" spans="2:8">
      <c r="B88" s="1310"/>
      <c r="C88" s="1333" t="s">
        <v>939</v>
      </c>
      <c r="D88" s="1864" t="s">
        <v>860</v>
      </c>
      <c r="E88" s="1865">
        <f>E85*(E86-E87)</f>
        <v>203.22900000000018</v>
      </c>
      <c r="F88" s="1860" t="s">
        <v>868</v>
      </c>
    </row>
    <row r="89" spans="2:8">
      <c r="B89" s="1367"/>
      <c r="C89" s="1367"/>
      <c r="D89" s="1866" t="s">
        <v>940</v>
      </c>
      <c r="E89" s="1867">
        <f>E88/E6</f>
        <v>2.0322900000000019E-2</v>
      </c>
      <c r="F89" s="1868" t="s">
        <v>119</v>
      </c>
    </row>
    <row r="90" spans="2:8"/>
  </sheetData>
  <sheetProtection password="8D30" sheet="1" objects="1" scenarios="1"/>
  <mergeCells count="9">
    <mergeCell ref="F68:F71"/>
    <mergeCell ref="B58:B65"/>
    <mergeCell ref="B68:B71"/>
    <mergeCell ref="B4:C4"/>
    <mergeCell ref="B5:B7"/>
    <mergeCell ref="B10:B33"/>
    <mergeCell ref="C68:C71"/>
    <mergeCell ref="D68:D71"/>
    <mergeCell ref="E68:E71"/>
  </mergeCells>
  <phoneticPr fontId="20"/>
  <printOptions horizontalCentered="1"/>
  <pageMargins left="0.59055118110236227" right="0.59055118110236227" top="0.78740157480314965" bottom="0.59055118110236227" header="0.51181102362204722" footer="0.51181102362204722"/>
  <pageSetup paperSize="9" scale="66"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FFFF"/>
    <pageSetUpPr fitToPage="1"/>
  </sheetPr>
  <dimension ref="A1:AA184"/>
  <sheetViews>
    <sheetView showGridLines="0" zoomScaleNormal="100" workbookViewId="0">
      <selection activeCell="N2" sqref="N2:O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7.125" bestFit="1" customWidth="1"/>
    <col min="17" max="17" width="4.625" hidden="1" customWidth="1"/>
    <col min="18" max="18" width="15.625" hidden="1" customWidth="1"/>
    <col min="19" max="19" width="5.75" hidden="1" customWidth="1"/>
    <col min="20" max="20" width="6.875" hidden="1" customWidth="1"/>
    <col min="21" max="21" width="15.6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915"/>
    </row>
    <row r="2" spans="1:21" ht="14.25">
      <c r="B2" s="1422" t="str">
        <f>メイン!C6</f>
        <v>CASBEE-建築(改修)2014年版</v>
      </c>
      <c r="C2" s="1423"/>
      <c r="D2" s="1424"/>
      <c r="E2" s="1425"/>
      <c r="F2" s="1927"/>
      <c r="G2" s="1927"/>
      <c r="H2" s="1927"/>
      <c r="I2" s="1927"/>
      <c r="J2" s="1927"/>
      <c r="K2" s="1927"/>
      <c r="L2" s="2925" t="s">
        <v>466</v>
      </c>
      <c r="M2" s="2925"/>
      <c r="N2" s="2926" t="str">
        <f>メイン!C6</f>
        <v>CASBEE-建築(改修)2014年版</v>
      </c>
      <c r="O2" s="2927"/>
    </row>
    <row r="3" spans="1:21" ht="14.25" thickBot="1">
      <c r="B3" s="2929" t="str">
        <f>メイン!H11</f>
        <v>新ビル</v>
      </c>
      <c r="C3" s="2930"/>
      <c r="D3" s="2930"/>
      <c r="E3" s="2931"/>
      <c r="F3" s="1927"/>
      <c r="G3" s="1927"/>
      <c r="H3" s="1927"/>
      <c r="I3" s="1927"/>
      <c r="J3" s="1927"/>
      <c r="K3" s="1927"/>
      <c r="L3" s="2925" t="s">
        <v>961</v>
      </c>
      <c r="M3" s="2928"/>
      <c r="N3" s="2393" t="str">
        <f>メイン!C5</f>
        <v>CASBEE-BD_RN_2014(v.2.0)</v>
      </c>
      <c r="O3" s="2307"/>
    </row>
    <row r="4" spans="1:21" ht="6.75" customHeight="1" thickBot="1">
      <c r="B4" s="1927"/>
      <c r="C4" s="1927"/>
      <c r="D4" s="1927"/>
      <c r="E4" s="1927"/>
      <c r="F4" s="1927"/>
      <c r="G4" s="1927"/>
      <c r="H4" s="1927"/>
      <c r="I4" s="1927"/>
      <c r="J4" s="1927"/>
      <c r="K4" s="1927"/>
      <c r="L4" s="1927"/>
      <c r="M4" s="1927"/>
      <c r="N4" s="1927"/>
      <c r="O4" s="1927"/>
    </row>
    <row r="5" spans="1:21" ht="18.75">
      <c r="B5" s="1426" t="s">
        <v>184</v>
      </c>
      <c r="C5" s="1427"/>
      <c r="D5" s="1428"/>
      <c r="E5" s="1429"/>
      <c r="F5" s="1430"/>
      <c r="G5" s="1430"/>
      <c r="H5" s="1430"/>
      <c r="I5" s="1430"/>
      <c r="J5" s="1430"/>
      <c r="K5" s="1427"/>
      <c r="L5" s="1431"/>
      <c r="M5" s="1432"/>
      <c r="N5" s="1433"/>
      <c r="O5" s="1434"/>
    </row>
    <row r="6" spans="1:21" ht="14.25">
      <c r="B6" s="1436"/>
      <c r="C6" s="1437"/>
      <c r="D6" s="1438"/>
      <c r="E6" s="1439"/>
      <c r="F6" s="1440"/>
      <c r="G6" s="1440"/>
      <c r="H6" s="1440"/>
      <c r="I6" s="1440"/>
      <c r="J6" s="1440"/>
      <c r="K6" s="1437"/>
      <c r="L6" s="2217" t="s">
        <v>112</v>
      </c>
      <c r="M6" s="1442"/>
      <c r="N6" s="1443"/>
      <c r="O6" s="2308" t="s">
        <v>185</v>
      </c>
      <c r="R6" t="s">
        <v>498</v>
      </c>
      <c r="S6" t="s">
        <v>499</v>
      </c>
      <c r="T6" t="s">
        <v>500</v>
      </c>
      <c r="U6" t="s">
        <v>311</v>
      </c>
    </row>
    <row r="7" spans="1:21" ht="16.5">
      <c r="B7" s="1444" t="s">
        <v>186</v>
      </c>
      <c r="C7" s="1437"/>
      <c r="D7" s="1438"/>
      <c r="E7" s="1439"/>
      <c r="F7" s="1440"/>
      <c r="G7" s="1440"/>
      <c r="H7" s="1440"/>
      <c r="I7" s="1440"/>
      <c r="J7" s="1440"/>
      <c r="K7" s="1437"/>
      <c r="L7" s="1445"/>
      <c r="M7" s="1442"/>
      <c r="N7" s="1443"/>
      <c r="O7" s="1447"/>
      <c r="R7" t="s">
        <v>1846</v>
      </c>
      <c r="T7" t="s">
        <v>557</v>
      </c>
      <c r="U7" s="2448">
        <f>SUM(S8:S20)+U21+S22+S23+S25</f>
        <v>10000</v>
      </c>
    </row>
    <row r="8" spans="1:21" ht="14.25">
      <c r="B8" s="2211"/>
      <c r="C8" s="1448" t="s">
        <v>188</v>
      </c>
      <c r="D8" s="1449"/>
      <c r="E8" s="1439"/>
      <c r="F8" s="1440"/>
      <c r="G8" s="1440"/>
      <c r="H8" s="1445"/>
      <c r="I8" s="1446"/>
      <c r="J8" s="1445" t="s">
        <v>187</v>
      </c>
      <c r="K8" s="1446"/>
      <c r="L8" s="1445" t="s">
        <v>187</v>
      </c>
      <c r="M8" s="1446"/>
      <c r="N8" s="1446"/>
      <c r="O8" s="1447" t="s">
        <v>187</v>
      </c>
      <c r="R8" s="1" t="str">
        <f>メイン!G47</f>
        <v xml:space="preserve"> 事務所</v>
      </c>
      <c r="S8" s="1">
        <f>メイン!H47</f>
        <v>7000</v>
      </c>
    </row>
    <row r="9" spans="1:21">
      <c r="B9" s="2211"/>
      <c r="C9" s="1457"/>
      <c r="D9" s="1457" t="s">
        <v>194</v>
      </c>
      <c r="E9" s="1454"/>
      <c r="F9" s="2309" t="s">
        <v>189</v>
      </c>
      <c r="G9" s="1454"/>
      <c r="H9" s="1451" t="s">
        <v>190</v>
      </c>
      <c r="I9" s="1451" t="s">
        <v>191</v>
      </c>
      <c r="J9" s="1451" t="s">
        <v>192</v>
      </c>
      <c r="K9" s="1452" t="s">
        <v>193</v>
      </c>
      <c r="L9" s="1453" t="s">
        <v>118</v>
      </c>
      <c r="M9" s="1454"/>
      <c r="N9" s="1452" t="s">
        <v>193</v>
      </c>
      <c r="O9" s="1455" t="s">
        <v>118</v>
      </c>
      <c r="R9" s="1">
        <f>メイン!G48</f>
        <v>0</v>
      </c>
      <c r="S9" s="1">
        <f>メイン!H48</f>
        <v>0</v>
      </c>
    </row>
    <row r="10" spans="1:21">
      <c r="B10" s="2262"/>
      <c r="C10" s="1457"/>
      <c r="D10" s="1457"/>
      <c r="E10" s="1457" t="s">
        <v>539</v>
      </c>
      <c r="F10" s="2310">
        <f>IF($U$7=0,0,S8/$U$7)</f>
        <v>0.7</v>
      </c>
      <c r="G10" s="1454"/>
      <c r="H10" s="2310">
        <f>IF(OR($F$20=$R$6,$F$20=$U$6),CO2データ!I12,IF($F$20=$S$6,CO2データ!L12,CO2データ!O12))</f>
        <v>11.739099999999999</v>
      </c>
      <c r="I10" s="2310">
        <f>IF(OR($F$20=$R$6,$F$20=$U$6),CO2データ!J12,IF($F$20=$S$6,CO2データ!M12,CO2データ!P12))</f>
        <v>11.739099999999999</v>
      </c>
      <c r="J10" s="2311">
        <f>IF(OR($F$20=$R$6,$F$20=$U$6),CO2データ!K12,IF($F$20=$S$6,CO2データ!N12,CO2データ!Q12))</f>
        <v>11.739099999999999</v>
      </c>
      <c r="K10" s="2294">
        <f>スコア表示!M80</f>
        <v>3</v>
      </c>
      <c r="L10" s="2312">
        <f t="shared" ref="L10:L18" si="0">IF(K10&gt;=5,$J10,IF(K10&gt;=4,$I10,$H10))</f>
        <v>11.739099999999999</v>
      </c>
      <c r="M10" s="1454"/>
      <c r="N10" s="2294">
        <v>3</v>
      </c>
      <c r="O10" s="2313">
        <f>IF(OR($F$20=$R$6,$F$20=$U$6),CO2データ!I7,IF($F$20=$S$6,CO2データ!L7,CO2データ!O7))</f>
        <v>14.004999999999999</v>
      </c>
      <c r="R10" s="1" t="str">
        <f>メイン!G49</f>
        <v xml:space="preserve"> 学校</v>
      </c>
      <c r="S10" s="1">
        <f>メイン!H49</f>
        <v>0</v>
      </c>
    </row>
    <row r="11" spans="1:21">
      <c r="B11" s="2262"/>
      <c r="C11" s="1457"/>
      <c r="D11" s="2314"/>
      <c r="E11" s="1457" t="s">
        <v>206</v>
      </c>
      <c r="F11" s="2310">
        <f>IF($U$7=0,0,S10/$U$7)</f>
        <v>0</v>
      </c>
      <c r="G11" s="1454"/>
      <c r="H11" s="2310">
        <f>IF(OR($F$20=$R$6,$F$20=$U$6),CO2データ!I18,IF($F$20=$S$6,CO2データ!L18,CO2データ!O18))</f>
        <v>8.8994999999999997</v>
      </c>
      <c r="I11" s="2310">
        <f>IF(OR($F$20=$R$6,$F$20=$U$6),CO2データ!J18,IF($F$20=$S$6,CO2データ!M18,CO2データ!P18))</f>
        <v>8.8994999999999997</v>
      </c>
      <c r="J11" s="2311">
        <f>IF(OR($F$20=$R$6,$F$20=$U$6),CO2データ!K18,IF($F$20=$S$6,CO2データ!N18,CO2データ!Q18))</f>
        <v>8.8994999999999997</v>
      </c>
      <c r="K11" s="2294">
        <f t="shared" ref="K11:K18" si="1">K$10</f>
        <v>3</v>
      </c>
      <c r="L11" s="2312">
        <f t="shared" si="0"/>
        <v>8.8994999999999997</v>
      </c>
      <c r="M11" s="1454"/>
      <c r="N11" s="2294">
        <f t="shared" ref="N11:N18" si="2">N$10</f>
        <v>3</v>
      </c>
      <c r="O11" s="2313">
        <f>IF(OR($F$20=$R$6,$F$20=$U$6),CO2データ!I13,IF($F$20=$S$6,CO2データ!L13,CO2データ!O13))</f>
        <v>10.473000000000001</v>
      </c>
      <c r="R11" s="1">
        <f>メイン!G50</f>
        <v>0</v>
      </c>
      <c r="S11" s="1">
        <f>メイン!H50</f>
        <v>0</v>
      </c>
    </row>
    <row r="12" spans="1:21">
      <c r="B12" s="2262"/>
      <c r="C12" s="1457"/>
      <c r="D12" s="1457"/>
      <c r="E12" s="1457" t="s">
        <v>543</v>
      </c>
      <c r="F12" s="2310">
        <f>IF($U$7=0,0,S15/$U$7)</f>
        <v>0.3</v>
      </c>
      <c r="G12" s="1454"/>
      <c r="H12" s="2310">
        <f>IF(OR($F$20=$R$6,$F$20=$U$6),CO2データ!I24,IF($F$20=$S$6,CO2データ!L24,CO2データ!O24))</f>
        <v>14.121600000000003</v>
      </c>
      <c r="I12" s="2310">
        <f>IF(OR($F$20=$R$6,$F$20=$U$6),CO2データ!J24,IF($F$20=$S$6,CO2データ!M24,CO2データ!P24))</f>
        <v>14.121600000000003</v>
      </c>
      <c r="J12" s="2311">
        <f>IF(OR($F$20=$R$6,$F$20=$U$6),CO2データ!K24,IF($F$20=$S$6,CO2データ!N24,CO2データ!Q24))</f>
        <v>14.121600000000003</v>
      </c>
      <c r="K12" s="2294">
        <f t="shared" si="1"/>
        <v>3</v>
      </c>
      <c r="L12" s="2312">
        <f t="shared" si="0"/>
        <v>14.121600000000003</v>
      </c>
      <c r="M12" s="1454"/>
      <c r="N12" s="2294">
        <f t="shared" si="2"/>
        <v>3</v>
      </c>
      <c r="O12" s="2313">
        <f>IF(OR($F$20=$R$6,$F$20=$U$6),CO2データ!I19,IF($F$20=$S$6,CO2データ!L19,CO2データ!O19))</f>
        <v>16.572000000000003</v>
      </c>
      <c r="R12" s="1">
        <f>メイン!G51</f>
        <v>0</v>
      </c>
      <c r="S12" s="1">
        <f>メイン!H51</f>
        <v>0</v>
      </c>
    </row>
    <row r="13" spans="1:21">
      <c r="B13" s="2262"/>
      <c r="C13" s="1457"/>
      <c r="D13" s="1457"/>
      <c r="E13" s="1457" t="s">
        <v>545</v>
      </c>
      <c r="F13" s="2310">
        <f>IF($U$7=0,0,S17/$U$7)</f>
        <v>0</v>
      </c>
      <c r="G13" s="1454"/>
      <c r="H13" s="2310">
        <f>IF(OR($F$20=$R$6,$F$20=$U$6),CO2データ!I30,IF($F$20=$S$6,CO2データ!L30,CO2データ!O30))</f>
        <v>14.121599999999999</v>
      </c>
      <c r="I13" s="2310">
        <f>IF(OR($F$20=$R$6,$F$20=$U$6),CO2データ!J30,IF($F$20=$S$6,CO2データ!M30,CO2データ!P30))</f>
        <v>14.121600000000003</v>
      </c>
      <c r="J13" s="2311">
        <f>IF(OR($F$20=$R$6,$F$20=$U$6),CO2データ!K30,IF($F$20=$S$6,CO2データ!N30,CO2データ!Q30))</f>
        <v>14.121600000000003</v>
      </c>
      <c r="K13" s="2294">
        <f t="shared" si="1"/>
        <v>3</v>
      </c>
      <c r="L13" s="2312">
        <f t="shared" si="0"/>
        <v>14.121599999999999</v>
      </c>
      <c r="M13" s="1454"/>
      <c r="N13" s="2294">
        <f t="shared" si="2"/>
        <v>3</v>
      </c>
      <c r="O13" s="2313">
        <f>IF(OR($F$20=$R$6,$F$20=$U$6),CO2データ!I25,IF($F$20=$S$6,CO2データ!L25,CO2データ!O25))</f>
        <v>16.571999999999999</v>
      </c>
      <c r="R13" s="1">
        <f>メイン!G52</f>
        <v>0</v>
      </c>
      <c r="S13" s="1">
        <f>メイン!H52</f>
        <v>0</v>
      </c>
    </row>
    <row r="14" spans="1:21">
      <c r="B14" s="2262"/>
      <c r="C14" s="1457"/>
      <c r="D14" s="1457"/>
      <c r="E14" s="161" t="s">
        <v>861</v>
      </c>
      <c r="F14" s="2310">
        <f>IF($U$7=0,0,S18/$U$7)</f>
        <v>0</v>
      </c>
      <c r="G14" s="1454"/>
      <c r="H14" s="2310">
        <f>IF(OR($F$20=$R$6,$F$20=$U$6),CO2データ!I36,IF($F$20=$S$6,CO2データ!L36,CO2データ!O36))</f>
        <v>9.7101000000000006</v>
      </c>
      <c r="I14" s="2310">
        <f>IF(OR($F$20=$R$6,$F$20=$U$6),CO2データ!J36,IF($F$20=$S$6,CO2データ!M36,CO2データ!P36))</f>
        <v>9.7101000000000006</v>
      </c>
      <c r="J14" s="2311">
        <f>IF(OR($F$20=$R$6,$F$20=$U$6),CO2データ!K36,IF($F$20=$S$6,CO2データ!N36,CO2データ!Q36))</f>
        <v>9.7101000000000006</v>
      </c>
      <c r="K14" s="2294">
        <f t="shared" si="1"/>
        <v>3</v>
      </c>
      <c r="L14" s="2312">
        <f t="shared" si="0"/>
        <v>9.7101000000000006</v>
      </c>
      <c r="M14" s="1454"/>
      <c r="N14" s="2294">
        <f t="shared" si="2"/>
        <v>3</v>
      </c>
      <c r="O14" s="2313">
        <f>IF(OR($F$20=$R$6,$F$20=$U$6),CO2データ!I31,IF($F$20=$S$6,CO2データ!L31,CO2データ!O31))</f>
        <v>11.535</v>
      </c>
      <c r="R14" s="1">
        <f>メイン!G53</f>
        <v>0</v>
      </c>
      <c r="S14" s="1">
        <f>メイン!H53</f>
        <v>0</v>
      </c>
    </row>
    <row r="15" spans="1:21">
      <c r="B15" s="2262"/>
      <c r="C15" s="1457"/>
      <c r="D15" s="1457"/>
      <c r="E15" s="161" t="s">
        <v>555</v>
      </c>
      <c r="F15" s="2310">
        <f>IF($U$7=0,0,U21/$U$7)</f>
        <v>0</v>
      </c>
      <c r="G15" s="1454"/>
      <c r="H15" s="2310">
        <f>IF(OR($F$20=$R$6,$F$20=$U$6),CO2データ!I42,IF($F$20=$S$6,CO2データ!L42,CO2データ!O42))</f>
        <v>16.688899999999997</v>
      </c>
      <c r="I15" s="2310">
        <f>IF(OR($F$20=$R$6,$F$20=$U$6),CO2データ!J42,IF($F$20=$S$6,CO2データ!M42,CO2データ!P42))</f>
        <v>16.688899999999997</v>
      </c>
      <c r="J15" s="2311">
        <f>IF(OR($F$20=$R$6,$F$20=$U$6),CO2データ!K42,IF($F$20=$S$6,CO2データ!N42,CO2データ!Q42))</f>
        <v>16.688899999999997</v>
      </c>
      <c r="K15" s="2294">
        <f t="shared" si="1"/>
        <v>3</v>
      </c>
      <c r="L15" s="2312">
        <f t="shared" si="0"/>
        <v>16.688899999999997</v>
      </c>
      <c r="M15" s="1454"/>
      <c r="N15" s="2294">
        <f t="shared" si="2"/>
        <v>3</v>
      </c>
      <c r="O15" s="2313">
        <f>IF(OR($F$20=$R$6,$F$20=$U$6),CO2データ!I37,IF($F$20=$S$6,CO2データ!L37,CO2データ!O37))</f>
        <v>19.561999999999998</v>
      </c>
      <c r="R15" s="1" t="str">
        <f>メイン!G54</f>
        <v xml:space="preserve"> 物販店</v>
      </c>
      <c r="S15" s="1">
        <f>メイン!H54</f>
        <v>3000</v>
      </c>
    </row>
    <row r="16" spans="1:21">
      <c r="B16" s="2262"/>
      <c r="C16" s="1457"/>
      <c r="D16" s="1457"/>
      <c r="E16" s="161" t="s">
        <v>549</v>
      </c>
      <c r="F16" s="2310">
        <f>IF($U$7=0,0,S22/$U$7)</f>
        <v>0</v>
      </c>
      <c r="G16" s="1454"/>
      <c r="H16" s="2310">
        <f>IF(OR($F$20=$R$6,$F$20=$U$6),CO2データ!I48,IF($F$20=$S$6,CO2データ!L48,CO2データ!O48))</f>
        <v>9.1732000000000014</v>
      </c>
      <c r="I16" s="2310">
        <f>IF(OR($F$20=$R$6,$F$20=$U$6),CO2データ!J48,IF($F$20=$S$6,CO2データ!M48,CO2データ!P48))</f>
        <v>9.1732000000000014</v>
      </c>
      <c r="J16" s="2311">
        <f>IF(OR($F$20=$R$6,$F$20=$U$6),CO2データ!K48,IF($F$20=$S$6,CO2データ!N48,CO2データ!Q48))</f>
        <v>9.1732000000000014</v>
      </c>
      <c r="K16" s="2294">
        <f t="shared" si="1"/>
        <v>3</v>
      </c>
      <c r="L16" s="2312">
        <f t="shared" si="0"/>
        <v>9.1732000000000014</v>
      </c>
      <c r="M16" s="1454"/>
      <c r="N16" s="2294">
        <f t="shared" si="2"/>
        <v>3</v>
      </c>
      <c r="O16" s="2313">
        <f>IF(OR($F$20=$R$6,$F$20=$U$6),CO2データ!I43,IF($F$20=$S$6,CO2データ!L43,CO2データ!O43))</f>
        <v>10.405000000000001</v>
      </c>
      <c r="R16" s="1">
        <f>メイン!G55</f>
        <v>0</v>
      </c>
      <c r="S16" s="1">
        <f>メイン!H55</f>
        <v>0</v>
      </c>
    </row>
    <row r="17" spans="2:21">
      <c r="B17" s="2262"/>
      <c r="C17" s="1457"/>
      <c r="D17" s="1457"/>
      <c r="E17" s="161" t="s">
        <v>862</v>
      </c>
      <c r="F17" s="2310">
        <f>IF($U$7=0,0,S23/$U$7)</f>
        <v>0</v>
      </c>
      <c r="G17" s="1454"/>
      <c r="H17" s="2310">
        <f>IF(OR($F$20=$R$6,$F$20=$U$6),CO2データ!I54,IF($F$20=$S$6,CO2データ!L54,CO2データ!O54))</f>
        <v>9.4504000000000019</v>
      </c>
      <c r="I17" s="2310">
        <f>IF(OR($F$20=$R$6,$F$20=$U$6),CO2データ!J54,IF($F$20=$S$6,CO2データ!M54,CO2データ!P54))</f>
        <v>9.4504000000000019</v>
      </c>
      <c r="J17" s="2311">
        <f>IF(OR($F$20=$R$6,$F$20=$U$6),CO2データ!K54,IF($F$20=$S$6,CO2データ!N54,CO2データ!Q54))</f>
        <v>9.4504000000000019</v>
      </c>
      <c r="K17" s="2294">
        <f t="shared" si="1"/>
        <v>3</v>
      </c>
      <c r="L17" s="2312">
        <f t="shared" si="0"/>
        <v>9.4504000000000019</v>
      </c>
      <c r="M17" s="1454"/>
      <c r="N17" s="2294">
        <f t="shared" si="2"/>
        <v>3</v>
      </c>
      <c r="O17" s="2313">
        <f>IF(OR($F$20=$R$6,$F$20=$U$6),CO2データ!I49,IF($F$20=$S$6,CO2データ!L49,CO2データ!O49))</f>
        <v>11.119000000000002</v>
      </c>
      <c r="R17" s="1" t="str">
        <f>メイン!G56</f>
        <v xml:space="preserve"> 飲食店</v>
      </c>
      <c r="S17" s="1">
        <f>メイン!H56</f>
        <v>0</v>
      </c>
    </row>
    <row r="18" spans="2:21">
      <c r="B18" s="2262"/>
      <c r="C18" s="1457"/>
      <c r="D18" s="1457"/>
      <c r="E18" s="161" t="s">
        <v>1456</v>
      </c>
      <c r="F18" s="2310">
        <f>IF($U$7=0,0,S25/$U$7)</f>
        <v>0</v>
      </c>
      <c r="G18" s="1454"/>
      <c r="H18" s="2310">
        <f>IF(OR($F$20=$R$6,$F$20=$U$6),CO2データ!I60,IF($F$20=$S$6,CO2データ!L60,CO2データ!O60))</f>
        <v>13.6769</v>
      </c>
      <c r="I18" s="2310">
        <f>IF(OR($F$20=$R$6,$F$20=$U$6),CO2データ!J60,IF($F$20=$S$6,CO2データ!M60,CO2データ!P60))</f>
        <v>6.8385000000000007</v>
      </c>
      <c r="J18" s="2311">
        <f>IF(OR($F$20=$R$6,$F$20=$U$6),CO2データ!K60,IF($F$20=$S$6,CO2データ!N60,CO2データ!Q60))</f>
        <v>4.5590999999999999</v>
      </c>
      <c r="K18" s="2294">
        <f t="shared" si="1"/>
        <v>3</v>
      </c>
      <c r="L18" s="2312">
        <f t="shared" si="0"/>
        <v>13.6769</v>
      </c>
      <c r="M18" s="1454"/>
      <c r="N18" s="2294">
        <f t="shared" si="2"/>
        <v>3</v>
      </c>
      <c r="O18" s="2313">
        <f>IF(OR($F$20=$R$6,$F$20=$U$6),CO2データ!I55,IF($F$20=$S$6,CO2データ!L55,CO2データ!O55))</f>
        <v>15.641</v>
      </c>
      <c r="R18" s="1" t="str">
        <f>メイン!G57</f>
        <v xml:space="preserve"> 集会所</v>
      </c>
      <c r="S18" s="1">
        <f>メイン!H57</f>
        <v>0</v>
      </c>
    </row>
    <row r="19" spans="2:21">
      <c r="B19" s="2262"/>
      <c r="C19" s="1457"/>
      <c r="D19" s="1457"/>
      <c r="E19" s="1457"/>
      <c r="F19" s="1457"/>
      <c r="G19" s="1457"/>
      <c r="H19" s="1457"/>
      <c r="I19" s="2315"/>
      <c r="J19" s="2315"/>
      <c r="K19" s="2316"/>
      <c r="L19" s="2317"/>
      <c r="M19" s="1454"/>
      <c r="N19" s="2316"/>
      <c r="O19" s="2318"/>
      <c r="R19" s="1">
        <f>メイン!G58</f>
        <v>0</v>
      </c>
      <c r="S19" s="1">
        <f>メイン!H58</f>
        <v>0</v>
      </c>
    </row>
    <row r="20" spans="2:21">
      <c r="B20" s="2262"/>
      <c r="C20" s="1454"/>
      <c r="D20" s="1454" t="s">
        <v>197</v>
      </c>
      <c r="E20" s="1454"/>
      <c r="F20" s="2319" t="str">
        <f>メイン!H23</f>
        <v>S造</v>
      </c>
      <c r="G20" s="1454"/>
      <c r="H20" s="2320"/>
      <c r="I20" s="2320"/>
      <c r="J20" s="2320"/>
      <c r="K20" s="2321"/>
      <c r="L20" s="1454"/>
      <c r="M20" s="1454"/>
      <c r="N20" s="2321"/>
      <c r="O20" s="2322"/>
      <c r="R20" s="1">
        <f>メイン!G59</f>
        <v>0</v>
      </c>
      <c r="S20" s="1">
        <f>メイン!H59</f>
        <v>0</v>
      </c>
    </row>
    <row r="21" spans="2:21">
      <c r="B21" s="2323"/>
      <c r="C21" s="2212"/>
      <c r="D21" s="2212" t="s">
        <v>198</v>
      </c>
      <c r="E21" s="2212"/>
      <c r="F21" s="2324">
        <f>'条件(標準)_後'!E31</f>
        <v>0.3</v>
      </c>
      <c r="G21" s="2212"/>
      <c r="H21" s="2212"/>
      <c r="I21" s="2212"/>
      <c r="J21" s="2212"/>
      <c r="K21" s="2212"/>
      <c r="L21" s="2212"/>
      <c r="M21" s="2212"/>
      <c r="N21" s="2325">
        <v>0</v>
      </c>
      <c r="O21" s="2213"/>
      <c r="R21" s="1" t="str">
        <f>メイン!G60</f>
        <v xml:space="preserve"> 工場</v>
      </c>
      <c r="S21" s="1">
        <f>メイン!H60</f>
        <v>0</v>
      </c>
      <c r="T21" s="1" t="str">
        <f>メイン!I60</f>
        <v>㎡ うち省エネ計画書対象面積</v>
      </c>
      <c r="U21" s="1">
        <f>メイン!J60</f>
        <v>0</v>
      </c>
    </row>
    <row r="22" spans="2:21">
      <c r="B22" s="2323"/>
      <c r="C22" s="2212"/>
      <c r="D22" s="2212" t="s">
        <v>199</v>
      </c>
      <c r="E22" s="2212"/>
      <c r="F22" s="2324">
        <f>'条件(標準)_後'!E30</f>
        <v>0</v>
      </c>
      <c r="G22" s="2212"/>
      <c r="H22" s="2212"/>
      <c r="I22" s="2212"/>
      <c r="J22" s="2212"/>
      <c r="K22" s="2212"/>
      <c r="L22" s="2212"/>
      <c r="M22" s="2212"/>
      <c r="N22" s="2325">
        <v>0</v>
      </c>
      <c r="O22" s="2213"/>
      <c r="R22" s="1" t="str">
        <f>メイン!G61</f>
        <v xml:space="preserve"> 病院</v>
      </c>
      <c r="S22" s="1">
        <f>メイン!H61</f>
        <v>0</v>
      </c>
    </row>
    <row r="23" spans="2:21" ht="5.25" customHeight="1" thickBot="1">
      <c r="B23" s="2323"/>
      <c r="C23" s="2212"/>
      <c r="D23" s="2212"/>
      <c r="E23" s="2212"/>
      <c r="F23" s="2212"/>
      <c r="G23" s="2212"/>
      <c r="H23" s="2212"/>
      <c r="I23" s="2212"/>
      <c r="J23" s="2212"/>
      <c r="K23" s="2212"/>
      <c r="L23" s="2212"/>
      <c r="M23" s="2212"/>
      <c r="N23" s="2212"/>
      <c r="O23" s="2213"/>
      <c r="R23" s="1" t="str">
        <f>メイン!G62</f>
        <v xml:space="preserve"> ホテル</v>
      </c>
      <c r="S23" s="1">
        <f>メイン!H62</f>
        <v>0</v>
      </c>
    </row>
    <row r="24" spans="2:21" ht="14.25" thickBot="1">
      <c r="B24" s="2323"/>
      <c r="C24" s="1448" t="s">
        <v>200</v>
      </c>
      <c r="D24" s="1457"/>
      <c r="E24" s="1454"/>
      <c r="F24" s="2212"/>
      <c r="G24" s="2212"/>
      <c r="H24" s="2212"/>
      <c r="I24" s="2212"/>
      <c r="J24" s="2212"/>
      <c r="K24" s="2212"/>
      <c r="L24" s="2326">
        <f>SUMPRODUCT(F10:F18,L10:L18)</f>
        <v>12.453849999999999</v>
      </c>
      <c r="M24" s="2212"/>
      <c r="N24" s="2212"/>
      <c r="O24" s="2326">
        <f>SUMPRODUCT(F10:F18,O10:O18)</f>
        <v>14.775099999999998</v>
      </c>
      <c r="R24" s="1" t="str">
        <f>メイン!G63</f>
        <v xml:space="preserve"> 非住宅　小計</v>
      </c>
      <c r="S24" s="1">
        <f>メイン!H63</f>
        <v>10000</v>
      </c>
    </row>
    <row r="25" spans="2:21">
      <c r="B25" s="2323"/>
      <c r="C25" s="1454"/>
      <c r="D25" s="1457"/>
      <c r="E25" s="161"/>
      <c r="F25" s="2212"/>
      <c r="G25" s="2212"/>
      <c r="H25" s="2212"/>
      <c r="I25" s="2212"/>
      <c r="J25" s="2212"/>
      <c r="K25" s="2212"/>
      <c r="L25" s="2327"/>
      <c r="M25" s="2212"/>
      <c r="N25" s="2212"/>
      <c r="O25" s="2328"/>
      <c r="R25" s="1" t="str">
        <f>メイン!G64</f>
        <v xml:space="preserve"> 集合住宅</v>
      </c>
      <c r="S25" s="1">
        <f>メイン!H64</f>
        <v>0</v>
      </c>
    </row>
    <row r="26" spans="2:21" hidden="1">
      <c r="B26" s="2323"/>
      <c r="C26" s="1454" t="s">
        <v>201</v>
      </c>
      <c r="D26" s="2212"/>
      <c r="E26" s="1457" t="s">
        <v>539</v>
      </c>
      <c r="F26" s="2395">
        <f>メイン!Y47</f>
        <v>1</v>
      </c>
      <c r="G26" s="2212"/>
      <c r="H26" s="2310">
        <f>IF(OR($F$20=$R$6,$F$20=$U$6),CO2データ!I203,IF($F$20=$S$6,CO2データ!L203,CO2データ!O203))</f>
        <v>60</v>
      </c>
      <c r="I26" s="2310">
        <f>IF(OR($F$20=$R$6,$F$20=$U$6),CO2データ!J203,IF($F$20=$S$6,CO2データ!M203,CO2データ!P203))</f>
        <v>60</v>
      </c>
      <c r="J26" s="2310">
        <f>IF(OR($F$20=$R$6,$F$20=$U$6),CO2データ!K203,IF($F$20=$S$6,CO2データ!N203,CO2データ!Q203))</f>
        <v>60</v>
      </c>
      <c r="K26" s="2329">
        <f t="shared" ref="K26:K34" si="3">K10</f>
        <v>3</v>
      </c>
      <c r="L26" s="2330">
        <f t="shared" ref="L26:L34" si="4">IF($F26=1,IF($K26&lt;4,$H26,IF($K26&lt;5,$I26,$J26)),0)</f>
        <v>60</v>
      </c>
      <c r="M26" s="2212"/>
      <c r="N26" s="2294">
        <v>3</v>
      </c>
      <c r="O26" s="2331">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323"/>
      <c r="C27" s="1454"/>
      <c r="D27" s="2212"/>
      <c r="E27" s="1457" t="s">
        <v>541</v>
      </c>
      <c r="F27" s="2395">
        <f>メイン!Y49</f>
        <v>0</v>
      </c>
      <c r="G27" s="2212"/>
      <c r="H27" s="2310">
        <f>IF(OR($F$20=$R$6,$F$20=$U$6),CO2データ!I204,IF($F$20=$S$6,CO2データ!L204,CO2データ!O204))</f>
        <v>60</v>
      </c>
      <c r="I27" s="2310">
        <f>IF(OR($F$20=$R$6,$F$20=$U$6),CO2データ!J204,IF($F$20=$S$6,CO2データ!M204,CO2データ!P204))</f>
        <v>60</v>
      </c>
      <c r="J27" s="2310">
        <f>IF(OR($F$20=$R$6,$F$20=$U$6),CO2データ!K204,IF($F$20=$S$6,CO2データ!N204,CO2データ!Q204))</f>
        <v>60</v>
      </c>
      <c r="K27" s="2329">
        <f t="shared" si="3"/>
        <v>3</v>
      </c>
      <c r="L27" s="2330">
        <f t="shared" si="4"/>
        <v>0</v>
      </c>
      <c r="M27" s="2212"/>
      <c r="N27" s="2294">
        <v>3</v>
      </c>
      <c r="O27" s="2331">
        <f t="shared" si="5"/>
        <v>0</v>
      </c>
      <c r="R27" t="str">
        <f t="shared" si="6"/>
        <v/>
      </c>
      <c r="U27" t="str">
        <f t="shared" si="7"/>
        <v/>
      </c>
    </row>
    <row r="28" spans="2:21" hidden="1">
      <c r="B28" s="2323"/>
      <c r="C28" s="1454"/>
      <c r="D28" s="2212"/>
      <c r="E28" s="1457" t="s">
        <v>543</v>
      </c>
      <c r="F28" s="2395">
        <f>メイン!Y54</f>
        <v>2</v>
      </c>
      <c r="G28" s="2212"/>
      <c r="H28" s="2310">
        <f>IF(OR($F$20=$R$6,$F$20=$U$6),CO2データ!I205,IF($F$20=$S$6,CO2データ!L205,CO2データ!O205))</f>
        <v>30</v>
      </c>
      <c r="I28" s="2310">
        <f>IF(OR($F$20=$R$6,$F$20=$U$6),CO2データ!J205,IF($F$20=$S$6,CO2データ!M205,CO2データ!P205))</f>
        <v>30</v>
      </c>
      <c r="J28" s="2310">
        <f>IF(OR($F$20=$R$6,$F$20=$U$6),CO2データ!K205,IF($F$20=$S$6,CO2データ!N205,CO2データ!Q205))</f>
        <v>30</v>
      </c>
      <c r="K28" s="2329">
        <f t="shared" si="3"/>
        <v>3</v>
      </c>
      <c r="L28" s="2330">
        <f t="shared" si="4"/>
        <v>0</v>
      </c>
      <c r="M28" s="2212"/>
      <c r="N28" s="2294">
        <v>3</v>
      </c>
      <c r="O28" s="2331">
        <f t="shared" si="5"/>
        <v>0</v>
      </c>
      <c r="R28" t="str">
        <f t="shared" si="6"/>
        <v/>
      </c>
      <c r="U28" t="str">
        <f t="shared" si="7"/>
        <v/>
      </c>
    </row>
    <row r="29" spans="2:21" hidden="1">
      <c r="B29" s="2323"/>
      <c r="C29" s="1454"/>
      <c r="D29" s="2212"/>
      <c r="E29" s="1457" t="s">
        <v>545</v>
      </c>
      <c r="F29" s="2395">
        <f>メイン!Y56</f>
        <v>0</v>
      </c>
      <c r="G29" s="2212"/>
      <c r="H29" s="2310">
        <f>IF(OR($F$20=$R$6,$F$20=$U$6),CO2データ!I206,IF($F$20=$S$6,CO2データ!L206,CO2データ!O206))</f>
        <v>30</v>
      </c>
      <c r="I29" s="2310">
        <f>IF(OR($F$20=$R$6,$F$20=$U$6),CO2データ!J206,IF($F$20=$S$6,CO2データ!M206,CO2データ!P206))</f>
        <v>30</v>
      </c>
      <c r="J29" s="2310">
        <f>IF(OR($F$20=$R$6,$F$20=$U$6),CO2データ!K206,IF($F$20=$S$6,CO2データ!N206,CO2データ!Q206))</f>
        <v>30</v>
      </c>
      <c r="K29" s="2329">
        <f t="shared" si="3"/>
        <v>3</v>
      </c>
      <c r="L29" s="2330">
        <f t="shared" si="4"/>
        <v>0</v>
      </c>
      <c r="M29" s="2212"/>
      <c r="N29" s="2294">
        <v>3</v>
      </c>
      <c r="O29" s="2331">
        <f t="shared" si="5"/>
        <v>0</v>
      </c>
      <c r="R29" t="str">
        <f t="shared" si="6"/>
        <v/>
      </c>
      <c r="U29" t="str">
        <f t="shared" si="7"/>
        <v/>
      </c>
    </row>
    <row r="30" spans="2:21" hidden="1">
      <c r="B30" s="2323"/>
      <c r="C30" s="1454"/>
      <c r="D30" s="2212"/>
      <c r="E30" s="161" t="s">
        <v>861</v>
      </c>
      <c r="F30" s="2395">
        <f>メイン!Y57</f>
        <v>0</v>
      </c>
      <c r="G30" s="2212"/>
      <c r="H30" s="2310">
        <f>IF(OR($F$20=$R$6,$F$20=$U$6),CO2データ!I207,IF($F$20=$S$6,CO2データ!L207,CO2データ!O207))</f>
        <v>60</v>
      </c>
      <c r="I30" s="2310">
        <f>IF(OR($F$20=$R$6,$F$20=$U$6),CO2データ!J207,IF($F$20=$S$6,CO2データ!M207,CO2データ!P207))</f>
        <v>60</v>
      </c>
      <c r="J30" s="2310">
        <f>IF(OR($F$20=$R$6,$F$20=$U$6),CO2データ!K207,IF($F$20=$S$6,CO2データ!N207,CO2データ!Q207))</f>
        <v>60</v>
      </c>
      <c r="K30" s="2329">
        <f t="shared" si="3"/>
        <v>3</v>
      </c>
      <c r="L30" s="2330">
        <f t="shared" si="4"/>
        <v>0</v>
      </c>
      <c r="M30" s="2212"/>
      <c r="N30" s="2294">
        <v>3</v>
      </c>
      <c r="O30" s="2331">
        <f t="shared" si="5"/>
        <v>0</v>
      </c>
      <c r="R30" t="str">
        <f t="shared" si="6"/>
        <v/>
      </c>
      <c r="U30" t="str">
        <f t="shared" si="7"/>
        <v/>
      </c>
    </row>
    <row r="31" spans="2:21" hidden="1">
      <c r="B31" s="2323"/>
      <c r="C31" s="1454"/>
      <c r="D31" s="2212"/>
      <c r="E31" s="161" t="s">
        <v>555</v>
      </c>
      <c r="F31" s="2395">
        <f>メイン!Y63</f>
        <v>0</v>
      </c>
      <c r="G31" s="2212"/>
      <c r="H31" s="2310">
        <f>IF(OR($F$20=$R$6,$F$20=$U$6),CO2データ!I208,IF($F$20=$S$6,CO2データ!L208,CO2データ!O208))</f>
        <v>30</v>
      </c>
      <c r="I31" s="2310">
        <f>IF(OR($F$20=$R$6,$F$20=$U$6),CO2データ!J208,IF($F$20=$S$6,CO2データ!M208,CO2データ!P208))</f>
        <v>30</v>
      </c>
      <c r="J31" s="2310">
        <f>IF(OR($F$20=$R$6,$F$20=$U$6),CO2データ!K208,IF($F$20=$S$6,CO2データ!N208,CO2データ!Q208))</f>
        <v>30</v>
      </c>
      <c r="K31" s="2329">
        <f t="shared" si="3"/>
        <v>3</v>
      </c>
      <c r="L31" s="2330">
        <f t="shared" si="4"/>
        <v>0</v>
      </c>
      <c r="M31" s="2212"/>
      <c r="N31" s="2294">
        <v>3</v>
      </c>
      <c r="O31" s="2331">
        <f t="shared" si="5"/>
        <v>0</v>
      </c>
      <c r="R31" t="str">
        <f t="shared" si="6"/>
        <v/>
      </c>
      <c r="U31" t="str">
        <f t="shared" si="7"/>
        <v/>
      </c>
    </row>
    <row r="32" spans="2:21" hidden="1">
      <c r="B32" s="2323"/>
      <c r="C32" s="1454"/>
      <c r="D32" s="2212"/>
      <c r="E32" s="161" t="s">
        <v>549</v>
      </c>
      <c r="F32" s="2395">
        <f>メイン!Y60</f>
        <v>0</v>
      </c>
      <c r="G32" s="2212"/>
      <c r="H32" s="2310">
        <f>IF(OR($F$20=$R$6,$F$20=$U$6),CO2データ!I209,IF($F$20=$S$6,CO2データ!L209,CO2データ!O209))</f>
        <v>60</v>
      </c>
      <c r="I32" s="2310">
        <f>IF(OR($F$20=$R$6,$F$20=$U$6),CO2データ!J209,IF($F$20=$S$6,CO2データ!M209,CO2データ!P209))</f>
        <v>60</v>
      </c>
      <c r="J32" s="2310">
        <f>IF(OR($F$20=$R$6,$F$20=$U$6),CO2データ!K209,IF($F$20=$S$6,CO2データ!N209,CO2データ!Q209))</f>
        <v>60</v>
      </c>
      <c r="K32" s="2329">
        <f t="shared" si="3"/>
        <v>3</v>
      </c>
      <c r="L32" s="2330">
        <f t="shared" si="4"/>
        <v>0</v>
      </c>
      <c r="M32" s="2212"/>
      <c r="N32" s="2294">
        <v>3</v>
      </c>
      <c r="O32" s="2331">
        <f t="shared" si="5"/>
        <v>0</v>
      </c>
      <c r="R32" t="str">
        <f t="shared" si="6"/>
        <v/>
      </c>
      <c r="U32" t="str">
        <f t="shared" si="7"/>
        <v/>
      </c>
    </row>
    <row r="33" spans="2:21" hidden="1">
      <c r="B33" s="2323"/>
      <c r="C33" s="1454"/>
      <c r="D33" s="2212"/>
      <c r="E33" s="161" t="s">
        <v>862</v>
      </c>
      <c r="F33" s="2395">
        <f>メイン!Y61</f>
        <v>0</v>
      </c>
      <c r="G33" s="2212"/>
      <c r="H33" s="2310">
        <f>IF(OR($F$20=$R$6,$F$20=$U$6),CO2データ!I210,IF($F$20=$S$6,CO2データ!L210,CO2データ!O210))</f>
        <v>60</v>
      </c>
      <c r="I33" s="2310">
        <f>IF(OR($F$20=$R$6,$F$20=$U$6),CO2データ!J210,IF($F$20=$S$6,CO2データ!M210,CO2データ!P210))</f>
        <v>60</v>
      </c>
      <c r="J33" s="2310">
        <f>IF(OR($F$20=$R$6,$F$20=$U$6),CO2データ!K210,IF($F$20=$S$6,CO2データ!N210,CO2データ!Q210))</f>
        <v>60</v>
      </c>
      <c r="K33" s="2329">
        <f t="shared" si="3"/>
        <v>3</v>
      </c>
      <c r="L33" s="2330">
        <f t="shared" si="4"/>
        <v>0</v>
      </c>
      <c r="M33" s="2212"/>
      <c r="N33" s="2294">
        <v>3</v>
      </c>
      <c r="O33" s="2331">
        <f t="shared" si="5"/>
        <v>0</v>
      </c>
      <c r="R33" t="str">
        <f t="shared" si="6"/>
        <v/>
      </c>
      <c r="U33" t="str">
        <f t="shared" si="7"/>
        <v/>
      </c>
    </row>
    <row r="34" spans="2:21" ht="14.25" hidden="1" thickBot="1">
      <c r="B34" s="2323"/>
      <c r="C34" s="1454"/>
      <c r="D34" s="2212"/>
      <c r="E34" s="161" t="s">
        <v>553</v>
      </c>
      <c r="F34" s="2395">
        <f>メイン!Y62</f>
        <v>0</v>
      </c>
      <c r="G34" s="2212"/>
      <c r="H34" s="2310">
        <f>IF(OR($F$20=$R$6,$F$20=$U$6),CO2データ!I211,IF($F$20=$S$6,CO2データ!L211,CO2データ!O211))</f>
        <v>30</v>
      </c>
      <c r="I34" s="2310">
        <f>IF(OR($F$20=$R$6,$F$20=$U$6),CO2データ!J211,IF($F$20=$S$6,CO2データ!M211,CO2データ!P211))</f>
        <v>60</v>
      </c>
      <c r="J34" s="2310">
        <f>IF(OR($F$20=$R$6,$F$20=$U$6),CO2データ!K211,IF($F$20=$S$6,CO2データ!N211,CO2データ!Q211))</f>
        <v>90</v>
      </c>
      <c r="K34" s="2329">
        <f t="shared" si="3"/>
        <v>3</v>
      </c>
      <c r="L34" s="2330">
        <f t="shared" si="4"/>
        <v>0</v>
      </c>
      <c r="M34" s="2212"/>
      <c r="N34" s="2294">
        <v>3</v>
      </c>
      <c r="O34" s="2331">
        <f t="shared" si="5"/>
        <v>0</v>
      </c>
      <c r="R34" t="str">
        <f t="shared" si="6"/>
        <v/>
      </c>
      <c r="U34" t="str">
        <f t="shared" si="7"/>
        <v/>
      </c>
    </row>
    <row r="35" spans="2:21" ht="14.25" hidden="1" thickBot="1">
      <c r="B35" s="2323"/>
      <c r="C35" s="1454"/>
      <c r="D35" s="2212"/>
      <c r="E35" s="161"/>
      <c r="F35" s="161"/>
      <c r="G35" s="161"/>
      <c r="H35" s="161"/>
      <c r="I35" s="161"/>
      <c r="J35" s="161"/>
      <c r="K35" s="161"/>
      <c r="L35" s="2332" t="str">
        <f>R26&amp;R27&amp;R28&amp;R29&amp;R30&amp;R31&amp;R32&amp;R33&amp;R34&amp;R35</f>
        <v>事務所部分60年,他</v>
      </c>
      <c r="M35" s="161"/>
      <c r="N35" s="161"/>
      <c r="O35" s="2332" t="str">
        <f>U26&amp;U27&amp;U28&amp;U29&amp;U30&amp;U31&amp;U32&amp;U33&amp;U34&amp;U35</f>
        <v>事務所部分60年,他</v>
      </c>
      <c r="R35" t="str">
        <f>IF(SUM(F26:F34)&gt;1,"他","")</f>
        <v>他</v>
      </c>
      <c r="U35" t="str">
        <f>IF(SUM(F26:F34)&gt;1,"他","")</f>
        <v>他</v>
      </c>
    </row>
    <row r="36" spans="2:21" hidden="1">
      <c r="B36" s="2323"/>
      <c r="C36" s="1454"/>
      <c r="D36" s="2212"/>
      <c r="E36" s="161"/>
      <c r="F36" s="161"/>
      <c r="G36" s="161"/>
      <c r="H36" s="161"/>
      <c r="I36" s="161"/>
      <c r="J36" s="161"/>
      <c r="K36" s="161"/>
      <c r="L36" s="161"/>
      <c r="M36" s="161"/>
      <c r="N36" s="161"/>
      <c r="O36" s="2333"/>
    </row>
    <row r="37" spans="2:21" hidden="1">
      <c r="B37" s="2334"/>
      <c r="C37" s="2335" t="s">
        <v>127</v>
      </c>
      <c r="D37" s="2335"/>
      <c r="E37" s="2264"/>
      <c r="F37" s="2264"/>
      <c r="G37" s="2264"/>
      <c r="H37" s="2336"/>
      <c r="I37" s="2337" t="s">
        <v>202</v>
      </c>
      <c r="J37" s="2337" t="s">
        <v>203</v>
      </c>
      <c r="K37" s="2338"/>
      <c r="L37" s="2338"/>
      <c r="M37" s="2338"/>
      <c r="N37" s="2338"/>
      <c r="O37" s="2339"/>
    </row>
    <row r="38" spans="2:21" hidden="1">
      <c r="B38" s="2334"/>
      <c r="C38" s="2264"/>
      <c r="D38" s="2264" t="s">
        <v>204</v>
      </c>
      <c r="E38" s="2264"/>
      <c r="F38" s="2310">
        <f>F10</f>
        <v>0.7</v>
      </c>
      <c r="G38" s="2264"/>
      <c r="H38" s="2310">
        <f>IF(OR($F$20=$R$6,$F$20=$U$6),CO2データ!I214,IF($F$20=$S$6,CO2データ!L214,CO2データ!O214))</f>
        <v>0.56699999999999995</v>
      </c>
      <c r="I38" s="2310">
        <f>IF(OR($F$20=$R$6,$F$20=$U$6),CO2データ!J214,IF($F$20=$S$6,CO2データ!M214,CO2データ!P214))</f>
        <v>0</v>
      </c>
      <c r="J38" s="2310">
        <f>IF(OR($F$20=$R$6,$F$20=$U$6),CO2データ!K214,IF($F$20=$S$6,CO2データ!N214,CO2データ!Q214))</f>
        <v>0</v>
      </c>
      <c r="K38" s="2338"/>
      <c r="L38" s="2336">
        <f t="shared" ref="L38:L91" si="8">H38-(H38-I38)*$F$21-(H38-J38)*$F$22</f>
        <v>0.39689999999999998</v>
      </c>
      <c r="M38" s="2338"/>
      <c r="N38" s="2336"/>
      <c r="O38" s="2340">
        <f t="shared" ref="O38:O91" si="9">H38</f>
        <v>0.56699999999999995</v>
      </c>
      <c r="P38" t="s">
        <v>205</v>
      </c>
    </row>
    <row r="39" spans="2:21" hidden="1">
      <c r="B39" s="2334"/>
      <c r="C39" s="2264"/>
      <c r="D39" s="2264"/>
      <c r="E39" s="2264"/>
      <c r="F39" s="2310">
        <f>$F$38</f>
        <v>0.7</v>
      </c>
      <c r="G39" s="2264"/>
      <c r="H39" s="2310">
        <f>IF(OR($F$20=$R$6,$F$20=$U$6),CO2データ!I215,IF($F$20=$S$6,CO2データ!L215,CO2データ!O215))</f>
        <v>0</v>
      </c>
      <c r="I39" s="2310">
        <f>IF(OR($F$20=$R$6,$F$20=$U$6),CO2データ!J215,IF($F$20=$S$6,CO2データ!M215,CO2データ!P215))</f>
        <v>0</v>
      </c>
      <c r="J39" s="2310">
        <f>IF(OR($F$20=$R$6,$F$20=$U$6),CO2データ!K215,IF($F$20=$S$6,CO2データ!N215,CO2データ!Q215))</f>
        <v>0.56699999999999995</v>
      </c>
      <c r="K39" s="2338"/>
      <c r="L39" s="2336">
        <f t="shared" si="8"/>
        <v>0</v>
      </c>
      <c r="M39" s="2338"/>
      <c r="N39" s="2336"/>
      <c r="O39" s="2340">
        <f t="shared" si="9"/>
        <v>0</v>
      </c>
      <c r="P39" t="s">
        <v>205</v>
      </c>
    </row>
    <row r="40" spans="2:21" hidden="1">
      <c r="B40" s="2334"/>
      <c r="C40" s="2264"/>
      <c r="D40" s="2264"/>
      <c r="E40" s="2264"/>
      <c r="F40" s="2310">
        <f>$F$38</f>
        <v>0.7</v>
      </c>
      <c r="G40" s="2264"/>
      <c r="H40" s="2310">
        <f>IF(OR($F$20=$R$6,$F$20=$U$6),CO2データ!I216,IF($F$20=$S$6,CO2データ!L216,CO2データ!O216))</f>
        <v>0.13600000000000001</v>
      </c>
      <c r="I40" s="2310">
        <f>IF(OR($F$20=$R$6,$F$20=$U$6),CO2データ!J216,IF($F$20=$S$6,CO2データ!M216,CO2データ!P216))</f>
        <v>0</v>
      </c>
      <c r="J40" s="2310">
        <f>IF(OR($F$20=$R$6,$F$20=$U$6),CO2データ!K216,IF($F$20=$S$6,CO2データ!N216,CO2データ!Q216))</f>
        <v>0.13600000000000001</v>
      </c>
      <c r="K40" s="2338"/>
      <c r="L40" s="2336">
        <f t="shared" si="8"/>
        <v>9.5200000000000007E-2</v>
      </c>
      <c r="M40" s="2338"/>
      <c r="N40" s="2336"/>
      <c r="O40" s="2340">
        <f t="shared" si="9"/>
        <v>0.13600000000000001</v>
      </c>
      <c r="P40" t="s">
        <v>132</v>
      </c>
    </row>
    <row r="41" spans="2:21" hidden="1">
      <c r="B41" s="2334"/>
      <c r="C41" s="2264"/>
      <c r="D41" s="2264"/>
      <c r="E41" s="2264"/>
      <c r="F41" s="2310">
        <f>$F$38</f>
        <v>0.7</v>
      </c>
      <c r="G41" s="2264"/>
      <c r="H41" s="2310">
        <f>IF(OR($F$20=$R$6,$F$20=$U$6),CO2データ!I217,IF($F$20=$S$6,CO2データ!L217,CO2データ!O217))</f>
        <v>0</v>
      </c>
      <c r="I41" s="2310">
        <f>IF(OR($F$20=$R$6,$F$20=$U$6),CO2データ!J217,IF($F$20=$S$6,CO2データ!M217,CO2データ!P217))</f>
        <v>0</v>
      </c>
      <c r="J41" s="2310">
        <f>IF(OR($F$20=$R$6,$F$20=$U$6),CO2データ!K217,IF($F$20=$S$6,CO2データ!N217,CO2データ!Q217))</f>
        <v>0</v>
      </c>
      <c r="K41" s="2338"/>
      <c r="L41" s="2336">
        <f t="shared" si="8"/>
        <v>0</v>
      </c>
      <c r="M41" s="2338"/>
      <c r="N41" s="2336"/>
      <c r="O41" s="2340">
        <f t="shared" si="9"/>
        <v>0</v>
      </c>
      <c r="P41" t="s">
        <v>132</v>
      </c>
    </row>
    <row r="42" spans="2:21" hidden="1">
      <c r="B42" s="2334"/>
      <c r="C42" s="2264"/>
      <c r="D42" s="2264"/>
      <c r="E42" s="2264"/>
      <c r="F42" s="2310">
        <f>$F$38</f>
        <v>0.7</v>
      </c>
      <c r="G42" s="2264"/>
      <c r="H42" s="2310">
        <f>IF(OR($F$20=$R$6,$F$20=$U$6),CO2データ!I218,IF($F$20=$S$6,CO2データ!L218,CO2データ!O218))</f>
        <v>7.0000000000000007E-2</v>
      </c>
      <c r="I42" s="2310">
        <f>IF(OR($F$20=$R$6,$F$20=$U$6),CO2データ!J218,IF($F$20=$S$6,CO2データ!M218,CO2データ!P218))</f>
        <v>0</v>
      </c>
      <c r="J42" s="2310">
        <f>IF(OR($F$20=$R$6,$F$20=$U$6),CO2データ!K218,IF($F$20=$S$6,CO2データ!N218,CO2データ!Q218))</f>
        <v>7.0000000000000007E-2</v>
      </c>
      <c r="K42" s="2338"/>
      <c r="L42" s="2336">
        <f t="shared" si="8"/>
        <v>4.9000000000000002E-2</v>
      </c>
      <c r="M42" s="2338"/>
      <c r="N42" s="2336"/>
      <c r="O42" s="2340">
        <f t="shared" si="9"/>
        <v>7.0000000000000007E-2</v>
      </c>
      <c r="P42" t="s">
        <v>132</v>
      </c>
    </row>
    <row r="43" spans="2:21" hidden="1">
      <c r="B43" s="2334"/>
      <c r="C43" s="2264"/>
      <c r="D43" s="2264"/>
      <c r="E43" s="2264"/>
      <c r="F43" s="2310">
        <f>$F$38</f>
        <v>0.7</v>
      </c>
      <c r="G43" s="2264"/>
      <c r="H43" s="2310">
        <f>IF(OR($F$20=$R$6,$F$20=$U$6),CO2データ!I219,IF($F$20=$S$6,CO2データ!L219,CO2データ!O219))</f>
        <v>5.0000000000000001E-3</v>
      </c>
      <c r="I43" s="2310">
        <f>IF(OR($F$20=$R$6,$F$20=$U$6),CO2データ!J219,IF($F$20=$S$6,CO2データ!M219,CO2データ!P219))</f>
        <v>0</v>
      </c>
      <c r="J43" s="2310">
        <f>IF(OR($F$20=$R$6,$F$20=$U$6),CO2データ!K219,IF($F$20=$S$6,CO2データ!N219,CO2データ!Q219))</f>
        <v>5.0000000000000001E-3</v>
      </c>
      <c r="K43" s="2338"/>
      <c r="L43" s="2336">
        <f t="shared" si="8"/>
        <v>3.5000000000000001E-3</v>
      </c>
      <c r="M43" s="2338"/>
      <c r="N43" s="2336"/>
      <c r="O43" s="2340">
        <f t="shared" si="9"/>
        <v>5.0000000000000001E-3</v>
      </c>
      <c r="P43" t="s">
        <v>132</v>
      </c>
    </row>
    <row r="44" spans="2:21" hidden="1">
      <c r="B44" s="2334"/>
      <c r="C44" s="2264"/>
      <c r="D44" s="2264" t="s">
        <v>206</v>
      </c>
      <c r="E44" s="2264"/>
      <c r="F44" s="2310">
        <f>F11</f>
        <v>0</v>
      </c>
      <c r="G44" s="2264"/>
      <c r="H44" s="2310">
        <f>IF(OR($F$20=$R$6,$F$20=$U$6),CO2データ!I220,IF($F$20=$S$6,CO2データ!L220,CO2データ!O220))</f>
        <v>0.35199999999999998</v>
      </c>
      <c r="I44" s="2310">
        <f>IF(OR($F$20=$R$6,$F$20=$U$6),CO2データ!J220,IF($F$20=$S$6,CO2データ!M220,CO2データ!P220))</f>
        <v>0</v>
      </c>
      <c r="J44" s="2310">
        <f>IF(OR($F$20=$R$6,$F$20=$U$6),CO2データ!K220,IF($F$20=$S$6,CO2データ!N220,CO2データ!Q220))</f>
        <v>0</v>
      </c>
      <c r="K44" s="2338"/>
      <c r="L44" s="2336">
        <f t="shared" si="8"/>
        <v>0.24640000000000001</v>
      </c>
      <c r="M44" s="2338"/>
      <c r="N44" s="2336"/>
      <c r="O44" s="2340">
        <f t="shared" si="9"/>
        <v>0.35199999999999998</v>
      </c>
      <c r="P44" t="s">
        <v>205</v>
      </c>
    </row>
    <row r="45" spans="2:21" hidden="1">
      <c r="B45" s="2334"/>
      <c r="C45" s="2264"/>
      <c r="D45" s="2264"/>
      <c r="E45" s="2264"/>
      <c r="F45" s="2310">
        <f>$F$44</f>
        <v>0</v>
      </c>
      <c r="G45" s="2264"/>
      <c r="H45" s="2310">
        <f>IF(OR($F$20=$R$6,$F$20=$U$6),CO2データ!I221,IF($F$20=$S$6,CO2データ!L221,CO2データ!O221))</f>
        <v>0</v>
      </c>
      <c r="I45" s="2310">
        <f>IF(OR($F$20=$R$6,$F$20=$U$6),CO2データ!J221,IF($F$20=$S$6,CO2データ!M221,CO2データ!P221))</f>
        <v>0</v>
      </c>
      <c r="J45" s="2310">
        <f>IF(OR($F$20=$R$6,$F$20=$U$6),CO2データ!K221,IF($F$20=$S$6,CO2データ!N221,CO2データ!Q221))</f>
        <v>0.35199999999999998</v>
      </c>
      <c r="K45" s="2338"/>
      <c r="L45" s="2336">
        <f t="shared" si="8"/>
        <v>0</v>
      </c>
      <c r="M45" s="2338"/>
      <c r="N45" s="2336"/>
      <c r="O45" s="2340">
        <f t="shared" si="9"/>
        <v>0</v>
      </c>
      <c r="P45" t="s">
        <v>205</v>
      </c>
    </row>
    <row r="46" spans="2:21" hidden="1">
      <c r="B46" s="2334"/>
      <c r="C46" s="2264"/>
      <c r="D46" s="2264"/>
      <c r="E46" s="2264"/>
      <c r="F46" s="2310">
        <f>$F$44</f>
        <v>0</v>
      </c>
      <c r="G46" s="2264"/>
      <c r="H46" s="2310">
        <f>IF(OR($F$20=$R$6,$F$20=$U$6),CO2データ!I222,IF($F$20=$S$6,CO2データ!L222,CO2データ!O222))</f>
        <v>0.105</v>
      </c>
      <c r="I46" s="2310">
        <f>IF(OR($F$20=$R$6,$F$20=$U$6),CO2データ!J222,IF($F$20=$S$6,CO2データ!M222,CO2データ!P222))</f>
        <v>0</v>
      </c>
      <c r="J46" s="2310">
        <f>IF(OR($F$20=$R$6,$F$20=$U$6),CO2データ!K222,IF($F$20=$S$6,CO2データ!N222,CO2データ!Q222))</f>
        <v>0.105</v>
      </c>
      <c r="K46" s="2338"/>
      <c r="L46" s="2336">
        <f t="shared" si="8"/>
        <v>7.3499999999999996E-2</v>
      </c>
      <c r="M46" s="2338"/>
      <c r="N46" s="2336"/>
      <c r="O46" s="2340">
        <f t="shared" si="9"/>
        <v>0.105</v>
      </c>
      <c r="P46" t="s">
        <v>132</v>
      </c>
    </row>
    <row r="47" spans="2:21" hidden="1">
      <c r="B47" s="2334"/>
      <c r="C47" s="2264"/>
      <c r="D47" s="2264"/>
      <c r="E47" s="2264"/>
      <c r="F47" s="2310">
        <f>$F$44</f>
        <v>0</v>
      </c>
      <c r="G47" s="2264"/>
      <c r="H47" s="2310">
        <f>IF(OR($F$20=$R$6,$F$20=$U$6),CO2データ!I223,IF($F$20=$S$6,CO2データ!L223,CO2データ!O223))</f>
        <v>0</v>
      </c>
      <c r="I47" s="2310">
        <f>IF(OR($F$20=$R$6,$F$20=$U$6),CO2データ!J223,IF($F$20=$S$6,CO2データ!M223,CO2データ!P223))</f>
        <v>0</v>
      </c>
      <c r="J47" s="2310">
        <f>IF(OR($F$20=$R$6,$F$20=$U$6),CO2データ!K223,IF($F$20=$S$6,CO2データ!N223,CO2データ!Q223))</f>
        <v>0</v>
      </c>
      <c r="K47" s="2338"/>
      <c r="L47" s="2336">
        <f t="shared" si="8"/>
        <v>0</v>
      </c>
      <c r="M47" s="2338"/>
      <c r="N47" s="2336"/>
      <c r="O47" s="2340">
        <f t="shared" si="9"/>
        <v>0</v>
      </c>
      <c r="P47" t="s">
        <v>132</v>
      </c>
    </row>
    <row r="48" spans="2:21" hidden="1">
      <c r="B48" s="2334"/>
      <c r="C48" s="2264"/>
      <c r="D48" s="2264"/>
      <c r="E48" s="2264"/>
      <c r="F48" s="2310">
        <f>$F$44</f>
        <v>0</v>
      </c>
      <c r="G48" s="2264"/>
      <c r="H48" s="2310">
        <f>IF(OR($F$20=$R$6,$F$20=$U$6),CO2データ!I224,IF($F$20=$S$6,CO2データ!L224,CO2データ!O224))</f>
        <v>4.4999999999999998E-2</v>
      </c>
      <c r="I48" s="2310">
        <f>IF(OR($F$20=$R$6,$F$20=$U$6),CO2データ!J224,IF($F$20=$S$6,CO2データ!M224,CO2データ!P224))</f>
        <v>0</v>
      </c>
      <c r="J48" s="2310">
        <f>IF(OR($F$20=$R$6,$F$20=$U$6),CO2データ!K224,IF($F$20=$S$6,CO2データ!N224,CO2データ!Q224))</f>
        <v>4.4999999999999998E-2</v>
      </c>
      <c r="K48" s="2338"/>
      <c r="L48" s="2336">
        <f t="shared" si="8"/>
        <v>3.15E-2</v>
      </c>
      <c r="M48" s="2338"/>
      <c r="N48" s="2336"/>
      <c r="O48" s="2340">
        <f t="shared" si="9"/>
        <v>4.4999999999999998E-2</v>
      </c>
      <c r="P48" t="s">
        <v>132</v>
      </c>
    </row>
    <row r="49" spans="2:16" hidden="1">
      <c r="B49" s="2334"/>
      <c r="C49" s="2264"/>
      <c r="D49" s="2264"/>
      <c r="E49" s="2264"/>
      <c r="F49" s="2310">
        <f>$F$44</f>
        <v>0</v>
      </c>
      <c r="G49" s="2264"/>
      <c r="H49" s="2310">
        <f>IF(OR($F$20=$R$6,$F$20=$U$6),CO2データ!I225,IF($F$20=$S$6,CO2データ!L225,CO2データ!O225))</f>
        <v>2E-3</v>
      </c>
      <c r="I49" s="2310">
        <f>IF(OR($F$20=$R$6,$F$20=$U$6),CO2データ!J225,IF($F$20=$S$6,CO2データ!M225,CO2データ!P225))</f>
        <v>0</v>
      </c>
      <c r="J49" s="2310">
        <f>IF(OR($F$20=$R$6,$F$20=$U$6),CO2データ!K225,IF($F$20=$S$6,CO2データ!N225,CO2データ!Q225))</f>
        <v>2.3999999999999998E-3</v>
      </c>
      <c r="K49" s="2338"/>
      <c r="L49" s="2336">
        <f t="shared" si="8"/>
        <v>1.4000000000000002E-3</v>
      </c>
      <c r="M49" s="2338"/>
      <c r="N49" s="2336"/>
      <c r="O49" s="2340">
        <f t="shared" si="9"/>
        <v>2E-3</v>
      </c>
      <c r="P49" t="s">
        <v>132</v>
      </c>
    </row>
    <row r="50" spans="2:16" hidden="1">
      <c r="B50" s="2334"/>
      <c r="C50" s="2264"/>
      <c r="D50" s="2264" t="s">
        <v>207</v>
      </c>
      <c r="E50" s="2264"/>
      <c r="F50" s="2310">
        <f>F12</f>
        <v>0.3</v>
      </c>
      <c r="G50" s="2264"/>
      <c r="H50" s="2310">
        <f>IF(OR($F$20=$R$6,$F$20=$U$6),CO2データ!I226,IF($F$20=$S$6,CO2データ!L226,CO2データ!O226))</f>
        <v>0.34200000000000003</v>
      </c>
      <c r="I50" s="2310">
        <f>IF(OR($F$20=$R$6,$F$20=$U$6),CO2データ!J226,IF($F$20=$S$6,CO2データ!M226,CO2データ!P226))</f>
        <v>0</v>
      </c>
      <c r="J50" s="2310">
        <f>IF(OR($F$20=$R$6,$F$20=$U$6),CO2データ!K226,IF($F$20=$S$6,CO2データ!N226,CO2データ!Q226))</f>
        <v>0</v>
      </c>
      <c r="K50" s="2338"/>
      <c r="L50" s="2336">
        <f t="shared" si="8"/>
        <v>0.2394</v>
      </c>
      <c r="M50" s="2338"/>
      <c r="N50" s="2336"/>
      <c r="O50" s="2340">
        <f t="shared" si="9"/>
        <v>0.34200000000000003</v>
      </c>
      <c r="P50" t="s">
        <v>1457</v>
      </c>
    </row>
    <row r="51" spans="2:16" hidden="1">
      <c r="B51" s="2334"/>
      <c r="C51" s="2264"/>
      <c r="D51" s="2264"/>
      <c r="E51" s="2264"/>
      <c r="F51" s="2310">
        <f>$F$50</f>
        <v>0.3</v>
      </c>
      <c r="G51" s="2264"/>
      <c r="H51" s="2310">
        <f>IF(OR($F$20=$R$6,$F$20=$U$6),CO2データ!I227,IF($F$20=$S$6,CO2データ!L227,CO2データ!O227))</f>
        <v>0</v>
      </c>
      <c r="I51" s="2310">
        <f>IF(OR($F$20=$R$6,$F$20=$U$6),CO2データ!J227,IF($F$20=$S$6,CO2データ!M227,CO2データ!P227))</f>
        <v>0</v>
      </c>
      <c r="J51" s="2310">
        <f>IF(OR($F$20=$R$6,$F$20=$U$6),CO2データ!K227,IF($F$20=$S$6,CO2データ!N227,CO2データ!Q227))</f>
        <v>0.34200000000000003</v>
      </c>
      <c r="K51" s="2338"/>
      <c r="L51" s="2336">
        <f t="shared" si="8"/>
        <v>0</v>
      </c>
      <c r="M51" s="2338"/>
      <c r="N51" s="2336"/>
      <c r="O51" s="2340">
        <f t="shared" si="9"/>
        <v>0</v>
      </c>
      <c r="P51" t="s">
        <v>205</v>
      </c>
    </row>
    <row r="52" spans="2:16" hidden="1">
      <c r="B52" s="2334"/>
      <c r="C52" s="2264"/>
      <c r="D52" s="2264"/>
      <c r="E52" s="2264"/>
      <c r="F52" s="2310">
        <f>$F$50</f>
        <v>0.3</v>
      </c>
      <c r="G52" s="2264"/>
      <c r="H52" s="2310">
        <f>IF(OR($F$20=$R$6,$F$20=$U$6),CO2データ!I228,IF($F$20=$S$6,CO2データ!L228,CO2データ!O228))</f>
        <v>7.1999999999999995E-2</v>
      </c>
      <c r="I52" s="2310">
        <f>IF(OR($F$20=$R$6,$F$20=$U$6),CO2データ!J228,IF($F$20=$S$6,CO2データ!M228,CO2データ!P228))</f>
        <v>0</v>
      </c>
      <c r="J52" s="2310">
        <f>IF(OR($F$20=$R$6,$F$20=$U$6),CO2データ!K228,IF($F$20=$S$6,CO2データ!N228,CO2データ!Q228))</f>
        <v>7.1999999999999995E-2</v>
      </c>
      <c r="K52" s="2338"/>
      <c r="L52" s="2336">
        <f t="shared" si="8"/>
        <v>5.04E-2</v>
      </c>
      <c r="M52" s="2338"/>
      <c r="N52" s="2336"/>
      <c r="O52" s="2340">
        <f t="shared" si="9"/>
        <v>7.1999999999999995E-2</v>
      </c>
      <c r="P52" t="s">
        <v>132</v>
      </c>
    </row>
    <row r="53" spans="2:16" hidden="1">
      <c r="B53" s="2334"/>
      <c r="C53" s="2264"/>
      <c r="D53" s="2264"/>
      <c r="E53" s="2264"/>
      <c r="F53" s="2310">
        <f>$F$50</f>
        <v>0.3</v>
      </c>
      <c r="G53" s="2264"/>
      <c r="H53" s="2310">
        <f>IF(OR($F$20=$R$6,$F$20=$U$6),CO2データ!I229,IF($F$20=$S$6,CO2データ!L229,CO2データ!O229))</f>
        <v>0</v>
      </c>
      <c r="I53" s="2310">
        <f>IF(OR($F$20=$R$6,$F$20=$U$6),CO2データ!J229,IF($F$20=$S$6,CO2データ!M229,CO2データ!P229))</f>
        <v>0</v>
      </c>
      <c r="J53" s="2310">
        <f>IF(OR($F$20=$R$6,$F$20=$U$6),CO2データ!K229,IF($F$20=$S$6,CO2データ!N229,CO2データ!Q229))</f>
        <v>0</v>
      </c>
      <c r="K53" s="2338"/>
      <c r="L53" s="2336">
        <f t="shared" si="8"/>
        <v>0</v>
      </c>
      <c r="M53" s="2338"/>
      <c r="N53" s="2336"/>
      <c r="O53" s="2340">
        <f t="shared" si="9"/>
        <v>0</v>
      </c>
      <c r="P53" t="s">
        <v>132</v>
      </c>
    </row>
    <row r="54" spans="2:16" hidden="1">
      <c r="B54" s="2334"/>
      <c r="C54" s="2264"/>
      <c r="D54" s="2264"/>
      <c r="E54" s="2264"/>
      <c r="F54" s="2310">
        <f>$F$50</f>
        <v>0.3</v>
      </c>
      <c r="G54" s="2264"/>
      <c r="H54" s="2310">
        <f>IF(OR($F$20=$R$6,$F$20=$U$6),CO2データ!I230,IF($F$20=$S$6,CO2データ!L230,CO2データ!O230))</f>
        <v>2.4E-2</v>
      </c>
      <c r="I54" s="2310">
        <f>IF(OR($F$20=$R$6,$F$20=$U$6),CO2データ!J230,IF($F$20=$S$6,CO2データ!M230,CO2データ!P230))</f>
        <v>0</v>
      </c>
      <c r="J54" s="2310">
        <f>IF(OR($F$20=$R$6,$F$20=$U$6),CO2データ!K230,IF($F$20=$S$6,CO2データ!N230,CO2データ!Q230))</f>
        <v>2.4E-2</v>
      </c>
      <c r="K54" s="2338"/>
      <c r="L54" s="2336">
        <f t="shared" si="8"/>
        <v>1.6800000000000002E-2</v>
      </c>
      <c r="M54" s="2338"/>
      <c r="N54" s="2336"/>
      <c r="O54" s="2340">
        <f t="shared" si="9"/>
        <v>2.4E-2</v>
      </c>
      <c r="P54" t="s">
        <v>132</v>
      </c>
    </row>
    <row r="55" spans="2:16" hidden="1">
      <c r="B55" s="2334"/>
      <c r="C55" s="2264"/>
      <c r="D55" s="2264"/>
      <c r="E55" s="2264"/>
      <c r="F55" s="2310">
        <f>$F$50</f>
        <v>0.3</v>
      </c>
      <c r="G55" s="2264"/>
      <c r="H55" s="2310">
        <f>IF(OR($F$20=$R$6,$F$20=$U$6),CO2データ!I231,IF($F$20=$S$6,CO2データ!L231,CO2データ!O231))</f>
        <v>2E-3</v>
      </c>
      <c r="I55" s="2310">
        <f>IF(OR($F$20=$R$6,$F$20=$U$6),CO2データ!J231,IF($F$20=$S$6,CO2データ!M231,CO2データ!P231))</f>
        <v>0</v>
      </c>
      <c r="J55" s="2310">
        <f>IF(OR($F$20=$R$6,$F$20=$U$6),CO2データ!K231,IF($F$20=$S$6,CO2データ!N231,CO2データ!Q231))</f>
        <v>1.8600000000000001E-3</v>
      </c>
      <c r="K55" s="2338"/>
      <c r="L55" s="2336">
        <f t="shared" si="8"/>
        <v>1.4000000000000002E-3</v>
      </c>
      <c r="M55" s="2338"/>
      <c r="N55" s="2336"/>
      <c r="O55" s="2340">
        <f t="shared" si="9"/>
        <v>2E-3</v>
      </c>
      <c r="P55" t="s">
        <v>132</v>
      </c>
    </row>
    <row r="56" spans="2:16" hidden="1">
      <c r="B56" s="2334"/>
      <c r="C56" s="2264"/>
      <c r="D56" s="2264" t="s">
        <v>209</v>
      </c>
      <c r="E56" s="2264"/>
      <c r="F56" s="2310">
        <f>F13</f>
        <v>0</v>
      </c>
      <c r="G56" s="2264"/>
      <c r="H56" s="2310">
        <f>IF(OR($F$20=$R$6,$F$20=$U$6),CO2データ!I232,IF($F$20=$S$6,CO2データ!L232,CO2データ!O232))</f>
        <v>0.34200000000000003</v>
      </c>
      <c r="I56" s="2310">
        <f>IF(OR($F$20=$R$6,$F$20=$U$6),CO2データ!J232,IF($F$20=$S$6,CO2データ!M232,CO2データ!P232))</f>
        <v>0</v>
      </c>
      <c r="J56" s="2310">
        <f>IF(OR($F$20=$R$6,$F$20=$U$6),CO2データ!K232,IF($F$20=$S$6,CO2データ!N232,CO2データ!Q232))</f>
        <v>0</v>
      </c>
      <c r="K56" s="2338"/>
      <c r="L56" s="2336">
        <f t="shared" si="8"/>
        <v>0.2394</v>
      </c>
      <c r="M56" s="2338"/>
      <c r="N56" s="2336"/>
      <c r="O56" s="2340">
        <f t="shared" si="9"/>
        <v>0.34200000000000003</v>
      </c>
      <c r="P56" t="s">
        <v>205</v>
      </c>
    </row>
    <row r="57" spans="2:16" hidden="1">
      <c r="B57" s="2334"/>
      <c r="C57" s="2264"/>
      <c r="D57" s="2264"/>
      <c r="E57" s="2264"/>
      <c r="F57" s="2310">
        <f>$F$56</f>
        <v>0</v>
      </c>
      <c r="G57" s="2264"/>
      <c r="H57" s="2310">
        <f>IF(OR($F$20=$R$6,$F$20=$U$6),CO2データ!I233,IF($F$20=$S$6,CO2データ!L233,CO2データ!O233))</f>
        <v>0</v>
      </c>
      <c r="I57" s="2310">
        <f>IF(OR($F$20=$R$6,$F$20=$U$6),CO2データ!J233,IF($F$20=$S$6,CO2データ!M233,CO2データ!P233))</f>
        <v>0</v>
      </c>
      <c r="J57" s="2310">
        <f>IF(OR($F$20=$R$6,$F$20=$U$6),CO2データ!K233,IF($F$20=$S$6,CO2データ!N233,CO2データ!Q233))</f>
        <v>0.34200000000000003</v>
      </c>
      <c r="K57" s="2338"/>
      <c r="L57" s="2336">
        <f t="shared" si="8"/>
        <v>0</v>
      </c>
      <c r="M57" s="2338"/>
      <c r="N57" s="2336"/>
      <c r="O57" s="2340">
        <f t="shared" si="9"/>
        <v>0</v>
      </c>
      <c r="P57" t="s">
        <v>205</v>
      </c>
    </row>
    <row r="58" spans="2:16" hidden="1">
      <c r="B58" s="2334"/>
      <c r="C58" s="2264"/>
      <c r="D58" s="2264"/>
      <c r="E58" s="2264"/>
      <c r="F58" s="2310">
        <f>$F$56</f>
        <v>0</v>
      </c>
      <c r="G58" s="2264"/>
      <c r="H58" s="2310">
        <f>IF(OR($F$20=$R$6,$F$20=$U$6),CO2データ!I234,IF($F$20=$S$6,CO2データ!L234,CO2データ!O234))</f>
        <v>7.1999999999999995E-2</v>
      </c>
      <c r="I58" s="2310">
        <f>IF(OR($F$20=$R$6,$F$20=$U$6),CO2データ!J234,IF($F$20=$S$6,CO2データ!M234,CO2データ!P234))</f>
        <v>0</v>
      </c>
      <c r="J58" s="2310">
        <f>IF(OR($F$20=$R$6,$F$20=$U$6),CO2データ!K234,IF($F$20=$S$6,CO2データ!N234,CO2データ!Q234))</f>
        <v>7.1999999999999995E-2</v>
      </c>
      <c r="K58" s="2338"/>
      <c r="L58" s="2336">
        <f t="shared" si="8"/>
        <v>5.04E-2</v>
      </c>
      <c r="M58" s="2338"/>
      <c r="N58" s="2336"/>
      <c r="O58" s="2340">
        <f t="shared" si="9"/>
        <v>7.1999999999999995E-2</v>
      </c>
      <c r="P58" t="s">
        <v>132</v>
      </c>
    </row>
    <row r="59" spans="2:16" hidden="1">
      <c r="B59" s="2334"/>
      <c r="C59" s="2264"/>
      <c r="D59" s="2264"/>
      <c r="E59" s="2264"/>
      <c r="F59" s="2310">
        <f>$F$56</f>
        <v>0</v>
      </c>
      <c r="G59" s="2264"/>
      <c r="H59" s="2310">
        <f>IF(OR($F$20=$R$6,$F$20=$U$6),CO2データ!I235,IF($F$20=$S$6,CO2データ!L235,CO2データ!O235))</f>
        <v>0</v>
      </c>
      <c r="I59" s="2310">
        <f>IF(OR($F$20=$R$6,$F$20=$U$6),CO2データ!J235,IF($F$20=$S$6,CO2データ!M235,CO2データ!P235))</f>
        <v>0</v>
      </c>
      <c r="J59" s="2310">
        <f>IF(OR($F$20=$R$6,$F$20=$U$6),CO2データ!K235,IF($F$20=$S$6,CO2データ!N235,CO2データ!Q235))</f>
        <v>0</v>
      </c>
      <c r="K59" s="2338"/>
      <c r="L59" s="2336">
        <f t="shared" si="8"/>
        <v>0</v>
      </c>
      <c r="M59" s="2338"/>
      <c r="N59" s="2336"/>
      <c r="O59" s="2340">
        <f t="shared" si="9"/>
        <v>0</v>
      </c>
      <c r="P59" t="s">
        <v>132</v>
      </c>
    </row>
    <row r="60" spans="2:16" hidden="1">
      <c r="B60" s="2334"/>
      <c r="C60" s="2264"/>
      <c r="D60" s="2264"/>
      <c r="E60" s="2264"/>
      <c r="F60" s="2310">
        <f>$F$56</f>
        <v>0</v>
      </c>
      <c r="G60" s="2264"/>
      <c r="H60" s="2310">
        <f>IF(OR($F$20=$R$6,$F$20=$U$6),CO2データ!I236,IF($F$20=$S$6,CO2データ!L236,CO2データ!O236))</f>
        <v>2.4E-2</v>
      </c>
      <c r="I60" s="2310">
        <f>IF(OR($F$20=$R$6,$F$20=$U$6),CO2データ!J236,IF($F$20=$S$6,CO2データ!M236,CO2データ!P236))</f>
        <v>0</v>
      </c>
      <c r="J60" s="2310">
        <f>IF(OR($F$20=$R$6,$F$20=$U$6),CO2データ!K236,IF($F$20=$S$6,CO2データ!N236,CO2データ!Q236))</f>
        <v>2.4E-2</v>
      </c>
      <c r="K60" s="2338"/>
      <c r="L60" s="2336">
        <f t="shared" si="8"/>
        <v>1.6800000000000002E-2</v>
      </c>
      <c r="M60" s="2338"/>
      <c r="N60" s="2336"/>
      <c r="O60" s="2340">
        <f t="shared" si="9"/>
        <v>2.4E-2</v>
      </c>
      <c r="P60" t="s">
        <v>132</v>
      </c>
    </row>
    <row r="61" spans="2:16" hidden="1">
      <c r="B61" s="2334"/>
      <c r="C61" s="2264"/>
      <c r="D61" s="2264"/>
      <c r="E61" s="2264"/>
      <c r="F61" s="2310">
        <f>$F$56</f>
        <v>0</v>
      </c>
      <c r="G61" s="2264"/>
      <c r="H61" s="2310">
        <f>IF(OR($F$20=$R$6,$F$20=$U$6),CO2データ!I237,IF($F$20=$S$6,CO2データ!L237,CO2データ!O237))</f>
        <v>2E-3</v>
      </c>
      <c r="I61" s="2310">
        <f>IF(OR($F$20=$R$6,$F$20=$U$6),CO2データ!J237,IF($F$20=$S$6,CO2データ!M237,CO2データ!P237))</f>
        <v>0</v>
      </c>
      <c r="J61" s="2310">
        <f>IF(OR($F$20=$R$6,$F$20=$U$6),CO2データ!K237,IF($F$20=$S$6,CO2データ!N237,CO2データ!Q237))</f>
        <v>1.8600000000000001E-3</v>
      </c>
      <c r="K61" s="2338"/>
      <c r="L61" s="2336">
        <f t="shared" si="8"/>
        <v>1.4000000000000002E-3</v>
      </c>
      <c r="M61" s="2338"/>
      <c r="N61" s="2336"/>
      <c r="O61" s="2340">
        <f t="shared" si="9"/>
        <v>2E-3</v>
      </c>
      <c r="P61" t="s">
        <v>132</v>
      </c>
    </row>
    <row r="62" spans="2:16" hidden="1">
      <c r="B62" s="2334"/>
      <c r="C62" s="2264"/>
      <c r="D62" s="2264" t="s">
        <v>210</v>
      </c>
      <c r="E62" s="2264"/>
      <c r="F62" s="2310">
        <f>F14</f>
        <v>0</v>
      </c>
      <c r="G62" s="2264"/>
      <c r="H62" s="2310">
        <f>IF(OR($F$20=$R$6,$F$20=$U$6),CO2データ!I238,IF($F$20=$S$6,CO2データ!L238,CO2データ!O238))</f>
        <v>0.34499999999999997</v>
      </c>
      <c r="I62" s="2310">
        <f>IF(OR($F$20=$R$6,$F$20=$U$6),CO2データ!J238,IF($F$20=$S$6,CO2データ!M238,CO2データ!P238))</f>
        <v>0</v>
      </c>
      <c r="J62" s="2310">
        <f>IF(OR($F$20=$R$6,$F$20=$U$6),CO2データ!K238,IF($F$20=$S$6,CO2データ!N238,CO2データ!Q238))</f>
        <v>0</v>
      </c>
      <c r="K62" s="2338"/>
      <c r="L62" s="2336">
        <f t="shared" si="8"/>
        <v>0.24149999999999999</v>
      </c>
      <c r="M62" s="2338"/>
      <c r="N62" s="2336"/>
      <c r="O62" s="2340">
        <f t="shared" si="9"/>
        <v>0.34499999999999997</v>
      </c>
      <c r="P62" t="s">
        <v>205</v>
      </c>
    </row>
    <row r="63" spans="2:16" hidden="1">
      <c r="B63" s="2334"/>
      <c r="C63" s="2264"/>
      <c r="D63" s="2264"/>
      <c r="E63" s="2264"/>
      <c r="F63" s="2310">
        <f>$F$62</f>
        <v>0</v>
      </c>
      <c r="G63" s="2264"/>
      <c r="H63" s="2310">
        <f>IF(OR($F$20=$R$6,$F$20=$U$6),CO2データ!I239,IF($F$20=$S$6,CO2データ!L239,CO2データ!O239))</f>
        <v>0</v>
      </c>
      <c r="I63" s="2310">
        <f>IF(OR($F$20=$R$6,$F$20=$U$6),CO2データ!J239,IF($F$20=$S$6,CO2データ!M239,CO2データ!P239))</f>
        <v>0</v>
      </c>
      <c r="J63" s="2310">
        <f>IF(OR($F$20=$R$6,$F$20=$U$6),CO2データ!K239,IF($F$20=$S$6,CO2データ!N239,CO2データ!Q239))</f>
        <v>0.34499999999999997</v>
      </c>
      <c r="K63" s="2338"/>
      <c r="L63" s="2336">
        <f t="shared" si="8"/>
        <v>0</v>
      </c>
      <c r="M63" s="2338"/>
      <c r="N63" s="2336"/>
      <c r="O63" s="2340">
        <f t="shared" si="9"/>
        <v>0</v>
      </c>
      <c r="P63" t="s">
        <v>205</v>
      </c>
    </row>
    <row r="64" spans="2:16" hidden="1">
      <c r="B64" s="2334"/>
      <c r="C64" s="2264"/>
      <c r="D64" s="2264"/>
      <c r="E64" s="2264"/>
      <c r="F64" s="2310">
        <f>$F$62</f>
        <v>0</v>
      </c>
      <c r="G64" s="2264"/>
      <c r="H64" s="2310">
        <f>IF(OR($F$20=$R$6,$F$20=$U$6),CO2データ!I240,IF($F$20=$S$6,CO2データ!L240,CO2データ!O240))</f>
        <v>0.13900000000000001</v>
      </c>
      <c r="I64" s="2310">
        <f>IF(OR($F$20=$R$6,$F$20=$U$6),CO2データ!J240,IF($F$20=$S$6,CO2データ!M240,CO2データ!P240))</f>
        <v>0</v>
      </c>
      <c r="J64" s="2310">
        <f>IF(OR($F$20=$R$6,$F$20=$U$6),CO2データ!K240,IF($F$20=$S$6,CO2データ!N240,CO2データ!Q240))</f>
        <v>0.13900000000000001</v>
      </c>
      <c r="K64" s="2338"/>
      <c r="L64" s="2336">
        <f t="shared" si="8"/>
        <v>9.7300000000000011E-2</v>
      </c>
      <c r="M64" s="2338"/>
      <c r="N64" s="2336"/>
      <c r="O64" s="2340">
        <f t="shared" si="9"/>
        <v>0.13900000000000001</v>
      </c>
      <c r="P64" t="s">
        <v>132</v>
      </c>
    </row>
    <row r="65" spans="2:16" hidden="1">
      <c r="B65" s="2334"/>
      <c r="C65" s="2264"/>
      <c r="D65" s="2264"/>
      <c r="E65" s="2264"/>
      <c r="F65" s="2310">
        <f>$F$62</f>
        <v>0</v>
      </c>
      <c r="G65" s="2264"/>
      <c r="H65" s="2310">
        <f>IF(OR($F$20=$R$6,$F$20=$U$6),CO2データ!I241,IF($F$20=$S$6,CO2データ!L241,CO2データ!O241))</f>
        <v>0</v>
      </c>
      <c r="I65" s="2310">
        <f>IF(OR($F$20=$R$6,$F$20=$U$6),CO2データ!J241,IF($F$20=$S$6,CO2データ!M241,CO2データ!P241))</f>
        <v>0</v>
      </c>
      <c r="J65" s="2310">
        <f>IF(OR($F$20=$R$6,$F$20=$U$6),CO2データ!K241,IF($F$20=$S$6,CO2データ!N241,CO2データ!Q241))</f>
        <v>0</v>
      </c>
      <c r="K65" s="2338"/>
      <c r="L65" s="2336">
        <f t="shared" si="8"/>
        <v>0</v>
      </c>
      <c r="M65" s="2338"/>
      <c r="N65" s="2336"/>
      <c r="O65" s="2340">
        <f t="shared" si="9"/>
        <v>0</v>
      </c>
      <c r="P65" t="s">
        <v>132</v>
      </c>
    </row>
    <row r="66" spans="2:16" hidden="1">
      <c r="B66" s="2334"/>
      <c r="C66" s="2264"/>
      <c r="D66" s="2264"/>
      <c r="E66" s="2264"/>
      <c r="F66" s="2310">
        <f>$F$62</f>
        <v>0</v>
      </c>
      <c r="G66" s="2264"/>
      <c r="H66" s="2310">
        <f>IF(OR($F$20=$R$6,$F$20=$U$6),CO2データ!I242,IF($F$20=$S$6,CO2データ!L242,CO2データ!O242))</f>
        <v>0.04</v>
      </c>
      <c r="I66" s="2310">
        <f>IF(OR($F$20=$R$6,$F$20=$U$6),CO2データ!J242,IF($F$20=$S$6,CO2データ!M242,CO2データ!P242))</f>
        <v>0</v>
      </c>
      <c r="J66" s="2310">
        <f>IF(OR($F$20=$R$6,$F$20=$U$6),CO2データ!K242,IF($F$20=$S$6,CO2データ!N242,CO2データ!Q242))</f>
        <v>0.04</v>
      </c>
      <c r="K66" s="2338"/>
      <c r="L66" s="2336">
        <f t="shared" si="8"/>
        <v>2.8000000000000001E-2</v>
      </c>
      <c r="M66" s="2338"/>
      <c r="N66" s="2336"/>
      <c r="O66" s="2340">
        <f t="shared" si="9"/>
        <v>0.04</v>
      </c>
      <c r="P66" t="s">
        <v>132</v>
      </c>
    </row>
    <row r="67" spans="2:16" hidden="1">
      <c r="B67" s="2334"/>
      <c r="C67" s="2264"/>
      <c r="D67" s="2264"/>
      <c r="E67" s="2264"/>
      <c r="F67" s="2310">
        <f>$F$62</f>
        <v>0</v>
      </c>
      <c r="G67" s="2264"/>
      <c r="H67" s="2310">
        <f>IF(OR($F$20=$R$6,$F$20=$U$6),CO2データ!I243,IF($F$20=$S$6,CO2データ!L243,CO2データ!O243))</f>
        <v>4.0000000000000001E-3</v>
      </c>
      <c r="I67" s="2310">
        <f>IF(OR($F$20=$R$6,$F$20=$U$6),CO2データ!J243,IF($F$20=$S$6,CO2データ!M243,CO2データ!P243))</f>
        <v>0</v>
      </c>
      <c r="J67" s="2310">
        <f>IF(OR($F$20=$R$6,$F$20=$U$6),CO2データ!K243,IF($F$20=$S$6,CO2データ!N243,CO2データ!Q243))</f>
        <v>4.3499999999999997E-3</v>
      </c>
      <c r="K67" s="2338"/>
      <c r="L67" s="2336">
        <f t="shared" si="8"/>
        <v>2.8000000000000004E-3</v>
      </c>
      <c r="M67" s="2338"/>
      <c r="N67" s="2336"/>
      <c r="O67" s="2340">
        <f t="shared" si="9"/>
        <v>4.0000000000000001E-3</v>
      </c>
      <c r="P67" t="s">
        <v>132</v>
      </c>
    </row>
    <row r="68" spans="2:16" hidden="1">
      <c r="B68" s="2334"/>
      <c r="C68" s="2264"/>
      <c r="D68" s="2264" t="s">
        <v>555</v>
      </c>
      <c r="E68" s="2264"/>
      <c r="F68" s="2310">
        <f>F15</f>
        <v>0</v>
      </c>
      <c r="G68" s="2264"/>
      <c r="H68" s="2310">
        <f>IF(OR($F$20=$R$6,$F$20=$U$6),CO2データ!I244,IF($F$20=$S$6,CO2データ!L244,CO2データ!O244))</f>
        <v>0.35399999999999998</v>
      </c>
      <c r="I68" s="2310">
        <f>IF(OR($F$20=$R$6,$F$20=$U$6),CO2データ!J244,IF($F$20=$S$6,CO2データ!M244,CO2データ!P244))</f>
        <v>0</v>
      </c>
      <c r="J68" s="2310">
        <f>IF(OR($F$20=$R$6,$F$20=$U$6),CO2データ!K244,IF($F$20=$S$6,CO2データ!N244,CO2データ!Q244))</f>
        <v>0</v>
      </c>
      <c r="K68" s="2338"/>
      <c r="L68" s="2336">
        <f t="shared" si="8"/>
        <v>0.24779999999999999</v>
      </c>
      <c r="M68" s="2338"/>
      <c r="N68" s="2336"/>
      <c r="O68" s="2340">
        <f t="shared" si="9"/>
        <v>0.35399999999999998</v>
      </c>
      <c r="P68" t="s">
        <v>205</v>
      </c>
    </row>
    <row r="69" spans="2:16" hidden="1">
      <c r="B69" s="2334"/>
      <c r="C69" s="2264"/>
      <c r="D69" s="2264"/>
      <c r="E69" s="2264"/>
      <c r="F69" s="2310">
        <f>$F$68</f>
        <v>0</v>
      </c>
      <c r="G69" s="2264"/>
      <c r="H69" s="2310">
        <f>IF(OR($F$20=$R$6,$F$20=$U$6),CO2データ!I245,IF($F$20=$S$6,CO2データ!L245,CO2データ!O245))</f>
        <v>0</v>
      </c>
      <c r="I69" s="2310">
        <f>IF(OR($F$20=$R$6,$F$20=$U$6),CO2データ!J245,IF($F$20=$S$6,CO2データ!M245,CO2データ!P245))</f>
        <v>0</v>
      </c>
      <c r="J69" s="2310">
        <f>IF(OR($F$20=$R$6,$F$20=$U$6),CO2データ!K245,IF($F$20=$S$6,CO2データ!N245,CO2データ!Q245))</f>
        <v>0.35399999999999998</v>
      </c>
      <c r="K69" s="2338"/>
      <c r="L69" s="2336">
        <f t="shared" si="8"/>
        <v>0</v>
      </c>
      <c r="M69" s="2338"/>
      <c r="N69" s="2336"/>
      <c r="O69" s="2340">
        <f t="shared" si="9"/>
        <v>0</v>
      </c>
      <c r="P69" t="s">
        <v>205</v>
      </c>
    </row>
    <row r="70" spans="2:16" hidden="1">
      <c r="B70" s="2334"/>
      <c r="C70" s="2264"/>
      <c r="D70" s="2264"/>
      <c r="E70" s="2264"/>
      <c r="F70" s="2310">
        <f>$F$68</f>
        <v>0</v>
      </c>
      <c r="G70" s="2264"/>
      <c r="H70" s="2310">
        <f>IF(OR($F$20=$R$6,$F$20=$U$6),CO2データ!I246,IF($F$20=$S$6,CO2データ!L246,CO2データ!O246))</f>
        <v>8.7999999999999995E-2</v>
      </c>
      <c r="I70" s="2310">
        <f>IF(OR($F$20=$R$6,$F$20=$U$6),CO2データ!J246,IF($F$20=$S$6,CO2データ!M246,CO2データ!P246))</f>
        <v>0</v>
      </c>
      <c r="J70" s="2310">
        <f>IF(OR($F$20=$R$6,$F$20=$U$6),CO2データ!K246,IF($F$20=$S$6,CO2データ!N246,CO2データ!Q246))</f>
        <v>8.7999999999999995E-2</v>
      </c>
      <c r="K70" s="2338"/>
      <c r="L70" s="2336">
        <f t="shared" si="8"/>
        <v>6.1600000000000002E-2</v>
      </c>
      <c r="M70" s="2338"/>
      <c r="N70" s="2336"/>
      <c r="O70" s="2340">
        <f t="shared" si="9"/>
        <v>8.7999999999999995E-2</v>
      </c>
      <c r="P70" t="s">
        <v>132</v>
      </c>
    </row>
    <row r="71" spans="2:16" hidden="1">
      <c r="B71" s="2334"/>
      <c r="C71" s="2264"/>
      <c r="D71" s="2264"/>
      <c r="E71" s="2264"/>
      <c r="F71" s="2310">
        <f>$F$68</f>
        <v>0</v>
      </c>
      <c r="G71" s="2264"/>
      <c r="H71" s="2310">
        <f>IF(OR($F$20=$R$6,$F$20=$U$6),CO2データ!I247,IF($F$20=$S$6,CO2データ!L247,CO2データ!O247))</f>
        <v>0</v>
      </c>
      <c r="I71" s="2310">
        <f>IF(OR($F$20=$R$6,$F$20=$U$6),CO2データ!J247,IF($F$20=$S$6,CO2データ!M247,CO2データ!P247))</f>
        <v>0</v>
      </c>
      <c r="J71" s="2310">
        <f>IF(OR($F$20=$R$6,$F$20=$U$6),CO2データ!K247,IF($F$20=$S$6,CO2データ!N247,CO2データ!Q247))</f>
        <v>0</v>
      </c>
      <c r="K71" s="2338"/>
      <c r="L71" s="2336">
        <f t="shared" si="8"/>
        <v>0</v>
      </c>
      <c r="M71" s="2338"/>
      <c r="N71" s="2336"/>
      <c r="O71" s="2340">
        <f t="shared" si="9"/>
        <v>0</v>
      </c>
      <c r="P71" t="s">
        <v>132</v>
      </c>
    </row>
    <row r="72" spans="2:16" hidden="1">
      <c r="B72" s="2334"/>
      <c r="C72" s="2264"/>
      <c r="D72" s="2264"/>
      <c r="E72" s="2264"/>
      <c r="F72" s="2310">
        <f>$F$68</f>
        <v>0</v>
      </c>
      <c r="G72" s="2264"/>
      <c r="H72" s="2310">
        <f>IF(OR($F$20=$R$6,$F$20=$U$6),CO2データ!I248,IF($F$20=$S$6,CO2データ!L248,CO2データ!O248))</f>
        <v>3.1E-2</v>
      </c>
      <c r="I72" s="2310">
        <f>IF(OR($F$20=$R$6,$F$20=$U$6),CO2データ!J248,IF($F$20=$S$6,CO2データ!M248,CO2データ!P248))</f>
        <v>0</v>
      </c>
      <c r="J72" s="2310">
        <f>IF(OR($F$20=$R$6,$F$20=$U$6),CO2データ!K248,IF($F$20=$S$6,CO2データ!N248,CO2データ!Q248))</f>
        <v>3.1E-2</v>
      </c>
      <c r="K72" s="2338"/>
      <c r="L72" s="2336">
        <f t="shared" si="8"/>
        <v>2.1700000000000001E-2</v>
      </c>
      <c r="M72" s="2338"/>
      <c r="N72" s="2336"/>
      <c r="O72" s="2340">
        <f t="shared" si="9"/>
        <v>3.1E-2</v>
      </c>
      <c r="P72" t="s">
        <v>132</v>
      </c>
    </row>
    <row r="73" spans="2:16" hidden="1">
      <c r="B73" s="2334"/>
      <c r="C73" s="2264"/>
      <c r="D73" s="2264"/>
      <c r="E73" s="2264"/>
      <c r="F73" s="2310">
        <f>$F$68</f>
        <v>0</v>
      </c>
      <c r="G73" s="2264"/>
      <c r="H73" s="2310">
        <f>IF(OR($F$20=$R$6,$F$20=$U$6),CO2データ!I249,IF($F$20=$S$6,CO2データ!L249,CO2データ!O249))</f>
        <v>2E-3</v>
      </c>
      <c r="I73" s="2310">
        <f>IF(OR($F$20=$R$6,$F$20=$U$6),CO2データ!J249,IF($F$20=$S$6,CO2データ!M249,CO2データ!P249))</f>
        <v>0</v>
      </c>
      <c r="J73" s="2310">
        <f>IF(OR($F$20=$R$6,$F$20=$U$6),CO2データ!K249,IF($F$20=$S$6,CO2データ!N249,CO2データ!Q249))</f>
        <v>2.0999999999999999E-3</v>
      </c>
      <c r="K73" s="2338"/>
      <c r="L73" s="2336">
        <f t="shared" si="8"/>
        <v>1.4000000000000002E-3</v>
      </c>
      <c r="M73" s="2338"/>
      <c r="N73" s="2336"/>
      <c r="O73" s="2340">
        <f t="shared" si="9"/>
        <v>2E-3</v>
      </c>
      <c r="P73" t="s">
        <v>132</v>
      </c>
    </row>
    <row r="74" spans="2:16" hidden="1">
      <c r="B74" s="2334"/>
      <c r="C74" s="2264"/>
      <c r="D74" s="2264" t="s">
        <v>211</v>
      </c>
      <c r="E74" s="2264"/>
      <c r="F74" s="2310">
        <f>F16</f>
        <v>0</v>
      </c>
      <c r="G74" s="2264"/>
      <c r="H74" s="2310">
        <f>IF(OR($F$20=$R$6,$F$20=$U$6),CO2データ!I250,IF($F$20=$S$6,CO2データ!L250,CO2データ!O250))</f>
        <v>0.317</v>
      </c>
      <c r="I74" s="2310">
        <f>IF(OR($F$20=$R$6,$F$20=$U$6),CO2データ!J250,IF($F$20=$S$6,CO2データ!M250,CO2データ!P250))</f>
        <v>0</v>
      </c>
      <c r="J74" s="2310">
        <f>IF(OR($F$20=$R$6,$F$20=$U$6),CO2データ!K250,IF($F$20=$S$6,CO2データ!N250,CO2データ!Q250))</f>
        <v>0</v>
      </c>
      <c r="K74" s="2338"/>
      <c r="L74" s="2336">
        <f t="shared" si="8"/>
        <v>0.22189999999999999</v>
      </c>
      <c r="M74" s="2338"/>
      <c r="N74" s="2336"/>
      <c r="O74" s="2340">
        <f t="shared" si="9"/>
        <v>0.317</v>
      </c>
      <c r="P74" t="s">
        <v>205</v>
      </c>
    </row>
    <row r="75" spans="2:16" hidden="1">
      <c r="B75" s="2334"/>
      <c r="C75" s="2264"/>
      <c r="D75" s="2264"/>
      <c r="E75" s="2264"/>
      <c r="F75" s="2310">
        <f>$F$74</f>
        <v>0</v>
      </c>
      <c r="G75" s="2264"/>
      <c r="H75" s="2310">
        <f>IF(OR($F$20=$R$6,$F$20=$U$6),CO2データ!I251,IF($F$20=$S$6,CO2データ!L251,CO2データ!O251))</f>
        <v>0</v>
      </c>
      <c r="I75" s="2310">
        <f>IF(OR($F$20=$R$6,$F$20=$U$6),CO2データ!J251,IF($F$20=$S$6,CO2データ!M251,CO2データ!P251))</f>
        <v>0</v>
      </c>
      <c r="J75" s="2310">
        <f>IF(OR($F$20=$R$6,$F$20=$U$6),CO2データ!K251,IF($F$20=$S$6,CO2データ!N251,CO2データ!Q251))</f>
        <v>0.317</v>
      </c>
      <c r="K75" s="2338"/>
      <c r="L75" s="2336">
        <f t="shared" si="8"/>
        <v>0</v>
      </c>
      <c r="M75" s="2338"/>
      <c r="N75" s="2336"/>
      <c r="O75" s="2340">
        <f t="shared" si="9"/>
        <v>0</v>
      </c>
      <c r="P75" t="s">
        <v>205</v>
      </c>
    </row>
    <row r="76" spans="2:16" hidden="1">
      <c r="B76" s="2334"/>
      <c r="C76" s="2264"/>
      <c r="D76" s="2264"/>
      <c r="E76" s="2264"/>
      <c r="F76" s="2310">
        <f>$F$74</f>
        <v>0</v>
      </c>
      <c r="G76" s="2264"/>
      <c r="H76" s="2310">
        <f>IF(OR($F$20=$R$6,$F$20=$U$6),CO2データ!I252,IF($F$20=$S$6,CO2データ!L252,CO2データ!O252))</f>
        <v>7.3999999999999996E-2</v>
      </c>
      <c r="I76" s="2310">
        <f>IF(OR($F$20=$R$6,$F$20=$U$6),CO2データ!J252,IF($F$20=$S$6,CO2データ!M252,CO2データ!P252))</f>
        <v>0</v>
      </c>
      <c r="J76" s="2310">
        <f>IF(OR($F$20=$R$6,$F$20=$U$6),CO2データ!K252,IF($F$20=$S$6,CO2データ!N252,CO2データ!Q252))</f>
        <v>7.3999999999999996E-2</v>
      </c>
      <c r="K76" s="2338"/>
      <c r="L76" s="2336">
        <f t="shared" si="8"/>
        <v>5.1799999999999999E-2</v>
      </c>
      <c r="M76" s="2338"/>
      <c r="N76" s="2336"/>
      <c r="O76" s="2340">
        <f t="shared" si="9"/>
        <v>7.3999999999999996E-2</v>
      </c>
      <c r="P76" t="s">
        <v>132</v>
      </c>
    </row>
    <row r="77" spans="2:16" hidden="1">
      <c r="B77" s="2334"/>
      <c r="C77" s="2264"/>
      <c r="D77" s="2264"/>
      <c r="E77" s="2264"/>
      <c r="F77" s="2310">
        <f>$F$74</f>
        <v>0</v>
      </c>
      <c r="G77" s="2264"/>
      <c r="H77" s="2310">
        <f>IF(OR($F$20=$R$6,$F$20=$U$6),CO2データ!I253,IF($F$20=$S$6,CO2データ!L253,CO2データ!O253))</f>
        <v>0</v>
      </c>
      <c r="I77" s="2310">
        <f>IF(OR($F$20=$R$6,$F$20=$U$6),CO2データ!J253,IF($F$20=$S$6,CO2データ!M253,CO2データ!P253))</f>
        <v>0</v>
      </c>
      <c r="J77" s="2310">
        <f>IF(OR($F$20=$R$6,$F$20=$U$6),CO2データ!K253,IF($F$20=$S$6,CO2データ!N253,CO2データ!Q253))</f>
        <v>0</v>
      </c>
      <c r="K77" s="2338"/>
      <c r="L77" s="2336">
        <f t="shared" si="8"/>
        <v>0</v>
      </c>
      <c r="M77" s="2338"/>
      <c r="N77" s="2336"/>
      <c r="O77" s="2340">
        <f t="shared" si="9"/>
        <v>0</v>
      </c>
      <c r="P77" t="s">
        <v>132</v>
      </c>
    </row>
    <row r="78" spans="2:16" hidden="1">
      <c r="B78" s="2334"/>
      <c r="C78" s="2264"/>
      <c r="D78" s="2264"/>
      <c r="E78" s="2264"/>
      <c r="F78" s="2310">
        <f>$F$74</f>
        <v>0</v>
      </c>
      <c r="G78" s="2264"/>
      <c r="H78" s="2310">
        <f>IF(OR($F$20=$R$6,$F$20=$U$6),CO2データ!I254,IF($F$20=$S$6,CO2データ!L254,CO2データ!O254))</f>
        <v>3.4000000000000002E-2</v>
      </c>
      <c r="I78" s="2310">
        <f>IF(OR($F$20=$R$6,$F$20=$U$6),CO2データ!J254,IF($F$20=$S$6,CO2データ!M254,CO2データ!P254))</f>
        <v>0</v>
      </c>
      <c r="J78" s="2310">
        <f>IF(OR($F$20=$R$6,$F$20=$U$6),CO2データ!K254,IF($F$20=$S$6,CO2データ!N254,CO2データ!Q254))</f>
        <v>3.4000000000000002E-2</v>
      </c>
      <c r="K78" s="2338"/>
      <c r="L78" s="2336">
        <f t="shared" si="8"/>
        <v>2.3800000000000002E-2</v>
      </c>
      <c r="M78" s="2338"/>
      <c r="N78" s="2336"/>
      <c r="O78" s="2340">
        <f t="shared" si="9"/>
        <v>3.4000000000000002E-2</v>
      </c>
      <c r="P78" t="s">
        <v>132</v>
      </c>
    </row>
    <row r="79" spans="2:16" hidden="1">
      <c r="B79" s="2334"/>
      <c r="C79" s="2264"/>
      <c r="D79" s="2264"/>
      <c r="E79" s="2264"/>
      <c r="F79" s="2310">
        <f>$F$74</f>
        <v>0</v>
      </c>
      <c r="G79" s="2264"/>
      <c r="H79" s="2310">
        <f>IF(OR($F$20=$R$6,$F$20=$U$6),CO2データ!I255,IF($F$20=$S$6,CO2データ!L255,CO2データ!O255))</f>
        <v>2E-3</v>
      </c>
      <c r="I79" s="2310">
        <f>IF(OR($F$20=$R$6,$F$20=$U$6),CO2データ!J255,IF($F$20=$S$6,CO2データ!M255,CO2データ!P255))</f>
        <v>0</v>
      </c>
      <c r="J79" s="2310">
        <f>IF(OR($F$20=$R$6,$F$20=$U$6),CO2データ!K255,IF($F$20=$S$6,CO2データ!N255,CO2データ!Q255))</f>
        <v>2E-3</v>
      </c>
      <c r="K79" s="2338"/>
      <c r="L79" s="2336">
        <f t="shared" si="8"/>
        <v>1.4000000000000002E-3</v>
      </c>
      <c r="M79" s="2338"/>
      <c r="N79" s="2336"/>
      <c r="O79" s="2340">
        <f t="shared" si="9"/>
        <v>2E-3</v>
      </c>
      <c r="P79" t="s">
        <v>132</v>
      </c>
    </row>
    <row r="80" spans="2:16" hidden="1">
      <c r="B80" s="2334"/>
      <c r="C80" s="2264"/>
      <c r="D80" s="2264" t="s">
        <v>1458</v>
      </c>
      <c r="E80" s="2264"/>
      <c r="F80" s="2310">
        <f>F17</f>
        <v>0</v>
      </c>
      <c r="G80" s="2264"/>
      <c r="H80" s="2310">
        <f>IF(OR($F$20=$R$6,$F$20=$U$6),CO2データ!I256,IF($F$20=$S$6,CO2データ!L256,CO2データ!O256))</f>
        <v>0.436</v>
      </c>
      <c r="I80" s="2310">
        <f>IF(OR($F$20=$R$6,$F$20=$U$6),CO2データ!J256,IF($F$20=$S$6,CO2データ!M256,CO2データ!P256))</f>
        <v>0</v>
      </c>
      <c r="J80" s="2310">
        <f>IF(OR($F$20=$R$6,$F$20=$U$6),CO2データ!K256,IF($F$20=$S$6,CO2データ!N256,CO2データ!Q256))</f>
        <v>0</v>
      </c>
      <c r="K80" s="2338"/>
      <c r="L80" s="2336">
        <f t="shared" si="8"/>
        <v>0.30520000000000003</v>
      </c>
      <c r="M80" s="2338"/>
      <c r="N80" s="2336"/>
      <c r="O80" s="2340">
        <f t="shared" si="9"/>
        <v>0.436</v>
      </c>
      <c r="P80" t="s">
        <v>205</v>
      </c>
    </row>
    <row r="81" spans="2:16" hidden="1">
      <c r="B81" s="2334"/>
      <c r="C81" s="2264"/>
      <c r="D81" s="2264"/>
      <c r="E81" s="2264"/>
      <c r="F81" s="2310">
        <f>$F$80</f>
        <v>0</v>
      </c>
      <c r="G81" s="2264"/>
      <c r="H81" s="2310">
        <f>IF(OR($F$20=$R$6,$F$20=$U$6),CO2データ!I257,IF($F$20=$S$6,CO2データ!L257,CO2データ!O257))</f>
        <v>0</v>
      </c>
      <c r="I81" s="2310">
        <f>IF(OR($F$20=$R$6,$F$20=$U$6),CO2データ!J257,IF($F$20=$S$6,CO2データ!M257,CO2データ!P257))</f>
        <v>0</v>
      </c>
      <c r="J81" s="2310">
        <f>IF(OR($F$20=$R$6,$F$20=$U$6),CO2データ!K257,IF($F$20=$S$6,CO2データ!N257,CO2データ!Q257))</f>
        <v>0.436</v>
      </c>
      <c r="K81" s="2338"/>
      <c r="L81" s="2336">
        <f t="shared" si="8"/>
        <v>0</v>
      </c>
      <c r="M81" s="2338"/>
      <c r="N81" s="2336"/>
      <c r="O81" s="2340">
        <f t="shared" si="9"/>
        <v>0</v>
      </c>
      <c r="P81" t="s">
        <v>205</v>
      </c>
    </row>
    <row r="82" spans="2:16" hidden="1">
      <c r="B82" s="2334"/>
      <c r="C82" s="2264"/>
      <c r="D82" s="2264"/>
      <c r="E82" s="2264"/>
      <c r="F82" s="2310">
        <f>$F$80</f>
        <v>0</v>
      </c>
      <c r="G82" s="2264"/>
      <c r="H82" s="2310">
        <f>IF(OR($F$20=$R$6,$F$20=$U$6),CO2データ!I258,IF($F$20=$S$6,CO2データ!L258,CO2データ!O258))</f>
        <v>0.10299999999999999</v>
      </c>
      <c r="I82" s="2310">
        <f>IF(OR($F$20=$R$6,$F$20=$U$6),CO2データ!J258,IF($F$20=$S$6,CO2データ!M258,CO2データ!P258))</f>
        <v>0</v>
      </c>
      <c r="J82" s="2310">
        <f>IF(OR($F$20=$R$6,$F$20=$U$6),CO2データ!K258,IF($F$20=$S$6,CO2データ!N258,CO2データ!Q258))</f>
        <v>0.10299999999999999</v>
      </c>
      <c r="K82" s="2338"/>
      <c r="L82" s="2336">
        <f t="shared" si="8"/>
        <v>7.2099999999999997E-2</v>
      </c>
      <c r="M82" s="2338"/>
      <c r="N82" s="2336"/>
      <c r="O82" s="2340">
        <f t="shared" si="9"/>
        <v>0.10299999999999999</v>
      </c>
      <c r="P82" t="s">
        <v>132</v>
      </c>
    </row>
    <row r="83" spans="2:16" hidden="1">
      <c r="B83" s="2334"/>
      <c r="C83" s="2264"/>
      <c r="D83" s="2264"/>
      <c r="E83" s="2264"/>
      <c r="F83" s="2310">
        <f>$F$80</f>
        <v>0</v>
      </c>
      <c r="G83" s="2264"/>
      <c r="H83" s="2310">
        <f>IF(OR($F$20=$R$6,$F$20=$U$6),CO2データ!I259,IF($F$20=$S$6,CO2データ!L259,CO2データ!O259))</f>
        <v>0</v>
      </c>
      <c r="I83" s="2310">
        <f>IF(OR($F$20=$R$6,$F$20=$U$6),CO2データ!J259,IF($F$20=$S$6,CO2データ!M259,CO2データ!P259))</f>
        <v>0</v>
      </c>
      <c r="J83" s="2310">
        <f>IF(OR($F$20=$R$6,$F$20=$U$6),CO2データ!K259,IF($F$20=$S$6,CO2データ!N259,CO2データ!Q259))</f>
        <v>0</v>
      </c>
      <c r="K83" s="2338"/>
      <c r="L83" s="2336">
        <f t="shared" si="8"/>
        <v>0</v>
      </c>
      <c r="M83" s="2338"/>
      <c r="N83" s="2336"/>
      <c r="O83" s="2340">
        <f t="shared" si="9"/>
        <v>0</v>
      </c>
      <c r="P83" t="s">
        <v>132</v>
      </c>
    </row>
    <row r="84" spans="2:16" hidden="1">
      <c r="B84" s="2334"/>
      <c r="C84" s="2264"/>
      <c r="D84" s="2264"/>
      <c r="E84" s="2264"/>
      <c r="F84" s="2310">
        <f>$F$80</f>
        <v>0</v>
      </c>
      <c r="G84" s="2264"/>
      <c r="H84" s="2310">
        <f>IF(OR($F$20=$R$6,$F$20=$U$6),CO2データ!I260,IF($F$20=$S$6,CO2データ!L260,CO2データ!O260))</f>
        <v>3.4000000000000002E-2</v>
      </c>
      <c r="I84" s="2310">
        <f>IF(OR($F$20=$R$6,$F$20=$U$6),CO2データ!J260,IF($F$20=$S$6,CO2データ!M260,CO2データ!P260))</f>
        <v>0</v>
      </c>
      <c r="J84" s="2310">
        <f>IF(OR($F$20=$R$6,$F$20=$U$6),CO2データ!K260,IF($F$20=$S$6,CO2データ!N260,CO2データ!Q260))</f>
        <v>3.4000000000000002E-2</v>
      </c>
      <c r="K84" s="2338"/>
      <c r="L84" s="2336">
        <f t="shared" si="8"/>
        <v>2.3800000000000002E-2</v>
      </c>
      <c r="M84" s="2338"/>
      <c r="N84" s="2336"/>
      <c r="O84" s="2340">
        <f t="shared" si="9"/>
        <v>3.4000000000000002E-2</v>
      </c>
      <c r="P84" t="s">
        <v>132</v>
      </c>
    </row>
    <row r="85" spans="2:16" hidden="1">
      <c r="B85" s="2334"/>
      <c r="C85" s="2264"/>
      <c r="D85" s="2264"/>
      <c r="E85" s="2264"/>
      <c r="F85" s="2310">
        <f>$F$80</f>
        <v>0</v>
      </c>
      <c r="G85" s="2264"/>
      <c r="H85" s="2310">
        <f>IF(OR($F$20=$R$6,$F$20=$U$6),CO2データ!I261,IF($F$20=$S$6,CO2データ!L261,CO2データ!O261))</f>
        <v>5.0000000000000001E-3</v>
      </c>
      <c r="I85" s="2310">
        <f>IF(OR($F$20=$R$6,$F$20=$U$6),CO2データ!J261,IF($F$20=$S$6,CO2データ!M261,CO2データ!P261))</f>
        <v>0</v>
      </c>
      <c r="J85" s="2310">
        <f>IF(OR($F$20=$R$6,$F$20=$U$6),CO2データ!K261,IF($F$20=$S$6,CO2データ!N261,CO2データ!Q261))</f>
        <v>4.7099999999999998E-3</v>
      </c>
      <c r="K85" s="2338"/>
      <c r="L85" s="2336">
        <f t="shared" si="8"/>
        <v>3.5000000000000001E-3</v>
      </c>
      <c r="M85" s="2338"/>
      <c r="N85" s="2336"/>
      <c r="O85" s="2340">
        <f t="shared" si="9"/>
        <v>5.0000000000000001E-3</v>
      </c>
      <c r="P85" t="s">
        <v>132</v>
      </c>
    </row>
    <row r="86" spans="2:16" hidden="1">
      <c r="B86" s="2334"/>
      <c r="C86" s="2264"/>
      <c r="D86" s="2264" t="s">
        <v>858</v>
      </c>
      <c r="E86" s="2264"/>
      <c r="F86" s="2310">
        <f>F18</f>
        <v>0</v>
      </c>
      <c r="G86" s="2264"/>
      <c r="H86" s="2310">
        <f>IF(OR($F$20=$R$6,$F$20=$U$6),CO2データ!I262,IF($F$20=$S$6,CO2データ!L262,CO2データ!O262))</f>
        <v>0.32300000000000001</v>
      </c>
      <c r="I86" s="2310">
        <f>IF(OR($F$20=$R$6,$F$20=$U$6),CO2データ!J262,IF($F$20=$S$6,CO2データ!M262,CO2データ!P262))</f>
        <v>0</v>
      </c>
      <c r="J86" s="2310">
        <f>IF(OR($F$20=$R$6,$F$20=$U$6),CO2データ!K262,IF($F$20=$S$6,CO2データ!N262,CO2データ!Q262))</f>
        <v>0</v>
      </c>
      <c r="K86" s="2338"/>
      <c r="L86" s="2336">
        <f t="shared" si="8"/>
        <v>0.22610000000000002</v>
      </c>
      <c r="M86" s="2338"/>
      <c r="N86" s="2336"/>
      <c r="O86" s="2340">
        <f t="shared" si="9"/>
        <v>0.32300000000000001</v>
      </c>
      <c r="P86" t="s">
        <v>205</v>
      </c>
    </row>
    <row r="87" spans="2:16" hidden="1">
      <c r="B87" s="2334"/>
      <c r="C87" s="2264"/>
      <c r="D87" s="2264"/>
      <c r="E87" s="2264"/>
      <c r="F87" s="2310">
        <f>$F$86</f>
        <v>0</v>
      </c>
      <c r="G87" s="2264"/>
      <c r="H87" s="2310">
        <f>IF(OR($F$20=$R$6,$F$20=$U$6),CO2データ!I263,IF($F$20=$S$6,CO2データ!L263,CO2データ!O263))</f>
        <v>0</v>
      </c>
      <c r="I87" s="2310">
        <f>IF(OR($F$20=$R$6,$F$20=$U$6),CO2データ!J263,IF($F$20=$S$6,CO2データ!M263,CO2データ!P263))</f>
        <v>0</v>
      </c>
      <c r="J87" s="2310">
        <f>IF(OR($F$20=$R$6,$F$20=$U$6),CO2データ!K263,IF($F$20=$S$6,CO2データ!N263,CO2データ!Q263))</f>
        <v>0.32300000000000001</v>
      </c>
      <c r="K87" s="2338"/>
      <c r="L87" s="2336">
        <f t="shared" si="8"/>
        <v>0</v>
      </c>
      <c r="M87" s="2338"/>
      <c r="N87" s="2336"/>
      <c r="O87" s="2340">
        <f t="shared" si="9"/>
        <v>0</v>
      </c>
      <c r="P87" t="s">
        <v>205</v>
      </c>
    </row>
    <row r="88" spans="2:16" hidden="1">
      <c r="B88" s="2334"/>
      <c r="C88" s="2264"/>
      <c r="D88" s="2264"/>
      <c r="E88" s="2264"/>
      <c r="F88" s="2310">
        <f>$F$86</f>
        <v>0</v>
      </c>
      <c r="G88" s="2264"/>
      <c r="H88" s="2310">
        <f>IF(OR($F$20=$R$6,$F$20=$U$6),CO2データ!I264,IF($F$20=$S$6,CO2データ!L264,CO2データ!O264))</f>
        <v>4.8000000000000001E-2</v>
      </c>
      <c r="I88" s="2310">
        <f>IF(OR($F$20=$R$6,$F$20=$U$6),CO2データ!J264,IF($F$20=$S$6,CO2データ!M264,CO2データ!P264))</f>
        <v>0</v>
      </c>
      <c r="J88" s="2310">
        <f>IF(OR($F$20=$R$6,$F$20=$U$6),CO2データ!K264,IF($F$20=$S$6,CO2データ!N264,CO2データ!Q264))</f>
        <v>4.8000000000000001E-2</v>
      </c>
      <c r="K88" s="2338"/>
      <c r="L88" s="2336">
        <f t="shared" si="8"/>
        <v>3.3600000000000005E-2</v>
      </c>
      <c r="M88" s="2338"/>
      <c r="N88" s="2336"/>
      <c r="O88" s="2340">
        <f t="shared" si="9"/>
        <v>4.8000000000000001E-2</v>
      </c>
      <c r="P88" t="s">
        <v>132</v>
      </c>
    </row>
    <row r="89" spans="2:16" hidden="1">
      <c r="B89" s="2334"/>
      <c r="C89" s="2264"/>
      <c r="D89" s="2264"/>
      <c r="E89" s="2264"/>
      <c r="F89" s="2310">
        <f>$F$86</f>
        <v>0</v>
      </c>
      <c r="G89" s="2264"/>
      <c r="H89" s="2310">
        <f>IF(OR($F$20=$R$6,$F$20=$U$6),CO2データ!I265,IF($F$20=$S$6,CO2データ!L265,CO2データ!O265))</f>
        <v>0</v>
      </c>
      <c r="I89" s="2310">
        <f>IF(OR($F$20=$R$6,$F$20=$U$6),CO2データ!J265,IF($F$20=$S$6,CO2データ!M265,CO2データ!P265))</f>
        <v>0</v>
      </c>
      <c r="J89" s="2310">
        <f>IF(OR($F$20=$R$6,$F$20=$U$6),CO2データ!K265,IF($F$20=$S$6,CO2データ!N265,CO2データ!Q265))</f>
        <v>0</v>
      </c>
      <c r="K89" s="2338"/>
      <c r="L89" s="2336">
        <f t="shared" si="8"/>
        <v>0</v>
      </c>
      <c r="M89" s="2338"/>
      <c r="N89" s="2336"/>
      <c r="O89" s="2340">
        <f t="shared" si="9"/>
        <v>0</v>
      </c>
      <c r="P89" t="s">
        <v>132</v>
      </c>
    </row>
    <row r="90" spans="2:16" hidden="1">
      <c r="B90" s="2334"/>
      <c r="C90" s="2264"/>
      <c r="D90" s="2264"/>
      <c r="E90" s="2264"/>
      <c r="F90" s="2310">
        <f>$F$86</f>
        <v>0</v>
      </c>
      <c r="G90" s="2264"/>
      <c r="H90" s="2310">
        <f>IF(OR($F$20=$R$6,$F$20=$U$6),CO2データ!I266,IF($F$20=$S$6,CO2データ!L266,CO2データ!O266))</f>
        <v>1.9E-2</v>
      </c>
      <c r="I90" s="2310">
        <f>IF(OR($F$20=$R$6,$F$20=$U$6),CO2データ!J266,IF($F$20=$S$6,CO2データ!M266,CO2データ!P266))</f>
        <v>0</v>
      </c>
      <c r="J90" s="2310">
        <f>IF(OR($F$20=$R$6,$F$20=$U$6),CO2データ!K266,IF($F$20=$S$6,CO2データ!N266,CO2データ!Q266))</f>
        <v>1.9E-2</v>
      </c>
      <c r="K90" s="2338"/>
      <c r="L90" s="2336">
        <f t="shared" si="8"/>
        <v>1.3299999999999999E-2</v>
      </c>
      <c r="M90" s="2338"/>
      <c r="N90" s="2336"/>
      <c r="O90" s="2340">
        <f t="shared" si="9"/>
        <v>1.9E-2</v>
      </c>
      <c r="P90" t="s">
        <v>132</v>
      </c>
    </row>
    <row r="91" spans="2:16" hidden="1">
      <c r="B91" s="2334"/>
      <c r="C91" s="2264"/>
      <c r="D91" s="2264"/>
      <c r="E91" s="2264"/>
      <c r="F91" s="2310">
        <f>$F$86</f>
        <v>0</v>
      </c>
      <c r="G91" s="2264"/>
      <c r="H91" s="2310">
        <f>IF(OR($F$20=$R$6,$F$20=$U$6),CO2データ!I267,IF($F$20=$S$6,CO2データ!L267,CO2データ!O267))</f>
        <v>2E-3</v>
      </c>
      <c r="I91" s="2310">
        <f>IF(OR($F$20=$R$6,$F$20=$U$6),CO2データ!J267,IF($F$20=$S$6,CO2データ!M267,CO2データ!P267))</f>
        <v>0</v>
      </c>
      <c r="J91" s="2310">
        <f>IF(OR($F$20=$R$6,$F$20=$U$6),CO2データ!K267,IF($F$20=$S$6,CO2データ!N267,CO2データ!Q267))</f>
        <v>1.98E-3</v>
      </c>
      <c r="K91" s="2338"/>
      <c r="L91" s="2336">
        <f t="shared" si="8"/>
        <v>1.4000000000000002E-3</v>
      </c>
      <c r="M91" s="2338"/>
      <c r="N91" s="2336"/>
      <c r="O91" s="2340">
        <f t="shared" si="9"/>
        <v>2E-3</v>
      </c>
      <c r="P91" t="s">
        <v>132</v>
      </c>
    </row>
    <row r="92" spans="2:16" ht="14.25" hidden="1" thickBot="1">
      <c r="B92" s="2323"/>
      <c r="C92" s="2212"/>
      <c r="D92" s="2212"/>
      <c r="E92" s="2212"/>
      <c r="F92" s="2212"/>
      <c r="G92" s="2212"/>
      <c r="H92" s="2212"/>
      <c r="I92" s="2212"/>
      <c r="J92" s="2212"/>
      <c r="K92" s="2212"/>
      <c r="L92" s="2212"/>
      <c r="M92" s="2212"/>
      <c r="N92" s="2212"/>
      <c r="O92" s="2213"/>
    </row>
    <row r="93" spans="2:16" hidden="1">
      <c r="B93" s="2334"/>
      <c r="C93" s="2264" t="s">
        <v>1459</v>
      </c>
      <c r="D93" s="2264" t="s">
        <v>557</v>
      </c>
      <c r="E93" s="2264"/>
      <c r="F93" s="2212"/>
      <c r="G93" s="2212"/>
      <c r="H93" s="2212"/>
      <c r="I93" s="2212"/>
      <c r="J93" s="2212"/>
      <c r="K93" s="2338"/>
      <c r="L93" s="2341">
        <f t="shared" ref="L93:L98" si="10">$F38*L38+$F44*L44+$F50*L50+$F56*L56+$F62*L62+$F68*L68+$F74*L74+$F80*L80+$F86*L86</f>
        <v>0.34964999999999996</v>
      </c>
      <c r="M93" s="2338"/>
      <c r="N93" s="2342"/>
      <c r="O93" s="2341">
        <f t="shared" ref="O93:O98" si="11">$F38*O38+$F44*O44+$F50*O50+$F56*O56+$F62*O62+$F68*O68+$F74*O74+$F80*O80+$F86*O86</f>
        <v>0.49949999999999994</v>
      </c>
      <c r="P93" t="s">
        <v>205</v>
      </c>
    </row>
    <row r="94" spans="2:16" hidden="1">
      <c r="B94" s="2334"/>
      <c r="C94" s="2264"/>
      <c r="D94" s="2264"/>
      <c r="E94" s="2264"/>
      <c r="F94" s="2212"/>
      <c r="G94" s="2212"/>
      <c r="H94" s="2212"/>
      <c r="I94" s="2212"/>
      <c r="J94" s="2212"/>
      <c r="K94" s="2338"/>
      <c r="L94" s="2343">
        <f t="shared" si="10"/>
        <v>0</v>
      </c>
      <c r="M94" s="2338"/>
      <c r="N94" s="2342"/>
      <c r="O94" s="2343">
        <f t="shared" si="11"/>
        <v>0</v>
      </c>
      <c r="P94" t="s">
        <v>205</v>
      </c>
    </row>
    <row r="95" spans="2:16" hidden="1">
      <c r="B95" s="2334"/>
      <c r="C95" s="2264"/>
      <c r="D95" s="2264"/>
      <c r="E95" s="2264"/>
      <c r="F95" s="2212"/>
      <c r="G95" s="2212"/>
      <c r="H95" s="2212"/>
      <c r="I95" s="2212"/>
      <c r="J95" s="2212"/>
      <c r="K95" s="2338"/>
      <c r="L95" s="2343">
        <f t="shared" si="10"/>
        <v>8.1759999999999999E-2</v>
      </c>
      <c r="M95" s="2338"/>
      <c r="N95" s="2342"/>
      <c r="O95" s="2343">
        <f t="shared" si="11"/>
        <v>0.1168</v>
      </c>
      <c r="P95" t="s">
        <v>132</v>
      </c>
    </row>
    <row r="96" spans="2:16" hidden="1">
      <c r="B96" s="2334"/>
      <c r="C96" s="2264"/>
      <c r="D96" s="2264"/>
      <c r="E96" s="2264"/>
      <c r="F96" s="2212"/>
      <c r="G96" s="2212"/>
      <c r="H96" s="2212"/>
      <c r="I96" s="2212"/>
      <c r="J96" s="2212"/>
      <c r="K96" s="2338"/>
      <c r="L96" s="2343">
        <f t="shared" si="10"/>
        <v>0</v>
      </c>
      <c r="M96" s="2338"/>
      <c r="N96" s="2342"/>
      <c r="O96" s="2343">
        <f t="shared" si="11"/>
        <v>0</v>
      </c>
      <c r="P96" t="s">
        <v>132</v>
      </c>
    </row>
    <row r="97" spans="2:16" hidden="1">
      <c r="B97" s="2334"/>
      <c r="C97" s="2264"/>
      <c r="D97" s="2264"/>
      <c r="E97" s="2264"/>
      <c r="F97" s="2212"/>
      <c r="G97" s="2212"/>
      <c r="H97" s="2212"/>
      <c r="I97" s="2212"/>
      <c r="J97" s="2212"/>
      <c r="K97" s="2338"/>
      <c r="L97" s="2343">
        <f t="shared" si="10"/>
        <v>3.934E-2</v>
      </c>
      <c r="M97" s="2338"/>
      <c r="N97" s="2342"/>
      <c r="O97" s="2343">
        <f t="shared" si="11"/>
        <v>5.62E-2</v>
      </c>
      <c r="P97" t="s">
        <v>132</v>
      </c>
    </row>
    <row r="98" spans="2:16" ht="14.25" hidden="1" thickBot="1">
      <c r="B98" s="2334"/>
      <c r="C98" s="2264"/>
      <c r="D98" s="2264"/>
      <c r="E98" s="2264"/>
      <c r="F98" s="2212"/>
      <c r="G98" s="2212"/>
      <c r="H98" s="2212"/>
      <c r="I98" s="2212"/>
      <c r="J98" s="2212"/>
      <c r="K98" s="2338"/>
      <c r="L98" s="2344">
        <f t="shared" si="10"/>
        <v>2.8700000000000002E-3</v>
      </c>
      <c r="M98" s="2338"/>
      <c r="N98" s="2342"/>
      <c r="O98" s="2344">
        <f t="shared" si="11"/>
        <v>4.0999999999999995E-3</v>
      </c>
      <c r="P98" t="s">
        <v>132</v>
      </c>
    </row>
    <row r="99" spans="2:16" hidden="1">
      <c r="B99" s="2323"/>
      <c r="C99" s="2212"/>
      <c r="D99" s="2212"/>
      <c r="E99" s="2212"/>
      <c r="F99" s="2212"/>
      <c r="G99" s="2212"/>
      <c r="H99" s="2212"/>
      <c r="I99" s="2212"/>
      <c r="J99" s="2212"/>
      <c r="K99" s="2212"/>
      <c r="L99" s="2212"/>
      <c r="M99" s="2212"/>
      <c r="N99" s="2212"/>
      <c r="O99" s="2213"/>
    </row>
    <row r="100" spans="2:16" ht="16.5">
      <c r="B100" s="1444" t="s">
        <v>212</v>
      </c>
      <c r="C100" s="1454"/>
      <c r="D100" s="1457"/>
      <c r="E100" s="1454"/>
      <c r="F100" s="2212"/>
      <c r="G100" s="2212"/>
      <c r="H100" s="1445"/>
      <c r="I100" s="1446"/>
      <c r="J100" s="1446"/>
      <c r="K100" s="1446"/>
      <c r="L100" s="1446"/>
      <c r="M100" s="1446"/>
      <c r="N100" s="1446"/>
      <c r="O100" s="1460"/>
    </row>
    <row r="101" spans="2:16" ht="14.25">
      <c r="B101" s="1444"/>
      <c r="C101" s="1448" t="s">
        <v>213</v>
      </c>
      <c r="D101" s="1457"/>
      <c r="E101" s="1454"/>
      <c r="F101" s="2212"/>
      <c r="G101" s="2212"/>
      <c r="H101" s="1445"/>
      <c r="I101" s="1446"/>
      <c r="J101" s="1445" t="s">
        <v>187</v>
      </c>
      <c r="K101" s="1446"/>
      <c r="L101" s="1445" t="s">
        <v>187</v>
      </c>
      <c r="M101" s="1446"/>
      <c r="N101" s="1446"/>
      <c r="O101" s="1447" t="s">
        <v>187</v>
      </c>
    </row>
    <row r="102" spans="2:16">
      <c r="B102" s="2211"/>
      <c r="C102" s="1457"/>
      <c r="D102" s="1457" t="s">
        <v>194</v>
      </c>
      <c r="E102" s="1454"/>
      <c r="F102" s="2309" t="s">
        <v>189</v>
      </c>
      <c r="G102" s="1454"/>
      <c r="H102" s="1451" t="s">
        <v>190</v>
      </c>
      <c r="I102" s="1451" t="s">
        <v>191</v>
      </c>
      <c r="J102" s="1451" t="s">
        <v>192</v>
      </c>
      <c r="K102" s="1452" t="s">
        <v>193</v>
      </c>
      <c r="L102" s="1453" t="s">
        <v>118</v>
      </c>
      <c r="M102" s="1454"/>
      <c r="N102" s="1452" t="s">
        <v>193</v>
      </c>
      <c r="O102" s="1455" t="s">
        <v>118</v>
      </c>
    </row>
    <row r="103" spans="2:16">
      <c r="B103" s="2211"/>
      <c r="C103" s="1457"/>
      <c r="D103" s="1457"/>
      <c r="E103" s="1457" t="s">
        <v>539</v>
      </c>
      <c r="F103" s="2310">
        <f t="shared" ref="F103:F111" si="12">F10</f>
        <v>0.7</v>
      </c>
      <c r="G103" s="1454"/>
      <c r="H103" s="2310">
        <f>IF(OR($F$20=$R$6,$F$20=$U$6),CO2データ!I67,IF($F$20=$S$6,CO2データ!L67,CO2データ!O67))</f>
        <v>15.990999999999998</v>
      </c>
      <c r="I103" s="2310">
        <f>IF(OR($F$20=$R$6,$F$20=$U$6),CO2データ!J67,IF($F$20=$S$6,CO2データ!M67,CO2データ!P67))</f>
        <v>15.990999999999998</v>
      </c>
      <c r="J103" s="2310">
        <f>IF(OR($F$20=$R$6,$F$20=$U$6),CO2データ!K67,IF($F$20=$S$6,CO2データ!N67,CO2データ!Q67))</f>
        <v>15.990999999999998</v>
      </c>
      <c r="K103" s="2294">
        <f>スコア表示!M80</f>
        <v>3</v>
      </c>
      <c r="L103" s="2312">
        <f t="shared" ref="L103:L111" si="13">IF(K103&gt;=5,$J103,IF(K103&gt;=4,$I103,$H103))</f>
        <v>15.990999999999998</v>
      </c>
      <c r="M103" s="1454"/>
      <c r="N103" s="2294">
        <v>3</v>
      </c>
      <c r="O103" s="2313">
        <f>IF(OR($F$20=$R$6,$F$20=$U$6),CO2データ!I65,IF($F$20=$S$6,CO2データ!L65,CO2データ!O65))</f>
        <v>15.990999999999998</v>
      </c>
    </row>
    <row r="104" spans="2:16">
      <c r="B104" s="2211"/>
      <c r="C104" s="1454"/>
      <c r="D104" s="1457"/>
      <c r="E104" s="1457" t="s">
        <v>541</v>
      </c>
      <c r="F104" s="2310">
        <f t="shared" si="12"/>
        <v>0</v>
      </c>
      <c r="G104" s="1454"/>
      <c r="H104" s="2310">
        <f>IF(OR($F$20=$R$6,$F$20=$U$6),CO2データ!I70,IF($F$20=$S$6,CO2データ!L70,CO2データ!O70))</f>
        <v>11.802</v>
      </c>
      <c r="I104" s="2310">
        <f>IF(OR($F$20=$R$6,$F$20=$U$6),CO2データ!J70,IF($F$20=$S$6,CO2データ!M70,CO2データ!P70))</f>
        <v>11.802</v>
      </c>
      <c r="J104" s="2310">
        <f>IF(OR($F$20=$R$6,$F$20=$U$6),CO2データ!K70,IF($F$20=$S$6,CO2データ!N70,CO2データ!Q70))</f>
        <v>11.802</v>
      </c>
      <c r="K104" s="2294">
        <f t="shared" ref="K104:K111" si="14">K$103</f>
        <v>3</v>
      </c>
      <c r="L104" s="2312">
        <f t="shared" si="13"/>
        <v>11.802</v>
      </c>
      <c r="M104" s="1454"/>
      <c r="N104" s="2294">
        <v>3</v>
      </c>
      <c r="O104" s="2313">
        <f>IF(OR($F$20=$R$6,$F$20=$U$6),CO2データ!I68,IF($F$20=$S$6,CO2データ!L68,CO2データ!O68))</f>
        <v>11.802</v>
      </c>
    </row>
    <row r="105" spans="2:16">
      <c r="B105" s="2211"/>
      <c r="C105" s="1454"/>
      <c r="D105" s="2212"/>
      <c r="E105" s="1457" t="s">
        <v>543</v>
      </c>
      <c r="F105" s="2310">
        <f t="shared" si="12"/>
        <v>0.3</v>
      </c>
      <c r="G105" s="1454"/>
      <c r="H105" s="2310">
        <f>IF(OR($F$20=$R$6,$F$20=$U$6),CO2データ!I73,IF($F$20=$S$6,CO2データ!L73,CO2データ!O73))</f>
        <v>6.88</v>
      </c>
      <c r="I105" s="2310">
        <f>IF(OR($F$20=$R$6,$F$20=$U$6),CO2データ!J73,IF($F$20=$S$6,CO2データ!M73,CO2データ!P73))</f>
        <v>6.88</v>
      </c>
      <c r="J105" s="2310">
        <f>IF(OR($F$20=$R$6,$F$20=$U$6),CO2データ!K73,IF($F$20=$S$6,CO2データ!N73,CO2データ!Q73))</f>
        <v>6.88</v>
      </c>
      <c r="K105" s="2294">
        <f t="shared" si="14"/>
        <v>3</v>
      </c>
      <c r="L105" s="2312">
        <f t="shared" si="13"/>
        <v>6.88</v>
      </c>
      <c r="M105" s="1454"/>
      <c r="N105" s="2294">
        <v>3</v>
      </c>
      <c r="O105" s="2313">
        <f>IF(OR($F$20=$R$6,$F$20=$U$6),CO2データ!I71,IF($F$20=$S$6,CO2データ!L71,CO2データ!O71))</f>
        <v>6.88</v>
      </c>
    </row>
    <row r="106" spans="2:16">
      <c r="B106" s="2211"/>
      <c r="C106" s="1454"/>
      <c r="D106" s="1457"/>
      <c r="E106" s="1457" t="s">
        <v>545</v>
      </c>
      <c r="F106" s="2310">
        <f t="shared" si="12"/>
        <v>0</v>
      </c>
      <c r="G106" s="1454"/>
      <c r="H106" s="2310">
        <f>IF(OR($F$20=$R$6,$F$20=$U$6),CO2データ!I76,IF($F$20=$S$6,CO2データ!L76,CO2データ!O76))</f>
        <v>6.88</v>
      </c>
      <c r="I106" s="2310">
        <f>IF(OR($F$20=$R$6,$F$20=$U$6),CO2データ!J76,IF($F$20=$S$6,CO2データ!M76,CO2データ!P76))</f>
        <v>6.88</v>
      </c>
      <c r="J106" s="2310">
        <f>IF(OR($F$20=$R$6,$F$20=$U$6),CO2データ!K76,IF($F$20=$S$6,CO2データ!N76,CO2データ!Q76))</f>
        <v>6.88</v>
      </c>
      <c r="K106" s="2294">
        <f t="shared" si="14"/>
        <v>3</v>
      </c>
      <c r="L106" s="2312">
        <f t="shared" si="13"/>
        <v>6.88</v>
      </c>
      <c r="M106" s="1454"/>
      <c r="N106" s="2294">
        <v>3</v>
      </c>
      <c r="O106" s="2313">
        <f>IF(OR($F$20=$R$6,$F$20=$U$6),CO2データ!I74,IF($F$20=$S$6,CO2データ!L74,CO2データ!O74))</f>
        <v>6.88</v>
      </c>
    </row>
    <row r="107" spans="2:16">
      <c r="B107" s="2211"/>
      <c r="C107" s="2212"/>
      <c r="D107" s="2212"/>
      <c r="E107" s="161" t="s">
        <v>861</v>
      </c>
      <c r="F107" s="2310">
        <f t="shared" si="12"/>
        <v>0</v>
      </c>
      <c r="G107" s="1454"/>
      <c r="H107" s="2310">
        <f>IF(OR($F$20=$R$6,$F$20=$U$6),CO2データ!I79,IF($F$20=$S$6,CO2データ!L79,CO2データ!O79))</f>
        <v>12.809999999999999</v>
      </c>
      <c r="I107" s="2310">
        <f>IF(OR($F$20=$R$6,$F$20=$U$6),CO2データ!J79,IF($F$20=$S$6,CO2データ!M79,CO2データ!P79))</f>
        <v>12.809999999999999</v>
      </c>
      <c r="J107" s="2310">
        <f>IF(OR($F$20=$R$6,$F$20=$U$6),CO2データ!K79,IF($F$20=$S$6,CO2データ!N79,CO2データ!Q79))</f>
        <v>12.809999999999999</v>
      </c>
      <c r="K107" s="2294">
        <f t="shared" si="14"/>
        <v>3</v>
      </c>
      <c r="L107" s="2312">
        <f t="shared" si="13"/>
        <v>12.809999999999999</v>
      </c>
      <c r="M107" s="1454"/>
      <c r="N107" s="2294">
        <v>3</v>
      </c>
      <c r="O107" s="2313">
        <f>IF(OR($F$20=$R$6,$F$20=$U$6),CO2データ!I77,IF($F$20=$S$6,CO2データ!L77,CO2データ!O77))</f>
        <v>12.809999999999999</v>
      </c>
    </row>
    <row r="108" spans="2:16">
      <c r="B108" s="2211"/>
      <c r="C108" s="2212"/>
      <c r="D108" s="2212"/>
      <c r="E108" s="161" t="s">
        <v>555</v>
      </c>
      <c r="F108" s="2310">
        <f t="shared" si="12"/>
        <v>0</v>
      </c>
      <c r="G108" s="1454"/>
      <c r="H108" s="2310">
        <f>IF(OR($F$20=$R$6,$F$20=$U$6),CO2データ!I82,IF($F$20=$S$6,CO2データ!L82,CO2データ!O82))</f>
        <v>8.6499999999999986</v>
      </c>
      <c r="I108" s="2310">
        <f>IF(OR($F$20=$R$6,$F$20=$U$6),CO2データ!J82,IF($F$20=$S$6,CO2データ!M82,CO2データ!P82))</f>
        <v>8.6499999999999986</v>
      </c>
      <c r="J108" s="2310">
        <f>IF(OR($F$20=$R$6,$F$20=$U$6),CO2データ!K82,IF($F$20=$S$6,CO2データ!N82,CO2データ!Q82))</f>
        <v>8.6499999999999986</v>
      </c>
      <c r="K108" s="2294">
        <f t="shared" si="14"/>
        <v>3</v>
      </c>
      <c r="L108" s="2312">
        <f t="shared" si="13"/>
        <v>8.6499999999999986</v>
      </c>
      <c r="M108" s="1454"/>
      <c r="N108" s="2294">
        <v>3</v>
      </c>
      <c r="O108" s="2313">
        <f>IF(OR($F$20=$R$6,$F$20=$U$6),CO2データ!I80,IF($F$20=$S$6,CO2データ!L80,CO2データ!O80))</f>
        <v>8.6499999999999986</v>
      </c>
    </row>
    <row r="109" spans="2:16">
      <c r="B109" s="2211"/>
      <c r="C109" s="2212"/>
      <c r="D109" s="2212"/>
      <c r="E109" s="161" t="s">
        <v>549</v>
      </c>
      <c r="F109" s="2310">
        <f t="shared" si="12"/>
        <v>0</v>
      </c>
      <c r="G109" s="1454"/>
      <c r="H109" s="2310">
        <f>IF(OR($F$20=$R$6,$F$20=$U$6),CO2データ!I85,IF($F$20=$S$6,CO2データ!L85,CO2データ!O85))</f>
        <v>15.425999999999998</v>
      </c>
      <c r="I109" s="2310">
        <f>IF(OR($F$20=$R$6,$F$20=$U$6),CO2データ!J85,IF($F$20=$S$6,CO2データ!M85,CO2データ!P85))</f>
        <v>15.425999999999998</v>
      </c>
      <c r="J109" s="2310">
        <f>IF(OR($F$20=$R$6,$F$20=$U$6),CO2データ!K85,IF($F$20=$S$6,CO2データ!N85,CO2データ!Q85))</f>
        <v>15.425999999999998</v>
      </c>
      <c r="K109" s="2294">
        <f t="shared" si="14"/>
        <v>3</v>
      </c>
      <c r="L109" s="2312">
        <f t="shared" si="13"/>
        <v>15.425999999999998</v>
      </c>
      <c r="M109" s="1454"/>
      <c r="N109" s="2294">
        <v>3</v>
      </c>
      <c r="O109" s="2313">
        <f>IF(OR($F$20=$R$6,$F$20=$U$6),CO2データ!I83,IF($F$20=$S$6,CO2データ!L83,CO2データ!O83))</f>
        <v>15.425999999999998</v>
      </c>
    </row>
    <row r="110" spans="2:16">
      <c r="B110" s="2211"/>
      <c r="C110" s="2212"/>
      <c r="D110" s="2212"/>
      <c r="E110" s="161" t="s">
        <v>862</v>
      </c>
      <c r="F110" s="2310">
        <f t="shared" si="12"/>
        <v>0</v>
      </c>
      <c r="G110" s="1454"/>
      <c r="H110" s="2310">
        <f>IF(OR($F$20=$R$6,$F$20=$U$6),CO2データ!I88,IF($F$20=$S$6,CO2データ!L88,CO2データ!O88))</f>
        <v>13.297999999999998</v>
      </c>
      <c r="I110" s="2310">
        <f>IF(OR($F$20=$R$6,$F$20=$U$6),CO2データ!J88,IF($F$20=$S$6,CO2データ!M88,CO2データ!P88))</f>
        <v>13.297999999999998</v>
      </c>
      <c r="J110" s="2310">
        <f>IF(OR($F$20=$R$6,$F$20=$U$6),CO2データ!K88,IF($F$20=$S$6,CO2データ!N88,CO2データ!Q88))</f>
        <v>13.297999999999998</v>
      </c>
      <c r="K110" s="2294">
        <f t="shared" si="14"/>
        <v>3</v>
      </c>
      <c r="L110" s="2312">
        <f t="shared" si="13"/>
        <v>13.297999999999998</v>
      </c>
      <c r="M110" s="1454"/>
      <c r="N110" s="2294">
        <v>3</v>
      </c>
      <c r="O110" s="2313">
        <f>IF(OR($F$20=$R$6,$F$20=$U$6),CO2データ!I86,IF($F$20=$S$6,CO2データ!L86,CO2データ!O86))</f>
        <v>13.297999999999998</v>
      </c>
    </row>
    <row r="111" spans="2:16">
      <c r="B111" s="2211"/>
      <c r="C111" s="2212"/>
      <c r="D111" s="2212"/>
      <c r="E111" s="161" t="s">
        <v>553</v>
      </c>
      <c r="F111" s="2310">
        <f t="shared" si="12"/>
        <v>0</v>
      </c>
      <c r="G111" s="1454"/>
      <c r="H111" s="2310">
        <f>IF(OR($F$20=$R$6,$F$20=$U$6),CO2データ!I91,IF($F$20=$S$6,CO2データ!L91,CO2データ!O91))</f>
        <v>8.0190000000000001</v>
      </c>
      <c r="I111" s="2310">
        <f>IF(OR($F$20=$R$6,$F$20=$U$6),CO2データ!J91,IF($F$20=$S$6,CO2データ!M91,CO2データ!P91))</f>
        <v>9.7210000000000001</v>
      </c>
      <c r="J111" s="2310">
        <f>IF(OR($F$20=$R$6,$F$20=$U$6),CO2データ!K91,IF($F$20=$S$6,CO2データ!N91,CO2データ!Q91))</f>
        <v>10.979000000000001</v>
      </c>
      <c r="K111" s="2294">
        <f t="shared" si="14"/>
        <v>3</v>
      </c>
      <c r="L111" s="2312">
        <f t="shared" si="13"/>
        <v>8.0190000000000001</v>
      </c>
      <c r="M111" s="1454"/>
      <c r="N111" s="2294">
        <v>3</v>
      </c>
      <c r="O111" s="2313">
        <f>IF(OR($F$20=$R$6,$F$20=$U$6),CO2データ!I89,IF($F$20=$S$6,CO2データ!L89,CO2データ!O89))</f>
        <v>8.0190000000000001</v>
      </c>
    </row>
    <row r="112" spans="2:16" ht="14.25" thickBot="1">
      <c r="B112" s="2211"/>
      <c r="C112" s="2212"/>
      <c r="D112" s="2212"/>
      <c r="E112" s="2212"/>
      <c r="F112" s="2212"/>
      <c r="G112" s="2212"/>
      <c r="H112" s="2212"/>
      <c r="I112" s="2212"/>
      <c r="J112" s="2212"/>
      <c r="K112" s="2212"/>
      <c r="L112" s="2212"/>
      <c r="M112" s="2212"/>
      <c r="N112" s="2212"/>
      <c r="O112" s="2213"/>
    </row>
    <row r="113" spans="2:18" ht="14.25" thickBot="1">
      <c r="B113" s="2323"/>
      <c r="C113" s="1448" t="s">
        <v>214</v>
      </c>
      <c r="D113" s="1457"/>
      <c r="E113" s="161"/>
      <c r="F113" s="2212"/>
      <c r="G113" s="2212"/>
      <c r="H113" s="2212"/>
      <c r="I113" s="2212"/>
      <c r="J113" s="2212"/>
      <c r="K113" s="2212"/>
      <c r="L113" s="2326">
        <f>SUMPRODUCT(F103:F111,L103:L111)</f>
        <v>13.257699999999998</v>
      </c>
      <c r="M113" s="2212"/>
      <c r="N113" s="2212"/>
      <c r="O113" s="2326">
        <f>SUMPRODUCT(F103:F111,O103:O111)</f>
        <v>13.257699999999998</v>
      </c>
    </row>
    <row r="114" spans="2:18">
      <c r="B114" s="2211"/>
      <c r="C114" s="2212"/>
      <c r="D114" s="2212"/>
      <c r="E114" s="2212"/>
      <c r="F114" s="2212"/>
      <c r="G114" s="2212"/>
      <c r="H114" s="2212"/>
      <c r="I114" s="2212"/>
      <c r="J114" s="2212"/>
      <c r="K114" s="2212"/>
      <c r="L114" s="2212"/>
      <c r="M114" s="2212"/>
      <c r="N114" s="2212"/>
      <c r="O114" s="2213"/>
    </row>
    <row r="115" spans="2:18" ht="17.25" thickBot="1">
      <c r="B115" s="1444" t="s">
        <v>215</v>
      </c>
      <c r="C115" s="2212"/>
      <c r="D115" s="2212"/>
      <c r="E115" s="2212"/>
      <c r="F115" s="2212"/>
      <c r="G115" s="2212"/>
      <c r="H115" s="2212"/>
      <c r="I115" s="2212"/>
      <c r="J115" s="2212"/>
      <c r="K115" s="2212"/>
      <c r="L115" s="1445" t="s">
        <v>187</v>
      </c>
      <c r="M115" s="1454"/>
      <c r="N115" s="1454"/>
      <c r="O115" s="1447" t="s">
        <v>187</v>
      </c>
      <c r="R115" t="s">
        <v>1460</v>
      </c>
    </row>
    <row r="116" spans="2:18" ht="14.25" thickBot="1">
      <c r="B116" s="1444"/>
      <c r="C116" s="1448" t="s">
        <v>1174</v>
      </c>
      <c r="D116" s="2212"/>
      <c r="E116" s="2212"/>
      <c r="F116" s="2212" t="s">
        <v>1364</v>
      </c>
      <c r="G116" s="2212"/>
      <c r="H116" s="2212" t="s">
        <v>1461</v>
      </c>
      <c r="I116" s="2212"/>
      <c r="J116" s="2212" t="s">
        <v>1263</v>
      </c>
      <c r="K116" s="2212"/>
      <c r="L116" s="1988">
        <f>SUM(L118:L121)</f>
        <v>100.04755891278688</v>
      </c>
      <c r="M116" s="1454"/>
      <c r="N116" s="1989" t="s">
        <v>1175</v>
      </c>
      <c r="O116" s="1988">
        <f>SUM(O118:O121)</f>
        <v>111.16395434754098</v>
      </c>
    </row>
    <row r="117" spans="2:18">
      <c r="B117" s="1444"/>
      <c r="C117" s="1448"/>
      <c r="D117" s="2212"/>
      <c r="E117" s="2212"/>
      <c r="F117" s="2345" t="s">
        <v>1366</v>
      </c>
      <c r="G117" s="2212"/>
      <c r="H117" s="1441" t="s">
        <v>1462</v>
      </c>
      <c r="I117" s="1441" t="s">
        <v>1463</v>
      </c>
      <c r="J117" s="1457" t="s">
        <v>1464</v>
      </c>
      <c r="K117" s="2212"/>
      <c r="L117" s="1994"/>
      <c r="M117" s="1454"/>
      <c r="N117" s="1989"/>
      <c r="O117" s="2291"/>
    </row>
    <row r="118" spans="2:18">
      <c r="B118" s="1444"/>
      <c r="C118" s="1448"/>
      <c r="D118" s="2212"/>
      <c r="E118" s="2212" t="s">
        <v>1435</v>
      </c>
      <c r="F118" s="2346">
        <f>計画書_後!I29</f>
        <v>10000</v>
      </c>
      <c r="G118" s="2212"/>
      <c r="H118" s="2346">
        <f>計画書_後!Q74</f>
        <v>17860</v>
      </c>
      <c r="I118" s="2346">
        <f>計画書_後!N74</f>
        <v>16074</v>
      </c>
      <c r="J118" s="2221">
        <f>計画書_後!L94</f>
        <v>6.2241855737704917E-2</v>
      </c>
      <c r="K118" s="2212"/>
      <c r="L118" s="2347">
        <f>IF(F118=0,0,I118*J118/F118*1000)</f>
        <v>100.04755891278688</v>
      </c>
      <c r="M118" s="1454"/>
      <c r="N118" s="1989"/>
      <c r="O118" s="2348">
        <f>IF(F118=0,0,H118*J118/F118*1000)</f>
        <v>111.16395434754098</v>
      </c>
    </row>
    <row r="119" spans="2:18" hidden="1">
      <c r="B119" s="1444"/>
      <c r="C119" s="1448"/>
      <c r="D119" s="2212"/>
      <c r="E119" s="2212"/>
      <c r="F119" s="2346"/>
      <c r="G119" s="2212"/>
      <c r="H119" s="2346"/>
      <c r="I119" s="2346"/>
      <c r="J119" s="2221"/>
      <c r="K119" s="2212"/>
      <c r="L119" s="2347"/>
      <c r="M119" s="1454"/>
      <c r="N119" s="1989"/>
      <c r="O119" s="2348"/>
    </row>
    <row r="120" spans="2:18">
      <c r="B120" s="1444"/>
      <c r="C120" s="1448"/>
      <c r="D120" s="2212"/>
      <c r="E120" s="2212" t="s">
        <v>1465</v>
      </c>
      <c r="F120" s="2346">
        <f>計画書_後!N29</f>
        <v>0</v>
      </c>
      <c r="G120" s="2212"/>
      <c r="H120" s="2346">
        <f>計画書_後!Q108</f>
        <v>0</v>
      </c>
      <c r="I120" s="2346">
        <f>計画書_後!N108</f>
        <v>0</v>
      </c>
      <c r="J120" s="2221">
        <f>CO2データ!R168</f>
        <v>6.0541508196721307E-2</v>
      </c>
      <c r="K120" s="2212"/>
      <c r="L120" s="2347">
        <f>IF(F120=0,0,I120*J120/F120*1000)</f>
        <v>0</v>
      </c>
      <c r="M120" s="1454"/>
      <c r="N120" s="1989"/>
      <c r="O120" s="2348">
        <f>IF(F120=0,0,H120*J120/F120*1000)</f>
        <v>0</v>
      </c>
    </row>
    <row r="121" spans="2:18">
      <c r="B121" s="1444"/>
      <c r="C121" s="1448"/>
      <c r="D121" s="2212"/>
      <c r="E121" s="2212" t="s">
        <v>1466</v>
      </c>
      <c r="F121" s="2346">
        <f>計画書_後!M29</f>
        <v>0</v>
      </c>
      <c r="G121" s="2212"/>
      <c r="H121" s="2346">
        <f>計画書_後!Q112</f>
        <v>0</v>
      </c>
      <c r="I121" s="2346">
        <f>計画書_後!N112</f>
        <v>0</v>
      </c>
      <c r="J121" s="2221">
        <f>CO2データ!R169</f>
        <v>6.2704918032786883E-2</v>
      </c>
      <c r="K121" s="2212"/>
      <c r="L121" s="2347">
        <f>IF(F121=0,0,I121*J121/F121*1000)</f>
        <v>0</v>
      </c>
      <c r="M121" s="1454"/>
      <c r="N121" s="1989"/>
      <c r="O121" s="2348">
        <f>IF(F121=0,0,H121*J121/F121*1000)</f>
        <v>0</v>
      </c>
    </row>
    <row r="122" spans="2:18" ht="14.25" thickBot="1">
      <c r="B122" s="1444"/>
      <c r="C122" s="2212"/>
      <c r="D122" s="2212"/>
      <c r="E122" s="2212"/>
      <c r="F122" s="2212"/>
      <c r="G122" s="2212"/>
      <c r="H122" s="2212"/>
      <c r="I122" s="2212"/>
      <c r="J122" s="2212"/>
      <c r="K122" s="2212"/>
      <c r="L122" s="1445"/>
      <c r="M122" s="1454"/>
      <c r="N122" s="1454"/>
      <c r="O122" s="1447"/>
    </row>
    <row r="123" spans="2:18" ht="14.25" thickBot="1">
      <c r="B123" s="2211"/>
      <c r="C123" s="1448" t="s">
        <v>1176</v>
      </c>
      <c r="D123" s="2212"/>
      <c r="E123" s="2212"/>
      <c r="F123" s="2212" t="s">
        <v>1364</v>
      </c>
      <c r="G123" s="2212"/>
      <c r="H123" s="2212" t="s">
        <v>1461</v>
      </c>
      <c r="I123" s="2212"/>
      <c r="J123" s="2212" t="s">
        <v>1263</v>
      </c>
      <c r="K123" s="2212"/>
      <c r="L123" s="1988">
        <f>SUM(L125:L127)</f>
        <v>100.04755891278688</v>
      </c>
      <c r="M123" s="2212"/>
      <c r="N123" s="2212"/>
      <c r="O123" s="2213"/>
    </row>
    <row r="124" spans="2:18">
      <c r="B124" s="2211"/>
      <c r="C124" s="1448"/>
      <c r="D124" s="2212"/>
      <c r="E124" s="2212"/>
      <c r="F124" s="2219" t="s">
        <v>1366</v>
      </c>
      <c r="G124" s="2212"/>
      <c r="H124" s="2349" t="s">
        <v>1467</v>
      </c>
      <c r="I124" s="1441" t="s">
        <v>1468</v>
      </c>
      <c r="J124" s="1457" t="s">
        <v>1464</v>
      </c>
      <c r="K124" s="2212"/>
      <c r="L124" s="2212"/>
      <c r="M124" s="2212"/>
      <c r="N124" s="2212"/>
      <c r="O124" s="2213"/>
    </row>
    <row r="125" spans="2:18">
      <c r="B125" s="2211"/>
      <c r="C125" s="1448"/>
      <c r="D125" s="2212"/>
      <c r="E125" s="2212" t="s">
        <v>1435</v>
      </c>
      <c r="F125" s="2346">
        <f>F118</f>
        <v>10000</v>
      </c>
      <c r="G125" s="2212"/>
      <c r="H125" s="2346">
        <f>計画書_後!I43</f>
        <v>0</v>
      </c>
      <c r="I125" s="2346">
        <f>I118-H125</f>
        <v>16074</v>
      </c>
      <c r="J125" s="2221">
        <f>J118</f>
        <v>6.2241855737704917E-2</v>
      </c>
      <c r="K125" s="2212"/>
      <c r="L125" s="2347">
        <f>IF(F125=0,0,I125*J125/F125*1000)</f>
        <v>100.04755891278688</v>
      </c>
      <c r="M125" s="2212"/>
      <c r="N125" s="2212"/>
      <c r="O125" s="2213"/>
    </row>
    <row r="126" spans="2:18">
      <c r="B126" s="2211"/>
      <c r="C126" s="1448"/>
      <c r="D126" s="2212"/>
      <c r="E126" s="2212" t="s">
        <v>1465</v>
      </c>
      <c r="F126" s="2346">
        <f>F120</f>
        <v>0</v>
      </c>
      <c r="G126" s="2212"/>
      <c r="H126" s="2346">
        <f>計画書_後!N43</f>
        <v>0</v>
      </c>
      <c r="I126" s="2346">
        <f>I120-H126</f>
        <v>0</v>
      </c>
      <c r="J126" s="2221">
        <f>J120</f>
        <v>6.0541508196721307E-2</v>
      </c>
      <c r="K126" s="2212"/>
      <c r="L126" s="2347">
        <f>IF(F126=0,0,I126*J126/F126*1000)</f>
        <v>0</v>
      </c>
      <c r="M126" s="2212"/>
      <c r="N126" s="2212"/>
      <c r="O126" s="2213"/>
    </row>
    <row r="127" spans="2:18">
      <c r="B127" s="2211"/>
      <c r="C127" s="1448"/>
      <c r="D127" s="2212"/>
      <c r="E127" s="2212" t="s">
        <v>1466</v>
      </c>
      <c r="F127" s="2346">
        <f>F121</f>
        <v>0</v>
      </c>
      <c r="G127" s="2212"/>
      <c r="H127" s="2346">
        <f>計画書_後!M43</f>
        <v>0</v>
      </c>
      <c r="I127" s="2346">
        <f>I121-H127</f>
        <v>0</v>
      </c>
      <c r="J127" s="2221">
        <f>J121</f>
        <v>6.2704918032786883E-2</v>
      </c>
      <c r="K127" s="2212"/>
      <c r="L127" s="2347">
        <f>IF(F127=0,0,I127*J127/F127*1000)</f>
        <v>0</v>
      </c>
      <c r="M127" s="2212"/>
      <c r="N127" s="2212"/>
      <c r="O127" s="2213"/>
    </row>
    <row r="128" spans="2:18">
      <c r="B128" s="2211"/>
      <c r="C128" s="1448"/>
      <c r="D128" s="2212"/>
      <c r="E128" s="2212"/>
      <c r="F128" s="2212"/>
      <c r="G128" s="2212"/>
      <c r="H128" s="2212"/>
      <c r="I128" s="2212"/>
      <c r="J128" s="2212"/>
      <c r="K128" s="2212"/>
      <c r="L128" s="2212"/>
      <c r="M128" s="2212"/>
      <c r="N128" s="2212"/>
      <c r="O128" s="2213"/>
    </row>
    <row r="129" spans="2:15" hidden="1">
      <c r="B129" s="2211"/>
      <c r="C129" s="1448"/>
      <c r="D129" s="2212"/>
      <c r="E129" s="2212"/>
      <c r="F129" s="2212" t="s">
        <v>1178</v>
      </c>
      <c r="G129" s="2212"/>
      <c r="H129" s="2346"/>
      <c r="I129" s="2221"/>
      <c r="J129" s="2269"/>
      <c r="K129" s="2212"/>
      <c r="L129" s="2212"/>
      <c r="M129" s="2212"/>
      <c r="N129" s="2212"/>
      <c r="O129" s="2213"/>
    </row>
    <row r="130" spans="2:15" hidden="1">
      <c r="B130" s="2211"/>
      <c r="C130" s="1448"/>
      <c r="D130" s="2212"/>
      <c r="E130" s="2212"/>
      <c r="F130" s="2212"/>
      <c r="G130" s="2212"/>
      <c r="H130" s="1454"/>
      <c r="I130" s="2212"/>
      <c r="J130" s="2212"/>
      <c r="K130" s="2212"/>
      <c r="L130" s="2304"/>
      <c r="M130" s="2212"/>
      <c r="N130" s="2212"/>
      <c r="O130" s="2213"/>
    </row>
    <row r="131" spans="2:15" ht="16.5">
      <c r="B131" s="1444" t="s">
        <v>216</v>
      </c>
      <c r="C131" s="1454"/>
      <c r="D131" s="1457"/>
      <c r="E131" s="1454"/>
      <c r="F131" s="1446"/>
      <c r="G131" s="1454"/>
      <c r="H131" s="1454"/>
      <c r="I131" s="1454"/>
      <c r="J131" s="1454"/>
      <c r="K131" s="2350"/>
      <c r="L131" s="1445" t="s">
        <v>187</v>
      </c>
      <c r="M131" s="1454"/>
      <c r="N131" s="1454"/>
      <c r="O131" s="1447" t="s">
        <v>187</v>
      </c>
    </row>
    <row r="132" spans="2:15">
      <c r="B132" s="2262"/>
      <c r="C132" s="1454"/>
      <c r="D132" s="1457"/>
      <c r="E132" s="1454"/>
      <c r="F132" s="1446"/>
      <c r="G132" s="1454"/>
      <c r="H132" s="1454"/>
      <c r="I132" s="1454"/>
      <c r="J132" s="1454"/>
      <c r="K132" s="2350"/>
      <c r="L132" s="1453" t="s">
        <v>118</v>
      </c>
      <c r="M132" s="1454"/>
      <c r="N132" s="1461"/>
      <c r="O132" s="1455" t="s">
        <v>118</v>
      </c>
    </row>
    <row r="133" spans="2:15">
      <c r="B133" s="2262"/>
      <c r="C133" s="1462" t="s">
        <v>1054</v>
      </c>
      <c r="D133" s="1463"/>
      <c r="E133" s="1463"/>
      <c r="F133" s="1464"/>
      <c r="G133" s="1454"/>
      <c r="H133" s="1454"/>
      <c r="I133" s="1454"/>
      <c r="J133" s="1454"/>
      <c r="K133" s="2350"/>
      <c r="L133" s="1465">
        <f>L24</f>
        <v>12.453849999999999</v>
      </c>
      <c r="M133" s="1454"/>
      <c r="N133" s="1454"/>
      <c r="O133" s="1466">
        <f>O24</f>
        <v>14.775099999999998</v>
      </c>
    </row>
    <row r="134" spans="2:15">
      <c r="B134" s="2262"/>
      <c r="C134" s="1462" t="s">
        <v>217</v>
      </c>
      <c r="D134" s="1463"/>
      <c r="E134" s="1463"/>
      <c r="F134" s="1464"/>
      <c r="G134" s="1454"/>
      <c r="H134" s="1454"/>
      <c r="I134" s="1454"/>
      <c r="J134" s="1454"/>
      <c r="K134" s="2350"/>
      <c r="L134" s="1465">
        <f>L113</f>
        <v>13.257699999999998</v>
      </c>
      <c r="M134" s="1454"/>
      <c r="N134" s="1454"/>
      <c r="O134" s="1466">
        <f>O113</f>
        <v>13.257699999999998</v>
      </c>
    </row>
    <row r="135" spans="2:15">
      <c r="B135" s="2262"/>
      <c r="C135" s="1462" t="s">
        <v>1056</v>
      </c>
      <c r="D135" s="1463"/>
      <c r="E135" s="1463"/>
      <c r="F135" s="1464"/>
      <c r="G135" s="1454"/>
      <c r="H135" s="1454"/>
      <c r="I135" s="1454"/>
      <c r="J135" s="1454"/>
      <c r="K135" s="2350"/>
      <c r="L135" s="1467">
        <f>L123</f>
        <v>100.04755891278688</v>
      </c>
      <c r="M135" s="1454"/>
      <c r="N135" s="1454"/>
      <c r="O135" s="2351">
        <f>O116</f>
        <v>111.16395434754098</v>
      </c>
    </row>
    <row r="136" spans="2:15">
      <c r="B136" s="2262"/>
      <c r="C136" s="1468" t="s">
        <v>557</v>
      </c>
      <c r="D136" s="1469"/>
      <c r="E136" s="1470"/>
      <c r="F136" s="2383"/>
      <c r="G136" s="1454"/>
      <c r="H136" s="1454"/>
      <c r="I136" s="1454"/>
      <c r="J136" s="1454"/>
      <c r="K136" s="2350"/>
      <c r="L136" s="1471">
        <f>IF(COUNTIF(L133:L135,$R$115)&gt;0,$R$115,SUM(L133:L135))</f>
        <v>125.75910891278687</v>
      </c>
      <c r="M136" s="1454"/>
      <c r="N136" s="1454"/>
      <c r="O136" s="1472">
        <f>IF(COUNTIF(O133:O135,$R$115)&gt;0,$R$115,SUM(O133:O135))</f>
        <v>139.19675434754097</v>
      </c>
    </row>
    <row r="137" spans="2:15">
      <c r="B137" s="1444"/>
      <c r="C137" s="2380" t="s">
        <v>218</v>
      </c>
      <c r="D137" s="2381"/>
      <c r="E137" s="2381"/>
      <c r="F137" s="2382"/>
      <c r="G137" s="1454"/>
      <c r="H137" s="1454"/>
      <c r="I137" s="1454"/>
      <c r="J137" s="1454"/>
      <c r="K137" s="2350"/>
      <c r="L137" s="1473">
        <f>IF(O136=R115,R115,L136/O136)</f>
        <v>0.90346293993893334</v>
      </c>
      <c r="M137" s="1454"/>
      <c r="N137" s="1454"/>
      <c r="O137" s="1474">
        <v>1</v>
      </c>
    </row>
    <row r="138" spans="2:15" ht="14.25" thickBot="1">
      <c r="B138" s="1444"/>
      <c r="C138" s="1450"/>
      <c r="D138" s="1450"/>
      <c r="E138" s="1450"/>
      <c r="F138" s="1450"/>
      <c r="G138" s="1454"/>
      <c r="H138" s="1454"/>
      <c r="I138" s="1454"/>
      <c r="J138" s="1454"/>
      <c r="K138" s="2350"/>
      <c r="L138" s="2379"/>
      <c r="M138" s="1454"/>
      <c r="N138" s="1454"/>
      <c r="O138" s="1475"/>
    </row>
    <row r="139" spans="2:15" ht="17.25" thickBot="1">
      <c r="B139" s="1444" t="s">
        <v>221</v>
      </c>
      <c r="C139" s="1450"/>
      <c r="D139" s="1450"/>
      <c r="E139" s="1450"/>
      <c r="F139" s="1450"/>
      <c r="G139" s="1450"/>
      <c r="H139" s="1450"/>
      <c r="I139" s="1450"/>
      <c r="J139" s="1450"/>
      <c r="K139" s="1476" t="s">
        <v>222</v>
      </c>
      <c r="L139" s="1991">
        <f>IF(O136=0,0,ROUNDDOWN(IF(L137=R115,0,IF(L137&lt;0.5,5,IF(L137&gt;1.25,1,IF(L137&gt;1,-8*L137+11,3+(1-L137)*4)))),1))</f>
        <v>3.3</v>
      </c>
      <c r="M139" s="1454"/>
      <c r="N139" s="1450"/>
      <c r="O139" s="1475"/>
    </row>
    <row r="140" spans="2:15" ht="14.25" thickBot="1">
      <c r="B140" s="1477"/>
      <c r="C140" s="1478"/>
      <c r="D140" s="1478"/>
      <c r="E140" s="1478"/>
      <c r="F140" s="1478"/>
      <c r="G140" s="1478"/>
      <c r="H140" s="1478"/>
      <c r="I140" s="1478"/>
      <c r="J140" s="1478"/>
      <c r="K140" s="1478"/>
      <c r="L140" s="1478"/>
      <c r="M140" s="1478"/>
      <c r="N140" s="1478"/>
      <c r="O140" s="14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8D30" sheet="1" objects="1" scenarios="1"/>
  <mergeCells count="4">
    <mergeCell ref="L2:M2"/>
    <mergeCell ref="N2:O2"/>
    <mergeCell ref="L3:M3"/>
    <mergeCell ref="B3:E3"/>
  </mergeCells>
  <phoneticPr fontId="20"/>
  <conditionalFormatting sqref="E135 E133">
    <cfRule type="cellIs" dxfId="14" priority="4" stopIfTrue="1" operator="equal">
      <formula>5</formula>
    </cfRule>
    <cfRule type="cellIs" dxfId="13" priority="5" stopIfTrue="1" operator="equal">
      <formula>4</formula>
    </cfRule>
    <cfRule type="cellIs" dxfId="12" priority="6" stopIfTrue="1" operator="equal">
      <formula>2</formula>
    </cfRule>
  </conditionalFormatting>
  <conditionalFormatting sqref="E137">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FF"/>
    <pageSetUpPr fitToPage="1"/>
  </sheetPr>
  <dimension ref="A1:AA184"/>
  <sheetViews>
    <sheetView showGridLines="0" workbookViewId="0">
      <selection activeCell="E10" sqref="E10"/>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7.125" bestFit="1" customWidth="1"/>
    <col min="17" max="17" width="4.625" hidden="1" customWidth="1"/>
    <col min="18" max="18" width="15.25" hidden="1" customWidth="1"/>
    <col min="19" max="19" width="5.75" hidden="1" customWidth="1"/>
    <col min="20" max="20" width="6.875" hidden="1" customWidth="1"/>
    <col min="21" max="21" width="15.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915"/>
    </row>
    <row r="2" spans="1:21" ht="14.25">
      <c r="B2" s="1422" t="str">
        <f>メイン!C6</f>
        <v>CASBEE-建築(改修)2014年版</v>
      </c>
      <c r="C2" s="1423"/>
      <c r="D2" s="1424"/>
      <c r="E2" s="1425"/>
      <c r="F2" s="1927"/>
      <c r="G2" s="1927"/>
      <c r="H2" s="1927"/>
      <c r="I2" s="1927"/>
      <c r="J2" s="1927"/>
      <c r="K2" s="1927"/>
      <c r="L2" s="2925" t="s">
        <v>466</v>
      </c>
      <c r="M2" s="2925"/>
      <c r="N2" s="2926" t="str">
        <f>メイン!C6</f>
        <v>CASBEE-建築(改修)2014年版</v>
      </c>
      <c r="O2" s="2927"/>
    </row>
    <row r="3" spans="1:21" ht="14.25" thickBot="1">
      <c r="B3" s="2929" t="str">
        <f>メイン!C11</f>
        <v>旧ビル</v>
      </c>
      <c r="C3" s="2930"/>
      <c r="D3" s="2930"/>
      <c r="E3" s="2931"/>
      <c r="F3" s="1927"/>
      <c r="G3" s="1927"/>
      <c r="H3" s="1927"/>
      <c r="I3" s="1927"/>
      <c r="J3" s="1927"/>
      <c r="K3" s="1927"/>
      <c r="L3" s="2925" t="s">
        <v>961</v>
      </c>
      <c r="M3" s="2928"/>
      <c r="N3" s="2306" t="str">
        <f>メイン!C5</f>
        <v>CASBEE-BD_RN_2014(v.2.0)</v>
      </c>
      <c r="O3" s="2307"/>
    </row>
    <row r="4" spans="1:21" ht="6.75" customHeight="1" thickBot="1">
      <c r="B4" s="1927"/>
      <c r="C4" s="1927"/>
      <c r="D4" s="1927"/>
      <c r="E4" s="1927"/>
      <c r="F4" s="1927"/>
      <c r="G4" s="1927"/>
      <c r="H4" s="1927"/>
      <c r="I4" s="1927"/>
      <c r="J4" s="1927"/>
      <c r="K4" s="1927"/>
      <c r="L4" s="1927"/>
      <c r="M4" s="1927"/>
      <c r="N4" s="1927"/>
      <c r="O4" s="1927"/>
    </row>
    <row r="5" spans="1:21" ht="18.75">
      <c r="B5" s="1426" t="s">
        <v>184</v>
      </c>
      <c r="C5" s="1427"/>
      <c r="D5" s="1428"/>
      <c r="E5" s="1429"/>
      <c r="F5" s="1430"/>
      <c r="G5" s="1430"/>
      <c r="H5" s="1430"/>
      <c r="I5" s="1430"/>
      <c r="J5" s="1430"/>
      <c r="K5" s="1427"/>
      <c r="L5" s="1431"/>
      <c r="M5" s="1432"/>
      <c r="N5" s="1433"/>
      <c r="O5" s="1434"/>
    </row>
    <row r="6" spans="1:21" ht="14.25">
      <c r="B6" s="1436"/>
      <c r="C6" s="1437"/>
      <c r="D6" s="1438"/>
      <c r="E6" s="1439"/>
      <c r="F6" s="1440"/>
      <c r="G6" s="1440"/>
      <c r="H6" s="1440"/>
      <c r="I6" s="1440"/>
      <c r="J6" s="1440"/>
      <c r="K6" s="1437"/>
      <c r="L6" s="2217" t="s">
        <v>112</v>
      </c>
      <c r="M6" s="1442"/>
      <c r="N6" s="1443"/>
      <c r="O6" s="2308" t="s">
        <v>185</v>
      </c>
      <c r="R6" t="s">
        <v>498</v>
      </c>
      <c r="S6" t="s">
        <v>499</v>
      </c>
      <c r="T6" t="s">
        <v>500</v>
      </c>
      <c r="U6" t="s">
        <v>311</v>
      </c>
    </row>
    <row r="7" spans="1:21" ht="16.5">
      <c r="B7" s="1444" t="s">
        <v>186</v>
      </c>
      <c r="C7" s="1437"/>
      <c r="D7" s="1438"/>
      <c r="E7" s="1439"/>
      <c r="F7" s="1440"/>
      <c r="G7" s="1440"/>
      <c r="H7" s="1440"/>
      <c r="I7" s="1440"/>
      <c r="J7" s="1440"/>
      <c r="K7" s="1437"/>
      <c r="L7" s="1445"/>
      <c r="M7" s="1442"/>
      <c r="N7" s="1443"/>
      <c r="O7" s="1447"/>
      <c r="R7" t="s">
        <v>1846</v>
      </c>
      <c r="T7" t="s">
        <v>557</v>
      </c>
      <c r="U7" s="2448">
        <f>SUM(S8:S20)+U21+S22+S23+S25</f>
        <v>10000</v>
      </c>
    </row>
    <row r="8" spans="1:21" ht="14.25">
      <c r="B8" s="2211"/>
      <c r="C8" s="1448" t="s">
        <v>188</v>
      </c>
      <c r="D8" s="1449"/>
      <c r="E8" s="1439"/>
      <c r="F8" s="1440"/>
      <c r="G8" s="1440"/>
      <c r="H8" s="1445"/>
      <c r="I8" s="1446"/>
      <c r="J8" s="1445" t="s">
        <v>187</v>
      </c>
      <c r="K8" s="1446"/>
      <c r="L8" s="1445" t="s">
        <v>187</v>
      </c>
      <c r="M8" s="1446"/>
      <c r="N8" s="1446"/>
      <c r="O8" s="1447" t="s">
        <v>187</v>
      </c>
      <c r="R8" s="1" t="str">
        <f>メイン!B47</f>
        <v xml:space="preserve"> 事務所</v>
      </c>
      <c r="S8" s="1">
        <f>メイン!C47</f>
        <v>10000</v>
      </c>
    </row>
    <row r="9" spans="1:21">
      <c r="B9" s="2211"/>
      <c r="C9" s="1457"/>
      <c r="D9" s="1457" t="s">
        <v>194</v>
      </c>
      <c r="E9" s="1454"/>
      <c r="F9" s="2309" t="s">
        <v>189</v>
      </c>
      <c r="G9" s="1454"/>
      <c r="H9" s="1451" t="s">
        <v>190</v>
      </c>
      <c r="I9" s="1451" t="s">
        <v>191</v>
      </c>
      <c r="J9" s="1451" t="s">
        <v>192</v>
      </c>
      <c r="K9" s="1452" t="s">
        <v>193</v>
      </c>
      <c r="L9" s="1453" t="s">
        <v>118</v>
      </c>
      <c r="M9" s="1454"/>
      <c r="N9" s="1452" t="s">
        <v>193</v>
      </c>
      <c r="O9" s="1455" t="s">
        <v>118</v>
      </c>
      <c r="R9" s="1">
        <f>メイン!B48</f>
        <v>0</v>
      </c>
      <c r="S9" s="1">
        <f>メイン!C48</f>
        <v>0</v>
      </c>
    </row>
    <row r="10" spans="1:21">
      <c r="B10" s="2262"/>
      <c r="C10" s="1457"/>
      <c r="D10" s="1457"/>
      <c r="E10" s="1457" t="s">
        <v>539</v>
      </c>
      <c r="F10" s="2310">
        <f>IF($U$7=0,0,S8/$U$7)</f>
        <v>1</v>
      </c>
      <c r="G10" s="1454"/>
      <c r="H10" s="2310">
        <f>IF(OR($F$20=$R$6,$F$20=$U$6),CO2データ!I12,IF($F$20=$S$6,CO2データ!L12,CO2データ!O12))</f>
        <v>11.739099999999999</v>
      </c>
      <c r="I10" s="2310">
        <f>IF(OR($F$20=$R$6,$F$20=$U$6),CO2データ!J12,IF($F$20=$S$6,CO2データ!M12,CO2データ!P12))</f>
        <v>11.739099999999999</v>
      </c>
      <c r="J10" s="2311">
        <f>IF(OR($F$20=$R$6,$F$20=$U$6),CO2データ!K12,IF($F$20=$S$6,CO2データ!N12,CO2データ!Q12))</f>
        <v>11.739099999999999</v>
      </c>
      <c r="K10" s="2294">
        <f>スコア表示!L80</f>
        <v>3</v>
      </c>
      <c r="L10" s="2312">
        <f t="shared" ref="L10:L18" si="0">IF(K10&gt;=5,$J10,IF(K10&gt;=4,$I10,$H10))</f>
        <v>11.739099999999999</v>
      </c>
      <c r="M10" s="1454"/>
      <c r="N10" s="2294">
        <v>3</v>
      </c>
      <c r="O10" s="2313">
        <f>IF(OR($F$20=$R$6,$F$20=$U$6),CO2データ!I7,IF($F$20=$S$6,CO2データ!L7,CO2データ!O7))</f>
        <v>14.004999999999999</v>
      </c>
      <c r="R10" s="1" t="str">
        <f>メイン!B49</f>
        <v xml:space="preserve"> 学校</v>
      </c>
      <c r="S10" s="1">
        <f>メイン!C49</f>
        <v>0</v>
      </c>
    </row>
    <row r="11" spans="1:21">
      <c r="B11" s="2262"/>
      <c r="C11" s="1457"/>
      <c r="D11" s="2314"/>
      <c r="E11" s="1457" t="s">
        <v>206</v>
      </c>
      <c r="F11" s="2310">
        <f>IF($U$7=0,0,S10/$U$7)</f>
        <v>0</v>
      </c>
      <c r="G11" s="1454"/>
      <c r="H11" s="2310">
        <f>IF(OR($F$20=$R$6,$F$20=$U$6),CO2データ!I18,IF($F$20=$S$6,CO2データ!L18,CO2データ!O18))</f>
        <v>8.8994999999999997</v>
      </c>
      <c r="I11" s="2310">
        <f>IF(OR($F$20=$R$6,$F$20=$U$6),CO2データ!J18,IF($F$20=$S$6,CO2データ!M18,CO2データ!P18))</f>
        <v>8.8994999999999997</v>
      </c>
      <c r="J11" s="2311">
        <f>IF(OR($F$20=$R$6,$F$20=$U$6),CO2データ!K18,IF($F$20=$S$6,CO2データ!N18,CO2データ!Q18))</f>
        <v>8.8994999999999997</v>
      </c>
      <c r="K11" s="2294">
        <f t="shared" ref="K11:K18" si="1">K$10</f>
        <v>3</v>
      </c>
      <c r="L11" s="2312">
        <f t="shared" si="0"/>
        <v>8.8994999999999997</v>
      </c>
      <c r="M11" s="1454"/>
      <c r="N11" s="2294">
        <f t="shared" ref="N11:N18" si="2">N$10</f>
        <v>3</v>
      </c>
      <c r="O11" s="2313">
        <f>IF(OR($F$20=$R$6,$F$20=$U$6),CO2データ!I13,IF($F$20=$S$6,CO2データ!L13,CO2データ!O13))</f>
        <v>10.473000000000001</v>
      </c>
      <c r="R11" s="1">
        <f>メイン!B50</f>
        <v>0</v>
      </c>
      <c r="S11" s="1">
        <f>メイン!C50</f>
        <v>0</v>
      </c>
    </row>
    <row r="12" spans="1:21">
      <c r="B12" s="2262"/>
      <c r="C12" s="1457"/>
      <c r="D12" s="1457"/>
      <c r="E12" s="1457" t="s">
        <v>543</v>
      </c>
      <c r="F12" s="2310">
        <f>IF($U$7=0,0,S15/$U$7)</f>
        <v>0</v>
      </c>
      <c r="G12" s="1454"/>
      <c r="H12" s="2310">
        <f>IF(OR($F$20=$R$6,$F$20=$U$6),CO2データ!I24,IF($F$20=$S$6,CO2データ!L24,CO2データ!O24))</f>
        <v>14.121600000000003</v>
      </c>
      <c r="I12" s="2310">
        <f>IF(OR($F$20=$R$6,$F$20=$U$6),CO2データ!J24,IF($F$20=$S$6,CO2データ!M24,CO2データ!P24))</f>
        <v>14.121600000000003</v>
      </c>
      <c r="J12" s="2311">
        <f>IF(OR($F$20=$R$6,$F$20=$U$6),CO2データ!K24,IF($F$20=$S$6,CO2データ!N24,CO2データ!Q24))</f>
        <v>14.121600000000003</v>
      </c>
      <c r="K12" s="2294">
        <f t="shared" si="1"/>
        <v>3</v>
      </c>
      <c r="L12" s="2312">
        <f t="shared" si="0"/>
        <v>14.121600000000003</v>
      </c>
      <c r="M12" s="1454"/>
      <c r="N12" s="2294">
        <f t="shared" si="2"/>
        <v>3</v>
      </c>
      <c r="O12" s="2313">
        <f>IF(OR($F$20=$R$6,$F$20=$U$6),CO2データ!I19,IF($F$20=$S$6,CO2データ!L19,CO2データ!O19))</f>
        <v>16.572000000000003</v>
      </c>
      <c r="R12" s="1">
        <f>メイン!B51</f>
        <v>0</v>
      </c>
      <c r="S12" s="1">
        <f>メイン!C51</f>
        <v>0</v>
      </c>
    </row>
    <row r="13" spans="1:21">
      <c r="B13" s="2262"/>
      <c r="C13" s="1457"/>
      <c r="D13" s="1457"/>
      <c r="E13" s="1457" t="s">
        <v>545</v>
      </c>
      <c r="F13" s="2310">
        <f>IF($U$7=0,0,S17/$U$7)</f>
        <v>0</v>
      </c>
      <c r="G13" s="1454"/>
      <c r="H13" s="2310">
        <f>IF(OR($F$20=$R$6,$F$20=$U$6),CO2データ!I30,IF($F$20=$S$6,CO2データ!L30,CO2データ!O30))</f>
        <v>14.121599999999999</v>
      </c>
      <c r="I13" s="2310">
        <f>IF(OR($F$20=$R$6,$F$20=$U$6),CO2データ!J30,IF($F$20=$S$6,CO2データ!M30,CO2データ!P30))</f>
        <v>14.121600000000003</v>
      </c>
      <c r="J13" s="2311">
        <f>IF(OR($F$20=$R$6,$F$20=$U$6),CO2データ!K30,IF($F$20=$S$6,CO2データ!N30,CO2データ!Q30))</f>
        <v>14.121600000000003</v>
      </c>
      <c r="K13" s="2294">
        <f t="shared" si="1"/>
        <v>3</v>
      </c>
      <c r="L13" s="2312">
        <f t="shared" si="0"/>
        <v>14.121599999999999</v>
      </c>
      <c r="M13" s="1454"/>
      <c r="N13" s="2294">
        <f t="shared" si="2"/>
        <v>3</v>
      </c>
      <c r="O13" s="2313">
        <f>IF(OR($F$20=$R$6,$F$20=$U$6),CO2データ!I25,IF($F$20=$S$6,CO2データ!L25,CO2データ!O25))</f>
        <v>16.571999999999999</v>
      </c>
      <c r="R13" s="1">
        <f>メイン!B52</f>
        <v>0</v>
      </c>
      <c r="S13" s="1">
        <f>メイン!C52</f>
        <v>0</v>
      </c>
    </row>
    <row r="14" spans="1:21">
      <c r="B14" s="2262"/>
      <c r="C14" s="1457"/>
      <c r="D14" s="1457"/>
      <c r="E14" s="161" t="s">
        <v>861</v>
      </c>
      <c r="F14" s="2310">
        <f>IF($U$7=0,0,S18/$U$7)</f>
        <v>0</v>
      </c>
      <c r="G14" s="1454"/>
      <c r="H14" s="2310">
        <f>IF(OR($F$20=$R$6,$F$20=$U$6),CO2データ!I36,IF($F$20=$S$6,CO2データ!L36,CO2データ!O36))</f>
        <v>9.7101000000000006</v>
      </c>
      <c r="I14" s="2310">
        <f>IF(OR($F$20=$R$6,$F$20=$U$6),CO2データ!J36,IF($F$20=$S$6,CO2データ!M36,CO2データ!P36))</f>
        <v>9.7101000000000006</v>
      </c>
      <c r="J14" s="2311">
        <f>IF(OR($F$20=$R$6,$F$20=$U$6),CO2データ!K36,IF($F$20=$S$6,CO2データ!N36,CO2データ!Q36))</f>
        <v>9.7101000000000006</v>
      </c>
      <c r="K14" s="2294">
        <f t="shared" si="1"/>
        <v>3</v>
      </c>
      <c r="L14" s="2312">
        <f t="shared" si="0"/>
        <v>9.7101000000000006</v>
      </c>
      <c r="M14" s="1454"/>
      <c r="N14" s="2294">
        <f t="shared" si="2"/>
        <v>3</v>
      </c>
      <c r="O14" s="2313">
        <f>IF(OR($F$20=$R$6,$F$20=$U$6),CO2データ!I31,IF($F$20=$S$6,CO2データ!L31,CO2データ!O31))</f>
        <v>11.535</v>
      </c>
      <c r="R14" s="1">
        <f>メイン!B53</f>
        <v>0</v>
      </c>
      <c r="S14" s="1">
        <f>メイン!C53</f>
        <v>0</v>
      </c>
    </row>
    <row r="15" spans="1:21">
      <c r="B15" s="2262"/>
      <c r="C15" s="1457"/>
      <c r="D15" s="1457"/>
      <c r="E15" s="161" t="s">
        <v>555</v>
      </c>
      <c r="F15" s="2310">
        <f>IF($U$7=0,0,U21/$U$7)</f>
        <v>0</v>
      </c>
      <c r="G15" s="1454"/>
      <c r="H15" s="2310">
        <f>IF(OR($F$20=$R$6,$F$20=$U$6),CO2データ!I42,IF($F$20=$S$6,CO2データ!L42,CO2データ!O42))</f>
        <v>16.688899999999997</v>
      </c>
      <c r="I15" s="2310">
        <f>IF(OR($F$20=$R$6,$F$20=$U$6),CO2データ!J42,IF($F$20=$S$6,CO2データ!M42,CO2データ!P42))</f>
        <v>16.688899999999997</v>
      </c>
      <c r="J15" s="2311">
        <f>IF(OR($F$20=$R$6,$F$20=$U$6),CO2データ!K42,IF($F$20=$S$6,CO2データ!N42,CO2データ!Q42))</f>
        <v>16.688899999999997</v>
      </c>
      <c r="K15" s="2294">
        <f t="shared" si="1"/>
        <v>3</v>
      </c>
      <c r="L15" s="2312">
        <f t="shared" si="0"/>
        <v>16.688899999999997</v>
      </c>
      <c r="M15" s="1454"/>
      <c r="N15" s="2294">
        <f t="shared" si="2"/>
        <v>3</v>
      </c>
      <c r="O15" s="2313">
        <f>IF(OR($F$20=$R$6,$F$20=$U$6),CO2データ!I37,IF($F$20=$S$6,CO2データ!L37,CO2データ!O37))</f>
        <v>19.561999999999998</v>
      </c>
      <c r="R15" s="1" t="str">
        <f>メイン!B54</f>
        <v xml:space="preserve"> 物販店</v>
      </c>
      <c r="S15" s="1">
        <f>メイン!C54</f>
        <v>0</v>
      </c>
    </row>
    <row r="16" spans="1:21">
      <c r="B16" s="2262"/>
      <c r="C16" s="1457"/>
      <c r="D16" s="1457"/>
      <c r="E16" s="161" t="s">
        <v>549</v>
      </c>
      <c r="F16" s="2310">
        <f>IF($U$7=0,0,S22/$U$7)</f>
        <v>0</v>
      </c>
      <c r="G16" s="1454"/>
      <c r="H16" s="2310">
        <f>IF(OR($F$20=$R$6,$F$20=$U$6),CO2データ!I48,IF($F$20=$S$6,CO2データ!L48,CO2データ!O48))</f>
        <v>9.1732000000000014</v>
      </c>
      <c r="I16" s="2310">
        <f>IF(OR($F$20=$R$6,$F$20=$U$6),CO2データ!J48,IF($F$20=$S$6,CO2データ!M48,CO2データ!P48))</f>
        <v>9.1732000000000014</v>
      </c>
      <c r="J16" s="2311">
        <f>IF(OR($F$20=$R$6,$F$20=$U$6),CO2データ!K48,IF($F$20=$S$6,CO2データ!N48,CO2データ!Q48))</f>
        <v>9.1732000000000014</v>
      </c>
      <c r="K16" s="2294">
        <f t="shared" si="1"/>
        <v>3</v>
      </c>
      <c r="L16" s="2312">
        <f t="shared" si="0"/>
        <v>9.1732000000000014</v>
      </c>
      <c r="M16" s="1454"/>
      <c r="N16" s="2294">
        <f t="shared" si="2"/>
        <v>3</v>
      </c>
      <c r="O16" s="2313">
        <f>IF(OR($F$20=$R$6,$F$20=$U$6),CO2データ!I43,IF($F$20=$S$6,CO2データ!L43,CO2データ!O43))</f>
        <v>10.405000000000001</v>
      </c>
      <c r="R16" s="1">
        <f>メイン!B55</f>
        <v>0</v>
      </c>
      <c r="S16" s="1">
        <f>メイン!C55</f>
        <v>0</v>
      </c>
    </row>
    <row r="17" spans="2:21">
      <c r="B17" s="2262"/>
      <c r="C17" s="1457"/>
      <c r="D17" s="1457"/>
      <c r="E17" s="161" t="s">
        <v>862</v>
      </c>
      <c r="F17" s="2310">
        <f>IF($U$7=0,0,S23/$U$7)</f>
        <v>0</v>
      </c>
      <c r="G17" s="1454"/>
      <c r="H17" s="2310">
        <f>IF(OR($F$20=$R$6,$F$20=$U$6),CO2データ!I54,IF($F$20=$S$6,CO2データ!L54,CO2データ!O54))</f>
        <v>9.4504000000000019</v>
      </c>
      <c r="I17" s="2310">
        <f>IF(OR($F$20=$R$6,$F$20=$U$6),CO2データ!J54,IF($F$20=$S$6,CO2データ!M54,CO2データ!P54))</f>
        <v>9.4504000000000019</v>
      </c>
      <c r="J17" s="2311">
        <f>IF(OR($F$20=$R$6,$F$20=$U$6),CO2データ!K54,IF($F$20=$S$6,CO2データ!N54,CO2データ!Q54))</f>
        <v>9.4504000000000019</v>
      </c>
      <c r="K17" s="2294">
        <f t="shared" si="1"/>
        <v>3</v>
      </c>
      <c r="L17" s="2312">
        <f t="shared" si="0"/>
        <v>9.4504000000000019</v>
      </c>
      <c r="M17" s="1454"/>
      <c r="N17" s="2294">
        <f t="shared" si="2"/>
        <v>3</v>
      </c>
      <c r="O17" s="2313">
        <f>IF(OR($F$20=$R$6,$F$20=$U$6),CO2データ!I49,IF($F$20=$S$6,CO2データ!L49,CO2データ!O49))</f>
        <v>11.119000000000002</v>
      </c>
      <c r="R17" s="1" t="str">
        <f>メイン!B56</f>
        <v xml:space="preserve"> 飲食店</v>
      </c>
      <c r="S17" s="1">
        <f>メイン!C56</f>
        <v>0</v>
      </c>
    </row>
    <row r="18" spans="2:21">
      <c r="B18" s="2262"/>
      <c r="C18" s="1457"/>
      <c r="D18" s="1457"/>
      <c r="E18" s="161" t="s">
        <v>1456</v>
      </c>
      <c r="F18" s="2310">
        <f>IF($U$7=0,0,S25/$U$7)</f>
        <v>0</v>
      </c>
      <c r="G18" s="1454"/>
      <c r="H18" s="2310">
        <f>IF(OR($F$20=$R$6,$F$20=$U$6),CO2データ!I60,IF($F$20=$S$6,CO2データ!L60,CO2データ!O60))</f>
        <v>13.6769</v>
      </c>
      <c r="I18" s="2310">
        <f>IF(OR($F$20=$R$6,$F$20=$U$6),CO2データ!J60,IF($F$20=$S$6,CO2データ!M60,CO2データ!P60))</f>
        <v>6.8385000000000007</v>
      </c>
      <c r="J18" s="2311">
        <f>IF(OR($F$20=$R$6,$F$20=$U$6),CO2データ!K60,IF($F$20=$S$6,CO2データ!N60,CO2データ!Q60))</f>
        <v>4.5590999999999999</v>
      </c>
      <c r="K18" s="2294">
        <f t="shared" si="1"/>
        <v>3</v>
      </c>
      <c r="L18" s="2312">
        <f t="shared" si="0"/>
        <v>13.6769</v>
      </c>
      <c r="M18" s="1454"/>
      <c r="N18" s="2294">
        <f t="shared" si="2"/>
        <v>3</v>
      </c>
      <c r="O18" s="2313">
        <f>IF(OR($F$20=$R$6,$F$20=$U$6),CO2データ!I55,IF($F$20=$S$6,CO2データ!L55,CO2データ!O55))</f>
        <v>15.641</v>
      </c>
      <c r="R18" s="1" t="str">
        <f>メイン!B57</f>
        <v xml:space="preserve"> 集会所</v>
      </c>
      <c r="S18" s="1">
        <f>メイン!C57</f>
        <v>0</v>
      </c>
    </row>
    <row r="19" spans="2:21">
      <c r="B19" s="2262"/>
      <c r="C19" s="1457"/>
      <c r="D19" s="1457"/>
      <c r="E19" s="1457"/>
      <c r="F19" s="1457"/>
      <c r="G19" s="1457"/>
      <c r="H19" s="1457"/>
      <c r="I19" s="2315"/>
      <c r="J19" s="2315"/>
      <c r="K19" s="2316"/>
      <c r="L19" s="2317"/>
      <c r="M19" s="1454"/>
      <c r="N19" s="2316"/>
      <c r="O19" s="2318"/>
      <c r="R19" s="1">
        <f>メイン!B58</f>
        <v>0</v>
      </c>
      <c r="S19" s="1">
        <f>メイン!C58</f>
        <v>0</v>
      </c>
    </row>
    <row r="20" spans="2:21">
      <c r="B20" s="2262"/>
      <c r="C20" s="1454"/>
      <c r="D20" s="1454" t="s">
        <v>197</v>
      </c>
      <c r="E20" s="1454"/>
      <c r="F20" s="2319" t="str">
        <f>メイン!C23</f>
        <v>S造</v>
      </c>
      <c r="G20" s="1454"/>
      <c r="H20" s="2320"/>
      <c r="I20" s="2320"/>
      <c r="J20" s="2320"/>
      <c r="K20" s="2321"/>
      <c r="L20" s="1454"/>
      <c r="M20" s="1454"/>
      <c r="N20" s="2321"/>
      <c r="O20" s="2322"/>
      <c r="R20" s="1">
        <f>メイン!B59</f>
        <v>0</v>
      </c>
      <c r="S20" s="1">
        <f>メイン!C59</f>
        <v>0</v>
      </c>
    </row>
    <row r="21" spans="2:21">
      <c r="B21" s="2323"/>
      <c r="C21" s="2212"/>
      <c r="D21" s="2212" t="s">
        <v>198</v>
      </c>
      <c r="E21" s="2212"/>
      <c r="F21" s="2324">
        <f>'条件(標準)_後'!E31</f>
        <v>0.3</v>
      </c>
      <c r="G21" s="2212"/>
      <c r="H21" s="2212"/>
      <c r="I21" s="2212"/>
      <c r="J21" s="2212"/>
      <c r="K21" s="2212"/>
      <c r="L21" s="2212"/>
      <c r="M21" s="2212"/>
      <c r="N21" s="2325">
        <v>0</v>
      </c>
      <c r="O21" s="2213"/>
      <c r="R21" s="1" t="str">
        <f>メイン!B60</f>
        <v xml:space="preserve"> 工場</v>
      </c>
      <c r="S21" s="1">
        <f>メイン!C60</f>
        <v>0</v>
      </c>
      <c r="T21" s="1" t="str">
        <f>メイン!D60</f>
        <v>㎡ うち省エネ計画書対象面積</v>
      </c>
      <c r="U21" s="1">
        <f>メイン!E60</f>
        <v>0</v>
      </c>
    </row>
    <row r="22" spans="2:21">
      <c r="B22" s="2323"/>
      <c r="C22" s="2212"/>
      <c r="D22" s="2212" t="s">
        <v>199</v>
      </c>
      <c r="E22" s="2212"/>
      <c r="F22" s="2324">
        <f>'条件(標準)_後'!E30</f>
        <v>0</v>
      </c>
      <c r="G22" s="2212"/>
      <c r="H22" s="2212"/>
      <c r="I22" s="2212"/>
      <c r="J22" s="2212"/>
      <c r="K22" s="2212"/>
      <c r="L22" s="2212"/>
      <c r="M22" s="2212"/>
      <c r="N22" s="2325">
        <v>0</v>
      </c>
      <c r="O22" s="2213"/>
      <c r="R22" s="1" t="str">
        <f>メイン!B61</f>
        <v xml:space="preserve"> 病院</v>
      </c>
      <c r="S22" s="1">
        <f>メイン!C61</f>
        <v>0</v>
      </c>
    </row>
    <row r="23" spans="2:21" ht="5.25" customHeight="1" thickBot="1">
      <c r="B23" s="2323"/>
      <c r="C23" s="2212"/>
      <c r="D23" s="2212"/>
      <c r="E23" s="2212"/>
      <c r="F23" s="2212"/>
      <c r="G23" s="2212"/>
      <c r="H23" s="2212"/>
      <c r="I23" s="2212"/>
      <c r="J23" s="2212"/>
      <c r="K23" s="2212"/>
      <c r="L23" s="2212"/>
      <c r="M23" s="2212"/>
      <c r="N23" s="2212"/>
      <c r="O23" s="2213"/>
      <c r="R23" s="1" t="str">
        <f>メイン!B62</f>
        <v xml:space="preserve"> ホテル</v>
      </c>
      <c r="S23" s="1">
        <f>メイン!C62</f>
        <v>0</v>
      </c>
    </row>
    <row r="24" spans="2:21" ht="14.25" thickBot="1">
      <c r="B24" s="2323"/>
      <c r="C24" s="1448" t="s">
        <v>200</v>
      </c>
      <c r="D24" s="1457"/>
      <c r="E24" s="1454"/>
      <c r="F24" s="2212"/>
      <c r="G24" s="2212"/>
      <c r="H24" s="2212"/>
      <c r="I24" s="2212"/>
      <c r="J24" s="2212"/>
      <c r="K24" s="2212"/>
      <c r="L24" s="2326">
        <f>SUMPRODUCT(F10:F18,L10:L18)</f>
        <v>11.739099999999999</v>
      </c>
      <c r="M24" s="2212"/>
      <c r="N24" s="2212"/>
      <c r="O24" s="2326">
        <f>SUMPRODUCT(F10:F18,O10:O18)</f>
        <v>14.004999999999999</v>
      </c>
      <c r="R24" s="1" t="str">
        <f>メイン!B63</f>
        <v xml:space="preserve"> 非住宅　小計</v>
      </c>
      <c r="S24" s="1">
        <f>メイン!C63</f>
        <v>10000</v>
      </c>
    </row>
    <row r="25" spans="2:21">
      <c r="B25" s="2323"/>
      <c r="C25" s="1454"/>
      <c r="D25" s="1457"/>
      <c r="E25" s="161"/>
      <c r="F25" s="2212"/>
      <c r="G25" s="2212"/>
      <c r="H25" s="2212"/>
      <c r="I25" s="2212"/>
      <c r="J25" s="2212"/>
      <c r="K25" s="2212"/>
      <c r="L25" s="2327"/>
      <c r="M25" s="2212"/>
      <c r="N25" s="2212"/>
      <c r="O25" s="2328"/>
      <c r="R25" s="1" t="str">
        <f>メイン!B64</f>
        <v xml:space="preserve"> 集合住宅</v>
      </c>
      <c r="S25" s="1">
        <f>メイン!C64</f>
        <v>0</v>
      </c>
    </row>
    <row r="26" spans="2:21" hidden="1">
      <c r="B26" s="2323"/>
      <c r="C26" s="1454" t="s">
        <v>201</v>
      </c>
      <c r="D26" s="2212"/>
      <c r="E26" s="1457" t="s">
        <v>539</v>
      </c>
      <c r="F26" s="2395">
        <f>メイン!R47</f>
        <v>1</v>
      </c>
      <c r="G26" s="2212"/>
      <c r="H26" s="2310">
        <f>IF(OR($F$20=$R$6,$F$20=$U$6),CO2データ!I203,IF($F$20=$S$6,CO2データ!L203,CO2データ!O203))</f>
        <v>60</v>
      </c>
      <c r="I26" s="2310">
        <f>IF(OR($F$20=$R$6,$F$20=$U$6),CO2データ!J203,IF($F$20=$S$6,CO2データ!M203,CO2データ!P203))</f>
        <v>60</v>
      </c>
      <c r="J26" s="2310">
        <f>IF(OR($F$20=$R$6,$F$20=$U$6),CO2データ!K203,IF($F$20=$S$6,CO2データ!N203,CO2データ!Q203))</f>
        <v>60</v>
      </c>
      <c r="K26" s="2329">
        <f t="shared" ref="K26:K34" si="3">K10</f>
        <v>3</v>
      </c>
      <c r="L26" s="2330">
        <f>IF($F26=1,IF($K26&lt;4,$H26,IF($K26&lt;5,$I26,$J26)),0)</f>
        <v>60</v>
      </c>
      <c r="M26" s="2212"/>
      <c r="N26" s="2294">
        <v>3</v>
      </c>
      <c r="O26" s="2331">
        <f t="shared" ref="O26:O34" si="4">IF($F26=1,IF($N26&lt;4,$H26,IF($N26&lt;5,$I26,$J26)),0)</f>
        <v>60</v>
      </c>
      <c r="R26" t="str">
        <f t="shared" ref="R26:R34" si="5">IF($F26&lt;&gt;1,"",$E26&amp;"部分"&amp;L26&amp;"年,")</f>
        <v>事務所部分60年,</v>
      </c>
      <c r="U26" t="str">
        <f t="shared" ref="U26:U34" si="6">IF($F26&lt;&gt;1,"",$E26&amp;"部分"&amp;O26&amp;"年,")</f>
        <v>事務所部分60年,</v>
      </c>
    </row>
    <row r="27" spans="2:21" hidden="1">
      <c r="B27" s="2323"/>
      <c r="C27" s="1454"/>
      <c r="D27" s="2212"/>
      <c r="E27" s="1457" t="s">
        <v>541</v>
      </c>
      <c r="F27" s="2395">
        <f>メイン!R49</f>
        <v>0</v>
      </c>
      <c r="G27" s="2212"/>
      <c r="H27" s="2310">
        <f>IF(OR($F$20=$R$6,$F$20=$U$6),CO2データ!I204,IF($F$20=$S$6,CO2データ!L204,CO2データ!O204))</f>
        <v>60</v>
      </c>
      <c r="I27" s="2310">
        <f>IF(OR($F$20=$R$6,$F$20=$U$6),CO2データ!J204,IF($F$20=$S$6,CO2データ!M204,CO2データ!P204))</f>
        <v>60</v>
      </c>
      <c r="J27" s="2310">
        <f>IF(OR($F$20=$R$6,$F$20=$U$6),CO2データ!K204,IF($F$20=$S$6,CO2データ!N204,CO2データ!Q204))</f>
        <v>60</v>
      </c>
      <c r="K27" s="2329">
        <f t="shared" si="3"/>
        <v>3</v>
      </c>
      <c r="L27" s="2330">
        <f t="shared" ref="L27:L34" si="7">IF($F27=1,IF($K27&lt;4,$H27,IF($K27&lt;5,$I27,$J27)),0)</f>
        <v>0</v>
      </c>
      <c r="M27" s="2212"/>
      <c r="N27" s="2294">
        <v>3</v>
      </c>
      <c r="O27" s="2331">
        <f t="shared" si="4"/>
        <v>0</v>
      </c>
      <c r="R27" t="str">
        <f t="shared" si="5"/>
        <v/>
      </c>
      <c r="U27" t="str">
        <f t="shared" si="6"/>
        <v/>
      </c>
    </row>
    <row r="28" spans="2:21" hidden="1">
      <c r="B28" s="2323"/>
      <c r="C28" s="1454"/>
      <c r="D28" s="2212"/>
      <c r="E28" s="1457" t="s">
        <v>543</v>
      </c>
      <c r="F28" s="2395">
        <f>メイン!R54</f>
        <v>0</v>
      </c>
      <c r="G28" s="2212"/>
      <c r="H28" s="2310">
        <f>IF(OR($F$20=$R$6,$F$20=$U$6),CO2データ!I205,IF($F$20=$S$6,CO2データ!L205,CO2データ!O205))</f>
        <v>30</v>
      </c>
      <c r="I28" s="2310">
        <f>IF(OR($F$20=$R$6,$F$20=$U$6),CO2データ!J205,IF($F$20=$S$6,CO2データ!M205,CO2データ!P205))</f>
        <v>30</v>
      </c>
      <c r="J28" s="2310">
        <f>IF(OR($F$20=$R$6,$F$20=$U$6),CO2データ!K205,IF($F$20=$S$6,CO2データ!N205,CO2データ!Q205))</f>
        <v>30</v>
      </c>
      <c r="K28" s="2329">
        <f t="shared" si="3"/>
        <v>3</v>
      </c>
      <c r="L28" s="2330">
        <f t="shared" si="7"/>
        <v>0</v>
      </c>
      <c r="M28" s="2212"/>
      <c r="N28" s="2294">
        <v>3</v>
      </c>
      <c r="O28" s="2331">
        <f t="shared" si="4"/>
        <v>0</v>
      </c>
      <c r="R28" t="str">
        <f t="shared" si="5"/>
        <v/>
      </c>
      <c r="U28" t="str">
        <f t="shared" si="6"/>
        <v/>
      </c>
    </row>
    <row r="29" spans="2:21" hidden="1">
      <c r="B29" s="2323"/>
      <c r="C29" s="1454"/>
      <c r="D29" s="2212"/>
      <c r="E29" s="1457" t="s">
        <v>545</v>
      </c>
      <c r="F29" s="2395">
        <f>メイン!R56</f>
        <v>0</v>
      </c>
      <c r="G29" s="2212"/>
      <c r="H29" s="2310">
        <f>IF(OR($F$20=$R$6,$F$20=$U$6),CO2データ!I206,IF($F$20=$S$6,CO2データ!L206,CO2データ!O206))</f>
        <v>30</v>
      </c>
      <c r="I29" s="2310">
        <f>IF(OR($F$20=$R$6,$F$20=$U$6),CO2データ!J206,IF($F$20=$S$6,CO2データ!M206,CO2データ!P206))</f>
        <v>30</v>
      </c>
      <c r="J29" s="2310">
        <f>IF(OR($F$20=$R$6,$F$20=$U$6),CO2データ!K206,IF($F$20=$S$6,CO2データ!N206,CO2データ!Q206))</f>
        <v>30</v>
      </c>
      <c r="K29" s="2329">
        <f t="shared" si="3"/>
        <v>3</v>
      </c>
      <c r="L29" s="2330">
        <f t="shared" si="7"/>
        <v>0</v>
      </c>
      <c r="M29" s="2212"/>
      <c r="N29" s="2294">
        <v>3</v>
      </c>
      <c r="O29" s="2331">
        <f t="shared" si="4"/>
        <v>0</v>
      </c>
      <c r="R29" t="str">
        <f t="shared" si="5"/>
        <v/>
      </c>
      <c r="U29" t="str">
        <f t="shared" si="6"/>
        <v/>
      </c>
    </row>
    <row r="30" spans="2:21" hidden="1">
      <c r="B30" s="2323"/>
      <c r="C30" s="1454"/>
      <c r="D30" s="2212"/>
      <c r="E30" s="161" t="s">
        <v>861</v>
      </c>
      <c r="F30" s="2395">
        <f>メイン!R57</f>
        <v>0</v>
      </c>
      <c r="G30" s="2212"/>
      <c r="H30" s="2310">
        <f>IF(OR($F$20=$R$6,$F$20=$U$6),CO2データ!I207,IF($F$20=$S$6,CO2データ!L207,CO2データ!O207))</f>
        <v>60</v>
      </c>
      <c r="I30" s="2310">
        <f>IF(OR($F$20=$R$6,$F$20=$U$6),CO2データ!J207,IF($F$20=$S$6,CO2データ!M207,CO2データ!P207))</f>
        <v>60</v>
      </c>
      <c r="J30" s="2310">
        <f>IF(OR($F$20=$R$6,$F$20=$U$6),CO2データ!K207,IF($F$20=$S$6,CO2データ!N207,CO2データ!Q207))</f>
        <v>60</v>
      </c>
      <c r="K30" s="2329">
        <f t="shared" si="3"/>
        <v>3</v>
      </c>
      <c r="L30" s="2330">
        <f t="shared" si="7"/>
        <v>0</v>
      </c>
      <c r="M30" s="2212"/>
      <c r="N30" s="2294">
        <v>3</v>
      </c>
      <c r="O30" s="2331">
        <f t="shared" si="4"/>
        <v>0</v>
      </c>
      <c r="R30" t="str">
        <f t="shared" si="5"/>
        <v/>
      </c>
      <c r="U30" t="str">
        <f t="shared" si="6"/>
        <v/>
      </c>
    </row>
    <row r="31" spans="2:21" hidden="1">
      <c r="B31" s="2323"/>
      <c r="C31" s="1454"/>
      <c r="D31" s="2212"/>
      <c r="E31" s="161" t="s">
        <v>555</v>
      </c>
      <c r="F31" s="2395">
        <f>メイン!R63</f>
        <v>0</v>
      </c>
      <c r="G31" s="2212"/>
      <c r="H31" s="2310">
        <f>IF(OR($F$20=$R$6,$F$20=$U$6),CO2データ!I208,IF($F$20=$S$6,CO2データ!L208,CO2データ!O208))</f>
        <v>30</v>
      </c>
      <c r="I31" s="2310">
        <f>IF(OR($F$20=$R$6,$F$20=$U$6),CO2データ!J208,IF($F$20=$S$6,CO2データ!M208,CO2データ!P208))</f>
        <v>30</v>
      </c>
      <c r="J31" s="2310">
        <f>IF(OR($F$20=$R$6,$F$20=$U$6),CO2データ!K208,IF($F$20=$S$6,CO2データ!N208,CO2データ!Q208))</f>
        <v>30</v>
      </c>
      <c r="K31" s="2329">
        <f t="shared" si="3"/>
        <v>3</v>
      </c>
      <c r="L31" s="2330">
        <f t="shared" si="7"/>
        <v>0</v>
      </c>
      <c r="M31" s="2212"/>
      <c r="N31" s="2294">
        <v>3</v>
      </c>
      <c r="O31" s="2331">
        <f t="shared" si="4"/>
        <v>0</v>
      </c>
      <c r="R31" t="str">
        <f t="shared" si="5"/>
        <v/>
      </c>
      <c r="U31" t="str">
        <f t="shared" si="6"/>
        <v/>
      </c>
    </row>
    <row r="32" spans="2:21" hidden="1">
      <c r="B32" s="2323"/>
      <c r="C32" s="1454"/>
      <c r="D32" s="2212"/>
      <c r="E32" s="161" t="s">
        <v>549</v>
      </c>
      <c r="F32" s="2395">
        <f>メイン!R60</f>
        <v>0</v>
      </c>
      <c r="G32" s="2212"/>
      <c r="H32" s="2310">
        <f>IF(OR($F$20=$R$6,$F$20=$U$6),CO2データ!I209,IF($F$20=$S$6,CO2データ!L209,CO2データ!O209))</f>
        <v>60</v>
      </c>
      <c r="I32" s="2310">
        <f>IF(OR($F$20=$R$6,$F$20=$U$6),CO2データ!J209,IF($F$20=$S$6,CO2データ!M209,CO2データ!P209))</f>
        <v>60</v>
      </c>
      <c r="J32" s="2310">
        <f>IF(OR($F$20=$R$6,$F$20=$U$6),CO2データ!K209,IF($F$20=$S$6,CO2データ!N209,CO2データ!Q209))</f>
        <v>60</v>
      </c>
      <c r="K32" s="2329">
        <f t="shared" si="3"/>
        <v>3</v>
      </c>
      <c r="L32" s="2330">
        <f t="shared" si="7"/>
        <v>0</v>
      </c>
      <c r="M32" s="2212"/>
      <c r="N32" s="2294">
        <v>3</v>
      </c>
      <c r="O32" s="2331">
        <f t="shared" si="4"/>
        <v>0</v>
      </c>
      <c r="R32" t="str">
        <f t="shared" si="5"/>
        <v/>
      </c>
      <c r="U32" t="str">
        <f t="shared" si="6"/>
        <v/>
      </c>
    </row>
    <row r="33" spans="2:21" hidden="1">
      <c r="B33" s="2323"/>
      <c r="C33" s="1454"/>
      <c r="D33" s="2212"/>
      <c r="E33" s="161" t="s">
        <v>862</v>
      </c>
      <c r="F33" s="2395">
        <f>メイン!R61</f>
        <v>0</v>
      </c>
      <c r="G33" s="2212"/>
      <c r="H33" s="2310">
        <f>IF(OR($F$20=$R$6,$F$20=$U$6),CO2データ!I210,IF($F$20=$S$6,CO2データ!L210,CO2データ!O210))</f>
        <v>60</v>
      </c>
      <c r="I33" s="2310">
        <f>IF(OR($F$20=$R$6,$F$20=$U$6),CO2データ!J210,IF($F$20=$S$6,CO2データ!M210,CO2データ!P210))</f>
        <v>60</v>
      </c>
      <c r="J33" s="2310">
        <f>IF(OR($F$20=$R$6,$F$20=$U$6),CO2データ!K210,IF($F$20=$S$6,CO2データ!N210,CO2データ!Q210))</f>
        <v>60</v>
      </c>
      <c r="K33" s="2329">
        <f t="shared" si="3"/>
        <v>3</v>
      </c>
      <c r="L33" s="2330">
        <f t="shared" si="7"/>
        <v>0</v>
      </c>
      <c r="M33" s="2212"/>
      <c r="N33" s="2294">
        <v>3</v>
      </c>
      <c r="O33" s="2331">
        <f t="shared" si="4"/>
        <v>0</v>
      </c>
      <c r="R33" t="str">
        <f t="shared" si="5"/>
        <v/>
      </c>
      <c r="U33" t="str">
        <f t="shared" si="6"/>
        <v/>
      </c>
    </row>
    <row r="34" spans="2:21" ht="14.25" hidden="1" thickBot="1">
      <c r="B34" s="2323"/>
      <c r="C34" s="1454"/>
      <c r="D34" s="2212"/>
      <c r="E34" s="161" t="s">
        <v>553</v>
      </c>
      <c r="F34" s="2395">
        <f>メイン!R62</f>
        <v>0</v>
      </c>
      <c r="G34" s="2212"/>
      <c r="H34" s="2310">
        <f>IF(OR($F$20=$R$6,$F$20=$U$6),CO2データ!I211,IF($F$20=$S$6,CO2データ!L211,CO2データ!O211))</f>
        <v>30</v>
      </c>
      <c r="I34" s="2310">
        <f>IF(OR($F$20=$R$6,$F$20=$U$6),CO2データ!J211,IF($F$20=$S$6,CO2データ!M211,CO2データ!P211))</f>
        <v>60</v>
      </c>
      <c r="J34" s="2310">
        <f>IF(OR($F$20=$R$6,$F$20=$U$6),CO2データ!K211,IF($F$20=$S$6,CO2データ!N211,CO2データ!Q211))</f>
        <v>90</v>
      </c>
      <c r="K34" s="2329">
        <f t="shared" si="3"/>
        <v>3</v>
      </c>
      <c r="L34" s="2330">
        <f t="shared" si="7"/>
        <v>0</v>
      </c>
      <c r="M34" s="2212"/>
      <c r="N34" s="2294">
        <v>3</v>
      </c>
      <c r="O34" s="2331">
        <f t="shared" si="4"/>
        <v>0</v>
      </c>
      <c r="R34" t="str">
        <f t="shared" si="5"/>
        <v/>
      </c>
      <c r="U34" t="str">
        <f t="shared" si="6"/>
        <v/>
      </c>
    </row>
    <row r="35" spans="2:21" ht="14.25" hidden="1" thickBot="1">
      <c r="B35" s="2323"/>
      <c r="C35" s="1454"/>
      <c r="D35" s="2212"/>
      <c r="E35" s="161"/>
      <c r="F35" s="161"/>
      <c r="G35" s="161"/>
      <c r="H35" s="161"/>
      <c r="I35" s="161"/>
      <c r="J35" s="161"/>
      <c r="K35" s="161"/>
      <c r="L35" s="2332" t="str">
        <f>R26&amp;R27&amp;R28&amp;R29&amp;R30&amp;R31&amp;R32&amp;R33&amp;R34&amp;R35</f>
        <v>事務所部分60年,</v>
      </c>
      <c r="M35" s="161"/>
      <c r="N35" s="161"/>
      <c r="O35" s="2332" t="str">
        <f>U26&amp;U27&amp;U28&amp;U29&amp;U30&amp;U31&amp;U32&amp;U33&amp;U34&amp;U35</f>
        <v>事務所部分60年,</v>
      </c>
      <c r="R35" t="str">
        <f>IF(SUM(F26:F34)&gt;1,"他","")</f>
        <v/>
      </c>
      <c r="U35" t="str">
        <f>IF(SUM(F26:F34)&gt;1,"他","")</f>
        <v/>
      </c>
    </row>
    <row r="36" spans="2:21" hidden="1">
      <c r="B36" s="2323"/>
      <c r="C36" s="1454"/>
      <c r="D36" s="2212"/>
      <c r="E36" s="161"/>
      <c r="F36" s="161"/>
      <c r="G36" s="161"/>
      <c r="H36" s="161"/>
      <c r="I36" s="161"/>
      <c r="J36" s="161"/>
      <c r="K36" s="161"/>
      <c r="L36" s="161"/>
      <c r="M36" s="161"/>
      <c r="N36" s="161"/>
      <c r="O36" s="2333"/>
    </row>
    <row r="37" spans="2:21" hidden="1">
      <c r="B37" s="2334"/>
      <c r="C37" s="2335" t="s">
        <v>127</v>
      </c>
      <c r="D37" s="2335"/>
      <c r="E37" s="2264"/>
      <c r="F37" s="2264"/>
      <c r="G37" s="2264"/>
      <c r="H37" s="2336"/>
      <c r="I37" s="2337" t="s">
        <v>202</v>
      </c>
      <c r="J37" s="2337" t="s">
        <v>203</v>
      </c>
      <c r="K37" s="2338"/>
      <c r="L37" s="2338"/>
      <c r="M37" s="2338"/>
      <c r="N37" s="2338"/>
      <c r="O37" s="2339"/>
    </row>
    <row r="38" spans="2:21" hidden="1">
      <c r="B38" s="2334"/>
      <c r="C38" s="2264"/>
      <c r="D38" s="2264" t="s">
        <v>204</v>
      </c>
      <c r="E38" s="2264"/>
      <c r="F38" s="2310">
        <f>F10</f>
        <v>1</v>
      </c>
      <c r="G38" s="2264"/>
      <c r="H38" s="2310">
        <f>IF(OR($F$20=$R$6,$F$20=$U$6),CO2データ!I214,IF($F$20=$S$6,CO2データ!L214,CO2データ!O214))</f>
        <v>0.56699999999999995</v>
      </c>
      <c r="I38" s="2310">
        <f>IF(OR($F$20=$R$6,$F$20=$U$6),CO2データ!J214,IF($F$20=$S$6,CO2データ!M214,CO2データ!P214))</f>
        <v>0</v>
      </c>
      <c r="J38" s="2310">
        <f>IF(OR($F$20=$R$6,$F$20=$U$6),CO2データ!K214,IF($F$20=$S$6,CO2データ!N214,CO2データ!Q214))</f>
        <v>0</v>
      </c>
      <c r="K38" s="2338"/>
      <c r="L38" s="2336">
        <f t="shared" ref="L38:L91" si="8">H38-(H38-I38)*$F$21-(H38-J38)*$F$22</f>
        <v>0.39689999999999998</v>
      </c>
      <c r="M38" s="2338"/>
      <c r="N38" s="2336"/>
      <c r="O38" s="2340">
        <f t="shared" ref="O38:O91" si="9">H38</f>
        <v>0.56699999999999995</v>
      </c>
      <c r="P38" t="s">
        <v>205</v>
      </c>
    </row>
    <row r="39" spans="2:21" hidden="1">
      <c r="B39" s="2334"/>
      <c r="C39" s="2264"/>
      <c r="D39" s="2264"/>
      <c r="E39" s="2264"/>
      <c r="F39" s="2310">
        <f>$F$38</f>
        <v>1</v>
      </c>
      <c r="G39" s="2264"/>
      <c r="H39" s="2310">
        <f>IF(OR($F$20=$R$6,$F$20=$U$6),CO2データ!I215,IF($F$20=$S$6,CO2データ!L215,CO2データ!O215))</f>
        <v>0</v>
      </c>
      <c r="I39" s="2310">
        <f>IF(OR($F$20=$R$6,$F$20=$U$6),CO2データ!J215,IF($F$20=$S$6,CO2データ!M215,CO2データ!P215))</f>
        <v>0</v>
      </c>
      <c r="J39" s="2310">
        <f>IF(OR($F$20=$R$6,$F$20=$U$6),CO2データ!K215,IF($F$20=$S$6,CO2データ!N215,CO2データ!Q215))</f>
        <v>0.56699999999999995</v>
      </c>
      <c r="K39" s="2338"/>
      <c r="L39" s="2336">
        <f t="shared" si="8"/>
        <v>0</v>
      </c>
      <c r="M39" s="2338"/>
      <c r="N39" s="2336"/>
      <c r="O39" s="2340">
        <f t="shared" si="9"/>
        <v>0</v>
      </c>
      <c r="P39" t="s">
        <v>205</v>
      </c>
    </row>
    <row r="40" spans="2:21" hidden="1">
      <c r="B40" s="2334"/>
      <c r="C40" s="2264"/>
      <c r="D40" s="2264"/>
      <c r="E40" s="2264"/>
      <c r="F40" s="2310">
        <f>$F$38</f>
        <v>1</v>
      </c>
      <c r="G40" s="2264"/>
      <c r="H40" s="2310">
        <f>IF(OR($F$20=$R$6,$F$20=$U$6),CO2データ!I216,IF($F$20=$S$6,CO2データ!L216,CO2データ!O216))</f>
        <v>0.13600000000000001</v>
      </c>
      <c r="I40" s="2310">
        <f>IF(OR($F$20=$R$6,$F$20=$U$6),CO2データ!J216,IF($F$20=$S$6,CO2データ!M216,CO2データ!P216))</f>
        <v>0</v>
      </c>
      <c r="J40" s="2310">
        <f>IF(OR($F$20=$R$6,$F$20=$U$6),CO2データ!K216,IF($F$20=$S$6,CO2データ!N216,CO2データ!Q216))</f>
        <v>0.13600000000000001</v>
      </c>
      <c r="K40" s="2338"/>
      <c r="L40" s="2336">
        <f t="shared" si="8"/>
        <v>9.5200000000000007E-2</v>
      </c>
      <c r="M40" s="2338"/>
      <c r="N40" s="2336"/>
      <c r="O40" s="2340">
        <f t="shared" si="9"/>
        <v>0.13600000000000001</v>
      </c>
      <c r="P40" t="s">
        <v>132</v>
      </c>
    </row>
    <row r="41" spans="2:21" hidden="1">
      <c r="B41" s="2334"/>
      <c r="C41" s="2264"/>
      <c r="D41" s="2264"/>
      <c r="E41" s="2264"/>
      <c r="F41" s="2310">
        <f>$F$38</f>
        <v>1</v>
      </c>
      <c r="G41" s="2264"/>
      <c r="H41" s="2310">
        <f>IF(OR($F$20=$R$6,$F$20=$U$6),CO2データ!I217,IF($F$20=$S$6,CO2データ!L217,CO2データ!O217))</f>
        <v>0</v>
      </c>
      <c r="I41" s="2310">
        <f>IF(OR($F$20=$R$6,$F$20=$U$6),CO2データ!J217,IF($F$20=$S$6,CO2データ!M217,CO2データ!P217))</f>
        <v>0</v>
      </c>
      <c r="J41" s="2310">
        <f>IF(OR($F$20=$R$6,$F$20=$U$6),CO2データ!K217,IF($F$20=$S$6,CO2データ!N217,CO2データ!Q217))</f>
        <v>0</v>
      </c>
      <c r="K41" s="2338"/>
      <c r="L41" s="2336">
        <f t="shared" si="8"/>
        <v>0</v>
      </c>
      <c r="M41" s="2338"/>
      <c r="N41" s="2336"/>
      <c r="O41" s="2340">
        <f t="shared" si="9"/>
        <v>0</v>
      </c>
      <c r="P41" t="s">
        <v>132</v>
      </c>
    </row>
    <row r="42" spans="2:21" hidden="1">
      <c r="B42" s="2334"/>
      <c r="C42" s="2264"/>
      <c r="D42" s="2264"/>
      <c r="E42" s="2264"/>
      <c r="F42" s="2310">
        <f>$F$38</f>
        <v>1</v>
      </c>
      <c r="G42" s="2264"/>
      <c r="H42" s="2310">
        <f>IF(OR($F$20=$R$6,$F$20=$U$6),CO2データ!I218,IF($F$20=$S$6,CO2データ!L218,CO2データ!O218))</f>
        <v>7.0000000000000007E-2</v>
      </c>
      <c r="I42" s="2310">
        <f>IF(OR($F$20=$R$6,$F$20=$U$6),CO2データ!J218,IF($F$20=$S$6,CO2データ!M218,CO2データ!P218))</f>
        <v>0</v>
      </c>
      <c r="J42" s="2310">
        <f>IF(OR($F$20=$R$6,$F$20=$U$6),CO2データ!K218,IF($F$20=$S$6,CO2データ!N218,CO2データ!Q218))</f>
        <v>7.0000000000000007E-2</v>
      </c>
      <c r="K42" s="2338"/>
      <c r="L42" s="2336">
        <f t="shared" si="8"/>
        <v>4.9000000000000002E-2</v>
      </c>
      <c r="M42" s="2338"/>
      <c r="N42" s="2336"/>
      <c r="O42" s="2340">
        <f t="shared" si="9"/>
        <v>7.0000000000000007E-2</v>
      </c>
      <c r="P42" t="s">
        <v>132</v>
      </c>
    </row>
    <row r="43" spans="2:21" hidden="1">
      <c r="B43" s="2334"/>
      <c r="C43" s="2264"/>
      <c r="D43" s="2264"/>
      <c r="E43" s="2264"/>
      <c r="F43" s="2310">
        <f>$F$38</f>
        <v>1</v>
      </c>
      <c r="G43" s="2264"/>
      <c r="H43" s="2310">
        <f>IF(OR($F$20=$R$6,$F$20=$U$6),CO2データ!I219,IF($F$20=$S$6,CO2データ!L219,CO2データ!O219))</f>
        <v>5.0000000000000001E-3</v>
      </c>
      <c r="I43" s="2310">
        <f>IF(OR($F$20=$R$6,$F$20=$U$6),CO2データ!J219,IF($F$20=$S$6,CO2データ!M219,CO2データ!P219))</f>
        <v>0</v>
      </c>
      <c r="J43" s="2310">
        <f>IF(OR($F$20=$R$6,$F$20=$U$6),CO2データ!K219,IF($F$20=$S$6,CO2データ!N219,CO2データ!Q219))</f>
        <v>5.0000000000000001E-3</v>
      </c>
      <c r="K43" s="2338"/>
      <c r="L43" s="2336">
        <f t="shared" si="8"/>
        <v>3.5000000000000001E-3</v>
      </c>
      <c r="M43" s="2338"/>
      <c r="N43" s="2336"/>
      <c r="O43" s="2340">
        <f t="shared" si="9"/>
        <v>5.0000000000000001E-3</v>
      </c>
      <c r="P43" t="s">
        <v>132</v>
      </c>
    </row>
    <row r="44" spans="2:21" hidden="1">
      <c r="B44" s="2334"/>
      <c r="C44" s="2264"/>
      <c r="D44" s="2264" t="s">
        <v>206</v>
      </c>
      <c r="E44" s="2264"/>
      <c r="F44" s="2310">
        <f>F11</f>
        <v>0</v>
      </c>
      <c r="G44" s="2264"/>
      <c r="H44" s="2310">
        <f>IF(OR($F$20=$R$6,$F$20=$U$6),CO2データ!I220,IF($F$20=$S$6,CO2データ!L220,CO2データ!O220))</f>
        <v>0.35199999999999998</v>
      </c>
      <c r="I44" s="2310">
        <f>IF(OR($F$20=$R$6,$F$20=$U$6),CO2データ!J220,IF($F$20=$S$6,CO2データ!M220,CO2データ!P220))</f>
        <v>0</v>
      </c>
      <c r="J44" s="2310">
        <f>IF(OR($F$20=$R$6,$F$20=$U$6),CO2データ!K220,IF($F$20=$S$6,CO2データ!N220,CO2データ!Q220))</f>
        <v>0</v>
      </c>
      <c r="K44" s="2338"/>
      <c r="L44" s="2336">
        <f t="shared" si="8"/>
        <v>0.24640000000000001</v>
      </c>
      <c r="M44" s="2338"/>
      <c r="N44" s="2336"/>
      <c r="O44" s="2340">
        <f t="shared" si="9"/>
        <v>0.35199999999999998</v>
      </c>
      <c r="P44" t="s">
        <v>205</v>
      </c>
    </row>
    <row r="45" spans="2:21" hidden="1">
      <c r="B45" s="2334"/>
      <c r="C45" s="2264"/>
      <c r="D45" s="2264"/>
      <c r="E45" s="2264"/>
      <c r="F45" s="2310">
        <f>$F$44</f>
        <v>0</v>
      </c>
      <c r="G45" s="2264"/>
      <c r="H45" s="2310">
        <f>IF(OR($F$20=$R$6,$F$20=$U$6),CO2データ!I221,IF($F$20=$S$6,CO2データ!L221,CO2データ!O221))</f>
        <v>0</v>
      </c>
      <c r="I45" s="2310">
        <f>IF(OR($F$20=$R$6,$F$20=$U$6),CO2データ!J221,IF($F$20=$S$6,CO2データ!M221,CO2データ!P221))</f>
        <v>0</v>
      </c>
      <c r="J45" s="2310">
        <f>IF(OR($F$20=$R$6,$F$20=$U$6),CO2データ!K221,IF($F$20=$S$6,CO2データ!N221,CO2データ!Q221))</f>
        <v>0.35199999999999998</v>
      </c>
      <c r="K45" s="2338"/>
      <c r="L45" s="2336">
        <f t="shared" si="8"/>
        <v>0</v>
      </c>
      <c r="M45" s="2338"/>
      <c r="N45" s="2336"/>
      <c r="O45" s="2340">
        <f t="shared" si="9"/>
        <v>0</v>
      </c>
      <c r="P45" t="s">
        <v>205</v>
      </c>
    </row>
    <row r="46" spans="2:21" hidden="1">
      <c r="B46" s="2334"/>
      <c r="C46" s="2264"/>
      <c r="D46" s="2264"/>
      <c r="E46" s="2264"/>
      <c r="F46" s="2310">
        <f>$F$44</f>
        <v>0</v>
      </c>
      <c r="G46" s="2264"/>
      <c r="H46" s="2310">
        <f>IF(OR($F$20=$R$6,$F$20=$U$6),CO2データ!I222,IF($F$20=$S$6,CO2データ!L222,CO2データ!O222))</f>
        <v>0.105</v>
      </c>
      <c r="I46" s="2310">
        <f>IF(OR($F$20=$R$6,$F$20=$U$6),CO2データ!J222,IF($F$20=$S$6,CO2データ!M222,CO2データ!P222))</f>
        <v>0</v>
      </c>
      <c r="J46" s="2310">
        <f>IF(OR($F$20=$R$6,$F$20=$U$6),CO2データ!K222,IF($F$20=$S$6,CO2データ!N222,CO2データ!Q222))</f>
        <v>0.105</v>
      </c>
      <c r="K46" s="2338"/>
      <c r="L46" s="2336">
        <f t="shared" si="8"/>
        <v>7.3499999999999996E-2</v>
      </c>
      <c r="M46" s="2338"/>
      <c r="N46" s="2336"/>
      <c r="O46" s="2340">
        <f t="shared" si="9"/>
        <v>0.105</v>
      </c>
      <c r="P46" t="s">
        <v>132</v>
      </c>
    </row>
    <row r="47" spans="2:21" hidden="1">
      <c r="B47" s="2334"/>
      <c r="C47" s="2264"/>
      <c r="D47" s="2264"/>
      <c r="E47" s="2264"/>
      <c r="F47" s="2310">
        <f>$F$44</f>
        <v>0</v>
      </c>
      <c r="G47" s="2264"/>
      <c r="H47" s="2310">
        <f>IF(OR($F$20=$R$6,$F$20=$U$6),CO2データ!I223,IF($F$20=$S$6,CO2データ!L223,CO2データ!O223))</f>
        <v>0</v>
      </c>
      <c r="I47" s="2310">
        <f>IF(OR($F$20=$R$6,$F$20=$U$6),CO2データ!J223,IF($F$20=$S$6,CO2データ!M223,CO2データ!P223))</f>
        <v>0</v>
      </c>
      <c r="J47" s="2310">
        <f>IF(OR($F$20=$R$6,$F$20=$U$6),CO2データ!K223,IF($F$20=$S$6,CO2データ!N223,CO2データ!Q223))</f>
        <v>0</v>
      </c>
      <c r="K47" s="2338"/>
      <c r="L47" s="2336">
        <f t="shared" si="8"/>
        <v>0</v>
      </c>
      <c r="M47" s="2338"/>
      <c r="N47" s="2336"/>
      <c r="O47" s="2340">
        <f t="shared" si="9"/>
        <v>0</v>
      </c>
      <c r="P47" t="s">
        <v>132</v>
      </c>
    </row>
    <row r="48" spans="2:21" hidden="1">
      <c r="B48" s="2334"/>
      <c r="C48" s="2264"/>
      <c r="D48" s="2264"/>
      <c r="E48" s="2264"/>
      <c r="F48" s="2310">
        <f>$F$44</f>
        <v>0</v>
      </c>
      <c r="G48" s="2264"/>
      <c r="H48" s="2310">
        <f>IF(OR($F$20=$R$6,$F$20=$U$6),CO2データ!I224,IF($F$20=$S$6,CO2データ!L224,CO2データ!O224))</f>
        <v>4.4999999999999998E-2</v>
      </c>
      <c r="I48" s="2310">
        <f>IF(OR($F$20=$R$6,$F$20=$U$6),CO2データ!J224,IF($F$20=$S$6,CO2データ!M224,CO2データ!P224))</f>
        <v>0</v>
      </c>
      <c r="J48" s="2310">
        <f>IF(OR($F$20=$R$6,$F$20=$U$6),CO2データ!K224,IF($F$20=$S$6,CO2データ!N224,CO2データ!Q224))</f>
        <v>4.4999999999999998E-2</v>
      </c>
      <c r="K48" s="2338"/>
      <c r="L48" s="2336">
        <f t="shared" si="8"/>
        <v>3.15E-2</v>
      </c>
      <c r="M48" s="2338"/>
      <c r="N48" s="2336"/>
      <c r="O48" s="2340">
        <f t="shared" si="9"/>
        <v>4.4999999999999998E-2</v>
      </c>
      <c r="P48" t="s">
        <v>132</v>
      </c>
    </row>
    <row r="49" spans="2:16" hidden="1">
      <c r="B49" s="2334"/>
      <c r="C49" s="2264"/>
      <c r="D49" s="2264"/>
      <c r="E49" s="2264"/>
      <c r="F49" s="2310">
        <f>$F$44</f>
        <v>0</v>
      </c>
      <c r="G49" s="2264"/>
      <c r="H49" s="2310">
        <f>IF(OR($F$20=$R$6,$F$20=$U$6),CO2データ!I225,IF($F$20=$S$6,CO2データ!L225,CO2データ!O225))</f>
        <v>2E-3</v>
      </c>
      <c r="I49" s="2310">
        <f>IF(OR($F$20=$R$6,$F$20=$U$6),CO2データ!J225,IF($F$20=$S$6,CO2データ!M225,CO2データ!P225))</f>
        <v>0</v>
      </c>
      <c r="J49" s="2310">
        <f>IF(OR($F$20=$R$6,$F$20=$U$6),CO2データ!K225,IF($F$20=$S$6,CO2データ!N225,CO2データ!Q225))</f>
        <v>2.3999999999999998E-3</v>
      </c>
      <c r="K49" s="2338"/>
      <c r="L49" s="2336">
        <f t="shared" si="8"/>
        <v>1.4000000000000002E-3</v>
      </c>
      <c r="M49" s="2338"/>
      <c r="N49" s="2336"/>
      <c r="O49" s="2340">
        <f t="shared" si="9"/>
        <v>2E-3</v>
      </c>
      <c r="P49" t="s">
        <v>132</v>
      </c>
    </row>
    <row r="50" spans="2:16" hidden="1">
      <c r="B50" s="2334"/>
      <c r="C50" s="2264"/>
      <c r="D50" s="2264" t="s">
        <v>207</v>
      </c>
      <c r="E50" s="2264"/>
      <c r="F50" s="2310">
        <f>F12</f>
        <v>0</v>
      </c>
      <c r="G50" s="2264"/>
      <c r="H50" s="2310">
        <f>IF(OR($F$20=$R$6,$F$20=$U$6),CO2データ!I226,IF($F$20=$S$6,CO2データ!L226,CO2データ!O226))</f>
        <v>0.34200000000000003</v>
      </c>
      <c r="I50" s="2310">
        <f>IF(OR($F$20=$R$6,$F$20=$U$6),CO2データ!J226,IF($F$20=$S$6,CO2データ!M226,CO2データ!P226))</f>
        <v>0</v>
      </c>
      <c r="J50" s="2310">
        <f>IF(OR($F$20=$R$6,$F$20=$U$6),CO2データ!K226,IF($F$20=$S$6,CO2データ!N226,CO2データ!Q226))</f>
        <v>0</v>
      </c>
      <c r="K50" s="2338"/>
      <c r="L50" s="2336">
        <f t="shared" si="8"/>
        <v>0.2394</v>
      </c>
      <c r="M50" s="2338"/>
      <c r="N50" s="2336"/>
      <c r="O50" s="2340">
        <f t="shared" si="9"/>
        <v>0.34200000000000003</v>
      </c>
      <c r="P50" t="s">
        <v>1457</v>
      </c>
    </row>
    <row r="51" spans="2:16" hidden="1">
      <c r="B51" s="2334"/>
      <c r="C51" s="2264"/>
      <c r="D51" s="2264"/>
      <c r="E51" s="2264"/>
      <c r="F51" s="2310">
        <f>$F$50</f>
        <v>0</v>
      </c>
      <c r="G51" s="2264"/>
      <c r="H51" s="2310">
        <f>IF(OR($F$20=$R$6,$F$20=$U$6),CO2データ!I227,IF($F$20=$S$6,CO2データ!L227,CO2データ!O227))</f>
        <v>0</v>
      </c>
      <c r="I51" s="2310">
        <f>IF(OR($F$20=$R$6,$F$20=$U$6),CO2データ!J227,IF($F$20=$S$6,CO2データ!M227,CO2データ!P227))</f>
        <v>0</v>
      </c>
      <c r="J51" s="2310">
        <f>IF(OR($F$20=$R$6,$F$20=$U$6),CO2データ!K227,IF($F$20=$S$6,CO2データ!N227,CO2データ!Q227))</f>
        <v>0.34200000000000003</v>
      </c>
      <c r="K51" s="2338"/>
      <c r="L51" s="2336">
        <f t="shared" si="8"/>
        <v>0</v>
      </c>
      <c r="M51" s="2338"/>
      <c r="N51" s="2336"/>
      <c r="O51" s="2340">
        <f t="shared" si="9"/>
        <v>0</v>
      </c>
      <c r="P51" t="s">
        <v>205</v>
      </c>
    </row>
    <row r="52" spans="2:16" hidden="1">
      <c r="B52" s="2334"/>
      <c r="C52" s="2264"/>
      <c r="D52" s="2264"/>
      <c r="E52" s="2264"/>
      <c r="F52" s="2310">
        <f>$F$50</f>
        <v>0</v>
      </c>
      <c r="G52" s="2264"/>
      <c r="H52" s="2310">
        <f>IF(OR($F$20=$R$6,$F$20=$U$6),CO2データ!I228,IF($F$20=$S$6,CO2データ!L228,CO2データ!O228))</f>
        <v>7.1999999999999995E-2</v>
      </c>
      <c r="I52" s="2310">
        <f>IF(OR($F$20=$R$6,$F$20=$U$6),CO2データ!J228,IF($F$20=$S$6,CO2データ!M228,CO2データ!P228))</f>
        <v>0</v>
      </c>
      <c r="J52" s="2310">
        <f>IF(OR($F$20=$R$6,$F$20=$U$6),CO2データ!K228,IF($F$20=$S$6,CO2データ!N228,CO2データ!Q228))</f>
        <v>7.1999999999999995E-2</v>
      </c>
      <c r="K52" s="2338"/>
      <c r="L52" s="2336">
        <f t="shared" si="8"/>
        <v>5.04E-2</v>
      </c>
      <c r="M52" s="2338"/>
      <c r="N52" s="2336"/>
      <c r="O52" s="2340">
        <f t="shared" si="9"/>
        <v>7.1999999999999995E-2</v>
      </c>
      <c r="P52" t="s">
        <v>132</v>
      </c>
    </row>
    <row r="53" spans="2:16" hidden="1">
      <c r="B53" s="2334"/>
      <c r="C53" s="2264"/>
      <c r="D53" s="2264"/>
      <c r="E53" s="2264"/>
      <c r="F53" s="2310">
        <f>$F$50</f>
        <v>0</v>
      </c>
      <c r="G53" s="2264"/>
      <c r="H53" s="2310">
        <f>IF(OR($F$20=$R$6,$F$20=$U$6),CO2データ!I229,IF($F$20=$S$6,CO2データ!L229,CO2データ!O229))</f>
        <v>0</v>
      </c>
      <c r="I53" s="2310">
        <f>IF(OR($F$20=$R$6,$F$20=$U$6),CO2データ!J229,IF($F$20=$S$6,CO2データ!M229,CO2データ!P229))</f>
        <v>0</v>
      </c>
      <c r="J53" s="2310">
        <f>IF(OR($F$20=$R$6,$F$20=$U$6),CO2データ!K229,IF($F$20=$S$6,CO2データ!N229,CO2データ!Q229))</f>
        <v>0</v>
      </c>
      <c r="K53" s="2338"/>
      <c r="L53" s="2336">
        <f t="shared" si="8"/>
        <v>0</v>
      </c>
      <c r="M53" s="2338"/>
      <c r="N53" s="2336"/>
      <c r="O53" s="2340">
        <f t="shared" si="9"/>
        <v>0</v>
      </c>
      <c r="P53" t="s">
        <v>132</v>
      </c>
    </row>
    <row r="54" spans="2:16" hidden="1">
      <c r="B54" s="2334"/>
      <c r="C54" s="2264"/>
      <c r="D54" s="2264"/>
      <c r="E54" s="2264"/>
      <c r="F54" s="2310">
        <f>$F$50</f>
        <v>0</v>
      </c>
      <c r="G54" s="2264"/>
      <c r="H54" s="2310">
        <f>IF(OR($F$20=$R$6,$F$20=$U$6),CO2データ!I230,IF($F$20=$S$6,CO2データ!L230,CO2データ!O230))</f>
        <v>2.4E-2</v>
      </c>
      <c r="I54" s="2310">
        <f>IF(OR($F$20=$R$6,$F$20=$U$6),CO2データ!J230,IF($F$20=$S$6,CO2データ!M230,CO2データ!P230))</f>
        <v>0</v>
      </c>
      <c r="J54" s="2310">
        <f>IF(OR($F$20=$R$6,$F$20=$U$6),CO2データ!K230,IF($F$20=$S$6,CO2データ!N230,CO2データ!Q230))</f>
        <v>2.4E-2</v>
      </c>
      <c r="K54" s="2338"/>
      <c r="L54" s="2336">
        <f t="shared" si="8"/>
        <v>1.6800000000000002E-2</v>
      </c>
      <c r="M54" s="2338"/>
      <c r="N54" s="2336"/>
      <c r="O54" s="2340">
        <f t="shared" si="9"/>
        <v>2.4E-2</v>
      </c>
      <c r="P54" t="s">
        <v>132</v>
      </c>
    </row>
    <row r="55" spans="2:16" hidden="1">
      <c r="B55" s="2334"/>
      <c r="C55" s="2264"/>
      <c r="D55" s="2264"/>
      <c r="E55" s="2264"/>
      <c r="F55" s="2310">
        <f>$F$50</f>
        <v>0</v>
      </c>
      <c r="G55" s="2264"/>
      <c r="H55" s="2310">
        <f>IF(OR($F$20=$R$6,$F$20=$U$6),CO2データ!I231,IF($F$20=$S$6,CO2データ!L231,CO2データ!O231))</f>
        <v>2E-3</v>
      </c>
      <c r="I55" s="2310">
        <f>IF(OR($F$20=$R$6,$F$20=$U$6),CO2データ!J231,IF($F$20=$S$6,CO2データ!M231,CO2データ!P231))</f>
        <v>0</v>
      </c>
      <c r="J55" s="2310">
        <f>IF(OR($F$20=$R$6,$F$20=$U$6),CO2データ!K231,IF($F$20=$S$6,CO2データ!N231,CO2データ!Q231))</f>
        <v>1.8600000000000001E-3</v>
      </c>
      <c r="K55" s="2338"/>
      <c r="L55" s="2336">
        <f t="shared" si="8"/>
        <v>1.4000000000000002E-3</v>
      </c>
      <c r="M55" s="2338"/>
      <c r="N55" s="2336"/>
      <c r="O55" s="2340">
        <f t="shared" si="9"/>
        <v>2E-3</v>
      </c>
      <c r="P55" t="s">
        <v>132</v>
      </c>
    </row>
    <row r="56" spans="2:16" hidden="1">
      <c r="B56" s="2334"/>
      <c r="C56" s="2264"/>
      <c r="D56" s="2264" t="s">
        <v>209</v>
      </c>
      <c r="E56" s="2264"/>
      <c r="F56" s="2310">
        <f>F13</f>
        <v>0</v>
      </c>
      <c r="G56" s="2264"/>
      <c r="H56" s="2310">
        <f>IF(OR($F$20=$R$6,$F$20=$U$6),CO2データ!I232,IF($F$20=$S$6,CO2データ!L232,CO2データ!O232))</f>
        <v>0.34200000000000003</v>
      </c>
      <c r="I56" s="2310">
        <f>IF(OR($F$20=$R$6,$F$20=$U$6),CO2データ!J232,IF($F$20=$S$6,CO2データ!M232,CO2データ!P232))</f>
        <v>0</v>
      </c>
      <c r="J56" s="2310">
        <f>IF(OR($F$20=$R$6,$F$20=$U$6),CO2データ!K232,IF($F$20=$S$6,CO2データ!N232,CO2データ!Q232))</f>
        <v>0</v>
      </c>
      <c r="K56" s="2338"/>
      <c r="L56" s="2336">
        <f t="shared" si="8"/>
        <v>0.2394</v>
      </c>
      <c r="M56" s="2338"/>
      <c r="N56" s="2336"/>
      <c r="O56" s="2340">
        <f t="shared" si="9"/>
        <v>0.34200000000000003</v>
      </c>
      <c r="P56" t="s">
        <v>205</v>
      </c>
    </row>
    <row r="57" spans="2:16" hidden="1">
      <c r="B57" s="2334"/>
      <c r="C57" s="2264"/>
      <c r="D57" s="2264"/>
      <c r="E57" s="2264"/>
      <c r="F57" s="2310">
        <f>$F$56</f>
        <v>0</v>
      </c>
      <c r="G57" s="2264"/>
      <c r="H57" s="2310">
        <f>IF(OR($F$20=$R$6,$F$20=$U$6),CO2データ!I233,IF($F$20=$S$6,CO2データ!L233,CO2データ!O233))</f>
        <v>0</v>
      </c>
      <c r="I57" s="2310">
        <f>IF(OR($F$20=$R$6,$F$20=$U$6),CO2データ!J233,IF($F$20=$S$6,CO2データ!M233,CO2データ!P233))</f>
        <v>0</v>
      </c>
      <c r="J57" s="2310">
        <f>IF(OR($F$20=$R$6,$F$20=$U$6),CO2データ!K233,IF($F$20=$S$6,CO2データ!N233,CO2データ!Q233))</f>
        <v>0.34200000000000003</v>
      </c>
      <c r="K57" s="2338"/>
      <c r="L57" s="2336">
        <f t="shared" si="8"/>
        <v>0</v>
      </c>
      <c r="M57" s="2338"/>
      <c r="N57" s="2336"/>
      <c r="O57" s="2340">
        <f t="shared" si="9"/>
        <v>0</v>
      </c>
      <c r="P57" t="s">
        <v>205</v>
      </c>
    </row>
    <row r="58" spans="2:16" hidden="1">
      <c r="B58" s="2334"/>
      <c r="C58" s="2264"/>
      <c r="D58" s="2264"/>
      <c r="E58" s="2264"/>
      <c r="F58" s="2310">
        <f>$F$56</f>
        <v>0</v>
      </c>
      <c r="G58" s="2264"/>
      <c r="H58" s="2310">
        <f>IF(OR($F$20=$R$6,$F$20=$U$6),CO2データ!I234,IF($F$20=$S$6,CO2データ!L234,CO2データ!O234))</f>
        <v>7.1999999999999995E-2</v>
      </c>
      <c r="I58" s="2310">
        <f>IF(OR($F$20=$R$6,$F$20=$U$6),CO2データ!J234,IF($F$20=$S$6,CO2データ!M234,CO2データ!P234))</f>
        <v>0</v>
      </c>
      <c r="J58" s="2310">
        <f>IF(OR($F$20=$R$6,$F$20=$U$6),CO2データ!K234,IF($F$20=$S$6,CO2データ!N234,CO2データ!Q234))</f>
        <v>7.1999999999999995E-2</v>
      </c>
      <c r="K58" s="2338"/>
      <c r="L58" s="2336">
        <f t="shared" si="8"/>
        <v>5.04E-2</v>
      </c>
      <c r="M58" s="2338"/>
      <c r="N58" s="2336"/>
      <c r="O58" s="2340">
        <f t="shared" si="9"/>
        <v>7.1999999999999995E-2</v>
      </c>
      <c r="P58" t="s">
        <v>132</v>
      </c>
    </row>
    <row r="59" spans="2:16" hidden="1">
      <c r="B59" s="2334"/>
      <c r="C59" s="2264"/>
      <c r="D59" s="2264"/>
      <c r="E59" s="2264"/>
      <c r="F59" s="2310">
        <f>$F$56</f>
        <v>0</v>
      </c>
      <c r="G59" s="2264"/>
      <c r="H59" s="2310">
        <f>IF(OR($F$20=$R$6,$F$20=$U$6),CO2データ!I235,IF($F$20=$S$6,CO2データ!L235,CO2データ!O235))</f>
        <v>0</v>
      </c>
      <c r="I59" s="2310">
        <f>IF(OR($F$20=$R$6,$F$20=$U$6),CO2データ!J235,IF($F$20=$S$6,CO2データ!M235,CO2データ!P235))</f>
        <v>0</v>
      </c>
      <c r="J59" s="2310">
        <f>IF(OR($F$20=$R$6,$F$20=$U$6),CO2データ!K235,IF($F$20=$S$6,CO2データ!N235,CO2データ!Q235))</f>
        <v>0</v>
      </c>
      <c r="K59" s="2338"/>
      <c r="L59" s="2336">
        <f t="shared" si="8"/>
        <v>0</v>
      </c>
      <c r="M59" s="2338"/>
      <c r="N59" s="2336"/>
      <c r="O59" s="2340">
        <f t="shared" si="9"/>
        <v>0</v>
      </c>
      <c r="P59" t="s">
        <v>132</v>
      </c>
    </row>
    <row r="60" spans="2:16" hidden="1">
      <c r="B60" s="2334"/>
      <c r="C60" s="2264"/>
      <c r="D60" s="2264"/>
      <c r="E60" s="2264"/>
      <c r="F60" s="2310">
        <f>$F$56</f>
        <v>0</v>
      </c>
      <c r="G60" s="2264"/>
      <c r="H60" s="2310">
        <f>IF(OR($F$20=$R$6,$F$20=$U$6),CO2データ!I236,IF($F$20=$S$6,CO2データ!L236,CO2データ!O236))</f>
        <v>2.4E-2</v>
      </c>
      <c r="I60" s="2310">
        <f>IF(OR($F$20=$R$6,$F$20=$U$6),CO2データ!J236,IF($F$20=$S$6,CO2データ!M236,CO2データ!P236))</f>
        <v>0</v>
      </c>
      <c r="J60" s="2310">
        <f>IF(OR($F$20=$R$6,$F$20=$U$6),CO2データ!K236,IF($F$20=$S$6,CO2データ!N236,CO2データ!Q236))</f>
        <v>2.4E-2</v>
      </c>
      <c r="K60" s="2338"/>
      <c r="L60" s="2336">
        <f t="shared" si="8"/>
        <v>1.6800000000000002E-2</v>
      </c>
      <c r="M60" s="2338"/>
      <c r="N60" s="2336"/>
      <c r="O60" s="2340">
        <f t="shared" si="9"/>
        <v>2.4E-2</v>
      </c>
      <c r="P60" t="s">
        <v>132</v>
      </c>
    </row>
    <row r="61" spans="2:16" hidden="1">
      <c r="B61" s="2334"/>
      <c r="C61" s="2264"/>
      <c r="D61" s="2264"/>
      <c r="E61" s="2264"/>
      <c r="F61" s="2310">
        <f>$F$56</f>
        <v>0</v>
      </c>
      <c r="G61" s="2264"/>
      <c r="H61" s="2310">
        <f>IF(OR($F$20=$R$6,$F$20=$U$6),CO2データ!I237,IF($F$20=$S$6,CO2データ!L237,CO2データ!O237))</f>
        <v>2E-3</v>
      </c>
      <c r="I61" s="2310">
        <f>IF(OR($F$20=$R$6,$F$20=$U$6),CO2データ!J237,IF($F$20=$S$6,CO2データ!M237,CO2データ!P237))</f>
        <v>0</v>
      </c>
      <c r="J61" s="2310">
        <f>IF(OR($F$20=$R$6,$F$20=$U$6),CO2データ!K237,IF($F$20=$S$6,CO2データ!N237,CO2データ!Q237))</f>
        <v>1.8600000000000001E-3</v>
      </c>
      <c r="K61" s="2338"/>
      <c r="L61" s="2336">
        <f t="shared" si="8"/>
        <v>1.4000000000000002E-3</v>
      </c>
      <c r="M61" s="2338"/>
      <c r="N61" s="2336"/>
      <c r="O61" s="2340">
        <f t="shared" si="9"/>
        <v>2E-3</v>
      </c>
      <c r="P61" t="s">
        <v>132</v>
      </c>
    </row>
    <row r="62" spans="2:16" hidden="1">
      <c r="B62" s="2334"/>
      <c r="C62" s="2264"/>
      <c r="D62" s="2264" t="s">
        <v>210</v>
      </c>
      <c r="E62" s="2264"/>
      <c r="F62" s="2310">
        <f>F14</f>
        <v>0</v>
      </c>
      <c r="G62" s="2264"/>
      <c r="H62" s="2310">
        <f>IF(OR($F$20=$R$6,$F$20=$U$6),CO2データ!I238,IF($F$20=$S$6,CO2データ!L238,CO2データ!O238))</f>
        <v>0.34499999999999997</v>
      </c>
      <c r="I62" s="2310">
        <f>IF(OR($F$20=$R$6,$F$20=$U$6),CO2データ!J238,IF($F$20=$S$6,CO2データ!M238,CO2データ!P238))</f>
        <v>0</v>
      </c>
      <c r="J62" s="2310">
        <f>IF(OR($F$20=$R$6,$F$20=$U$6),CO2データ!K238,IF($F$20=$S$6,CO2データ!N238,CO2データ!Q238))</f>
        <v>0</v>
      </c>
      <c r="K62" s="2338"/>
      <c r="L62" s="2336">
        <f t="shared" si="8"/>
        <v>0.24149999999999999</v>
      </c>
      <c r="M62" s="2338"/>
      <c r="N62" s="2336"/>
      <c r="O62" s="2340">
        <f t="shared" si="9"/>
        <v>0.34499999999999997</v>
      </c>
      <c r="P62" t="s">
        <v>205</v>
      </c>
    </row>
    <row r="63" spans="2:16" hidden="1">
      <c r="B63" s="2334"/>
      <c r="C63" s="2264"/>
      <c r="D63" s="2264"/>
      <c r="E63" s="2264"/>
      <c r="F63" s="2310">
        <f>$F$62</f>
        <v>0</v>
      </c>
      <c r="G63" s="2264"/>
      <c r="H63" s="2310">
        <f>IF(OR($F$20=$R$6,$F$20=$U$6),CO2データ!I239,IF($F$20=$S$6,CO2データ!L239,CO2データ!O239))</f>
        <v>0</v>
      </c>
      <c r="I63" s="2310">
        <f>IF(OR($F$20=$R$6,$F$20=$U$6),CO2データ!J239,IF($F$20=$S$6,CO2データ!M239,CO2データ!P239))</f>
        <v>0</v>
      </c>
      <c r="J63" s="2310">
        <f>IF(OR($F$20=$R$6,$F$20=$U$6),CO2データ!K239,IF($F$20=$S$6,CO2データ!N239,CO2データ!Q239))</f>
        <v>0.34499999999999997</v>
      </c>
      <c r="K63" s="2338"/>
      <c r="L63" s="2336">
        <f t="shared" si="8"/>
        <v>0</v>
      </c>
      <c r="M63" s="2338"/>
      <c r="N63" s="2336"/>
      <c r="O63" s="2340">
        <f t="shared" si="9"/>
        <v>0</v>
      </c>
      <c r="P63" t="s">
        <v>205</v>
      </c>
    </row>
    <row r="64" spans="2:16" hidden="1">
      <c r="B64" s="2334"/>
      <c r="C64" s="2264"/>
      <c r="D64" s="2264"/>
      <c r="E64" s="2264"/>
      <c r="F64" s="2310">
        <f>$F$62</f>
        <v>0</v>
      </c>
      <c r="G64" s="2264"/>
      <c r="H64" s="2310">
        <f>IF(OR($F$20=$R$6,$F$20=$U$6),CO2データ!I240,IF($F$20=$S$6,CO2データ!L240,CO2データ!O240))</f>
        <v>0.13900000000000001</v>
      </c>
      <c r="I64" s="2310">
        <f>IF(OR($F$20=$R$6,$F$20=$U$6),CO2データ!J240,IF($F$20=$S$6,CO2データ!M240,CO2データ!P240))</f>
        <v>0</v>
      </c>
      <c r="J64" s="2310">
        <f>IF(OR($F$20=$R$6,$F$20=$U$6),CO2データ!K240,IF($F$20=$S$6,CO2データ!N240,CO2データ!Q240))</f>
        <v>0.13900000000000001</v>
      </c>
      <c r="K64" s="2338"/>
      <c r="L64" s="2336">
        <f t="shared" si="8"/>
        <v>9.7300000000000011E-2</v>
      </c>
      <c r="M64" s="2338"/>
      <c r="N64" s="2336"/>
      <c r="O64" s="2340">
        <f t="shared" si="9"/>
        <v>0.13900000000000001</v>
      </c>
      <c r="P64" t="s">
        <v>132</v>
      </c>
    </row>
    <row r="65" spans="2:16" hidden="1">
      <c r="B65" s="2334"/>
      <c r="C65" s="2264"/>
      <c r="D65" s="2264"/>
      <c r="E65" s="2264"/>
      <c r="F65" s="2310">
        <f>$F$62</f>
        <v>0</v>
      </c>
      <c r="G65" s="2264"/>
      <c r="H65" s="2310">
        <f>IF(OR($F$20=$R$6,$F$20=$U$6),CO2データ!I241,IF($F$20=$S$6,CO2データ!L241,CO2データ!O241))</f>
        <v>0</v>
      </c>
      <c r="I65" s="2310">
        <f>IF(OR($F$20=$R$6,$F$20=$U$6),CO2データ!J241,IF($F$20=$S$6,CO2データ!M241,CO2データ!P241))</f>
        <v>0</v>
      </c>
      <c r="J65" s="2310">
        <f>IF(OR($F$20=$R$6,$F$20=$U$6),CO2データ!K241,IF($F$20=$S$6,CO2データ!N241,CO2データ!Q241))</f>
        <v>0</v>
      </c>
      <c r="K65" s="2338"/>
      <c r="L65" s="2336">
        <f t="shared" si="8"/>
        <v>0</v>
      </c>
      <c r="M65" s="2338"/>
      <c r="N65" s="2336"/>
      <c r="O65" s="2340">
        <f t="shared" si="9"/>
        <v>0</v>
      </c>
      <c r="P65" t="s">
        <v>132</v>
      </c>
    </row>
    <row r="66" spans="2:16" hidden="1">
      <c r="B66" s="2334"/>
      <c r="C66" s="2264"/>
      <c r="D66" s="2264"/>
      <c r="E66" s="2264"/>
      <c r="F66" s="2310">
        <f>$F$62</f>
        <v>0</v>
      </c>
      <c r="G66" s="2264"/>
      <c r="H66" s="2310">
        <f>IF(OR($F$20=$R$6,$F$20=$U$6),CO2データ!I242,IF($F$20=$S$6,CO2データ!L242,CO2データ!O242))</f>
        <v>0.04</v>
      </c>
      <c r="I66" s="2310">
        <f>IF(OR($F$20=$R$6,$F$20=$U$6),CO2データ!J242,IF($F$20=$S$6,CO2データ!M242,CO2データ!P242))</f>
        <v>0</v>
      </c>
      <c r="J66" s="2310">
        <f>IF(OR($F$20=$R$6,$F$20=$U$6),CO2データ!K242,IF($F$20=$S$6,CO2データ!N242,CO2データ!Q242))</f>
        <v>0.04</v>
      </c>
      <c r="K66" s="2338"/>
      <c r="L66" s="2336">
        <f t="shared" si="8"/>
        <v>2.8000000000000001E-2</v>
      </c>
      <c r="M66" s="2338"/>
      <c r="N66" s="2336"/>
      <c r="O66" s="2340">
        <f t="shared" si="9"/>
        <v>0.04</v>
      </c>
      <c r="P66" t="s">
        <v>132</v>
      </c>
    </row>
    <row r="67" spans="2:16" hidden="1">
      <c r="B67" s="2334"/>
      <c r="C67" s="2264"/>
      <c r="D67" s="2264"/>
      <c r="E67" s="2264"/>
      <c r="F67" s="2310">
        <f>$F$62</f>
        <v>0</v>
      </c>
      <c r="G67" s="2264"/>
      <c r="H67" s="2310">
        <f>IF(OR($F$20=$R$6,$F$20=$U$6),CO2データ!I243,IF($F$20=$S$6,CO2データ!L243,CO2データ!O243))</f>
        <v>4.0000000000000001E-3</v>
      </c>
      <c r="I67" s="2310">
        <f>IF(OR($F$20=$R$6,$F$20=$U$6),CO2データ!J243,IF($F$20=$S$6,CO2データ!M243,CO2データ!P243))</f>
        <v>0</v>
      </c>
      <c r="J67" s="2310">
        <f>IF(OR($F$20=$R$6,$F$20=$U$6),CO2データ!K243,IF($F$20=$S$6,CO2データ!N243,CO2データ!Q243))</f>
        <v>4.3499999999999997E-3</v>
      </c>
      <c r="K67" s="2338"/>
      <c r="L67" s="2336">
        <f t="shared" si="8"/>
        <v>2.8000000000000004E-3</v>
      </c>
      <c r="M67" s="2338"/>
      <c r="N67" s="2336"/>
      <c r="O67" s="2340">
        <f t="shared" si="9"/>
        <v>4.0000000000000001E-3</v>
      </c>
      <c r="P67" t="s">
        <v>132</v>
      </c>
    </row>
    <row r="68" spans="2:16" hidden="1">
      <c r="B68" s="2334"/>
      <c r="C68" s="2264"/>
      <c r="D68" s="2264" t="s">
        <v>555</v>
      </c>
      <c r="E68" s="2264"/>
      <c r="F68" s="2310">
        <f>F15</f>
        <v>0</v>
      </c>
      <c r="G68" s="2264"/>
      <c r="H68" s="2310">
        <f>IF(OR($F$20=$R$6,$F$20=$U$6),CO2データ!I244,IF($F$20=$S$6,CO2データ!L244,CO2データ!O244))</f>
        <v>0.35399999999999998</v>
      </c>
      <c r="I68" s="2310">
        <f>IF(OR($F$20=$R$6,$F$20=$U$6),CO2データ!J244,IF($F$20=$S$6,CO2データ!M244,CO2データ!P244))</f>
        <v>0</v>
      </c>
      <c r="J68" s="2310">
        <f>IF(OR($F$20=$R$6,$F$20=$U$6),CO2データ!K244,IF($F$20=$S$6,CO2データ!N244,CO2データ!Q244))</f>
        <v>0</v>
      </c>
      <c r="K68" s="2338"/>
      <c r="L68" s="2336">
        <f t="shared" si="8"/>
        <v>0.24779999999999999</v>
      </c>
      <c r="M68" s="2338"/>
      <c r="N68" s="2336"/>
      <c r="O68" s="2340">
        <f t="shared" si="9"/>
        <v>0.35399999999999998</v>
      </c>
      <c r="P68" t="s">
        <v>205</v>
      </c>
    </row>
    <row r="69" spans="2:16" hidden="1">
      <c r="B69" s="2334"/>
      <c r="C69" s="2264"/>
      <c r="D69" s="2264"/>
      <c r="E69" s="2264"/>
      <c r="F69" s="2310">
        <f>$F$68</f>
        <v>0</v>
      </c>
      <c r="G69" s="2264"/>
      <c r="H69" s="2310">
        <f>IF(OR($F$20=$R$6,$F$20=$U$6),CO2データ!I245,IF($F$20=$S$6,CO2データ!L245,CO2データ!O245))</f>
        <v>0</v>
      </c>
      <c r="I69" s="2310">
        <f>IF(OR($F$20=$R$6,$F$20=$U$6),CO2データ!J245,IF($F$20=$S$6,CO2データ!M245,CO2データ!P245))</f>
        <v>0</v>
      </c>
      <c r="J69" s="2310">
        <f>IF(OR($F$20=$R$6,$F$20=$U$6),CO2データ!K245,IF($F$20=$S$6,CO2データ!N245,CO2データ!Q245))</f>
        <v>0.35399999999999998</v>
      </c>
      <c r="K69" s="2338"/>
      <c r="L69" s="2336">
        <f t="shared" si="8"/>
        <v>0</v>
      </c>
      <c r="M69" s="2338"/>
      <c r="N69" s="2336"/>
      <c r="O69" s="2340">
        <f t="shared" si="9"/>
        <v>0</v>
      </c>
      <c r="P69" t="s">
        <v>205</v>
      </c>
    </row>
    <row r="70" spans="2:16" hidden="1">
      <c r="B70" s="2334"/>
      <c r="C70" s="2264"/>
      <c r="D70" s="2264"/>
      <c r="E70" s="2264"/>
      <c r="F70" s="2310">
        <f>$F$68</f>
        <v>0</v>
      </c>
      <c r="G70" s="2264"/>
      <c r="H70" s="2310">
        <f>IF(OR($F$20=$R$6,$F$20=$U$6),CO2データ!I246,IF($F$20=$S$6,CO2データ!L246,CO2データ!O246))</f>
        <v>8.7999999999999995E-2</v>
      </c>
      <c r="I70" s="2310">
        <f>IF(OR($F$20=$R$6,$F$20=$U$6),CO2データ!J246,IF($F$20=$S$6,CO2データ!M246,CO2データ!P246))</f>
        <v>0</v>
      </c>
      <c r="J70" s="2310">
        <f>IF(OR($F$20=$R$6,$F$20=$U$6),CO2データ!K246,IF($F$20=$S$6,CO2データ!N246,CO2データ!Q246))</f>
        <v>8.7999999999999995E-2</v>
      </c>
      <c r="K70" s="2338"/>
      <c r="L70" s="2336">
        <f t="shared" si="8"/>
        <v>6.1600000000000002E-2</v>
      </c>
      <c r="M70" s="2338"/>
      <c r="N70" s="2336"/>
      <c r="O70" s="2340">
        <f t="shared" si="9"/>
        <v>8.7999999999999995E-2</v>
      </c>
      <c r="P70" t="s">
        <v>132</v>
      </c>
    </row>
    <row r="71" spans="2:16" hidden="1">
      <c r="B71" s="2334"/>
      <c r="C71" s="2264"/>
      <c r="D71" s="2264"/>
      <c r="E71" s="2264"/>
      <c r="F71" s="2310">
        <f>$F$68</f>
        <v>0</v>
      </c>
      <c r="G71" s="2264"/>
      <c r="H71" s="2310">
        <f>IF(OR($F$20=$R$6,$F$20=$U$6),CO2データ!I247,IF($F$20=$S$6,CO2データ!L247,CO2データ!O247))</f>
        <v>0</v>
      </c>
      <c r="I71" s="2310">
        <f>IF(OR($F$20=$R$6,$F$20=$U$6),CO2データ!J247,IF($F$20=$S$6,CO2データ!M247,CO2データ!P247))</f>
        <v>0</v>
      </c>
      <c r="J71" s="2310">
        <f>IF(OR($F$20=$R$6,$F$20=$U$6),CO2データ!K247,IF($F$20=$S$6,CO2データ!N247,CO2データ!Q247))</f>
        <v>0</v>
      </c>
      <c r="K71" s="2338"/>
      <c r="L71" s="2336">
        <f t="shared" si="8"/>
        <v>0</v>
      </c>
      <c r="M71" s="2338"/>
      <c r="N71" s="2336"/>
      <c r="O71" s="2340">
        <f t="shared" si="9"/>
        <v>0</v>
      </c>
      <c r="P71" t="s">
        <v>132</v>
      </c>
    </row>
    <row r="72" spans="2:16" hidden="1">
      <c r="B72" s="2334"/>
      <c r="C72" s="2264"/>
      <c r="D72" s="2264"/>
      <c r="E72" s="2264"/>
      <c r="F72" s="2310">
        <f>$F$68</f>
        <v>0</v>
      </c>
      <c r="G72" s="2264"/>
      <c r="H72" s="2310">
        <f>IF(OR($F$20=$R$6,$F$20=$U$6),CO2データ!I248,IF($F$20=$S$6,CO2データ!L248,CO2データ!O248))</f>
        <v>3.1E-2</v>
      </c>
      <c r="I72" s="2310">
        <f>IF(OR($F$20=$R$6,$F$20=$U$6),CO2データ!J248,IF($F$20=$S$6,CO2データ!M248,CO2データ!P248))</f>
        <v>0</v>
      </c>
      <c r="J72" s="2310">
        <f>IF(OR($F$20=$R$6,$F$20=$U$6),CO2データ!K248,IF($F$20=$S$6,CO2データ!N248,CO2データ!Q248))</f>
        <v>3.1E-2</v>
      </c>
      <c r="K72" s="2338"/>
      <c r="L72" s="2336">
        <f t="shared" si="8"/>
        <v>2.1700000000000001E-2</v>
      </c>
      <c r="M72" s="2338"/>
      <c r="N72" s="2336"/>
      <c r="O72" s="2340">
        <f t="shared" si="9"/>
        <v>3.1E-2</v>
      </c>
      <c r="P72" t="s">
        <v>132</v>
      </c>
    </row>
    <row r="73" spans="2:16" hidden="1">
      <c r="B73" s="2334"/>
      <c r="C73" s="2264"/>
      <c r="D73" s="2264"/>
      <c r="E73" s="2264"/>
      <c r="F73" s="2310">
        <f>$F$68</f>
        <v>0</v>
      </c>
      <c r="G73" s="2264"/>
      <c r="H73" s="2310">
        <f>IF(OR($F$20=$R$6,$F$20=$U$6),CO2データ!I249,IF($F$20=$S$6,CO2データ!L249,CO2データ!O249))</f>
        <v>2E-3</v>
      </c>
      <c r="I73" s="2310">
        <f>IF(OR($F$20=$R$6,$F$20=$U$6),CO2データ!J249,IF($F$20=$S$6,CO2データ!M249,CO2データ!P249))</f>
        <v>0</v>
      </c>
      <c r="J73" s="2310">
        <f>IF(OR($F$20=$R$6,$F$20=$U$6),CO2データ!K249,IF($F$20=$S$6,CO2データ!N249,CO2データ!Q249))</f>
        <v>2.0999999999999999E-3</v>
      </c>
      <c r="K73" s="2338"/>
      <c r="L73" s="2336">
        <f t="shared" si="8"/>
        <v>1.4000000000000002E-3</v>
      </c>
      <c r="M73" s="2338"/>
      <c r="N73" s="2336"/>
      <c r="O73" s="2340">
        <f t="shared" si="9"/>
        <v>2E-3</v>
      </c>
      <c r="P73" t="s">
        <v>132</v>
      </c>
    </row>
    <row r="74" spans="2:16" hidden="1">
      <c r="B74" s="2334"/>
      <c r="C74" s="2264"/>
      <c r="D74" s="2264" t="s">
        <v>211</v>
      </c>
      <c r="E74" s="2264"/>
      <c r="F74" s="2310">
        <f>F16</f>
        <v>0</v>
      </c>
      <c r="G74" s="2264"/>
      <c r="H74" s="2310">
        <f>IF(OR($F$20=$R$6,$F$20=$U$6),CO2データ!I250,IF($F$20=$S$6,CO2データ!L250,CO2データ!O250))</f>
        <v>0.317</v>
      </c>
      <c r="I74" s="2310">
        <f>IF(OR($F$20=$R$6,$F$20=$U$6),CO2データ!J250,IF($F$20=$S$6,CO2データ!M250,CO2データ!P250))</f>
        <v>0</v>
      </c>
      <c r="J74" s="2310">
        <f>IF(OR($F$20=$R$6,$F$20=$U$6),CO2データ!K250,IF($F$20=$S$6,CO2データ!N250,CO2データ!Q250))</f>
        <v>0</v>
      </c>
      <c r="K74" s="2338"/>
      <c r="L74" s="2336">
        <f t="shared" si="8"/>
        <v>0.22189999999999999</v>
      </c>
      <c r="M74" s="2338"/>
      <c r="N74" s="2336"/>
      <c r="O74" s="2340">
        <f t="shared" si="9"/>
        <v>0.317</v>
      </c>
      <c r="P74" t="s">
        <v>205</v>
      </c>
    </row>
    <row r="75" spans="2:16" hidden="1">
      <c r="B75" s="2334"/>
      <c r="C75" s="2264"/>
      <c r="D75" s="2264"/>
      <c r="E75" s="2264"/>
      <c r="F75" s="2310">
        <f>$F$74</f>
        <v>0</v>
      </c>
      <c r="G75" s="2264"/>
      <c r="H75" s="2310">
        <f>IF(OR($F$20=$R$6,$F$20=$U$6),CO2データ!I251,IF($F$20=$S$6,CO2データ!L251,CO2データ!O251))</f>
        <v>0</v>
      </c>
      <c r="I75" s="2310">
        <f>IF(OR($F$20=$R$6,$F$20=$U$6),CO2データ!J251,IF($F$20=$S$6,CO2データ!M251,CO2データ!P251))</f>
        <v>0</v>
      </c>
      <c r="J75" s="2310">
        <f>IF(OR($F$20=$R$6,$F$20=$U$6),CO2データ!K251,IF($F$20=$S$6,CO2データ!N251,CO2データ!Q251))</f>
        <v>0.317</v>
      </c>
      <c r="K75" s="2338"/>
      <c r="L75" s="2336">
        <f t="shared" si="8"/>
        <v>0</v>
      </c>
      <c r="M75" s="2338"/>
      <c r="N75" s="2336"/>
      <c r="O75" s="2340">
        <f t="shared" si="9"/>
        <v>0</v>
      </c>
      <c r="P75" t="s">
        <v>205</v>
      </c>
    </row>
    <row r="76" spans="2:16" hidden="1">
      <c r="B76" s="2334"/>
      <c r="C76" s="2264"/>
      <c r="D76" s="2264"/>
      <c r="E76" s="2264"/>
      <c r="F76" s="2310">
        <f>$F$74</f>
        <v>0</v>
      </c>
      <c r="G76" s="2264"/>
      <c r="H76" s="2310">
        <f>IF(OR($F$20=$R$6,$F$20=$U$6),CO2データ!I252,IF($F$20=$S$6,CO2データ!L252,CO2データ!O252))</f>
        <v>7.3999999999999996E-2</v>
      </c>
      <c r="I76" s="2310">
        <f>IF(OR($F$20=$R$6,$F$20=$U$6),CO2データ!J252,IF($F$20=$S$6,CO2データ!M252,CO2データ!P252))</f>
        <v>0</v>
      </c>
      <c r="J76" s="2310">
        <f>IF(OR($F$20=$R$6,$F$20=$U$6),CO2データ!K252,IF($F$20=$S$6,CO2データ!N252,CO2データ!Q252))</f>
        <v>7.3999999999999996E-2</v>
      </c>
      <c r="K76" s="2338"/>
      <c r="L76" s="2336">
        <f t="shared" si="8"/>
        <v>5.1799999999999999E-2</v>
      </c>
      <c r="M76" s="2338"/>
      <c r="N76" s="2336"/>
      <c r="O76" s="2340">
        <f t="shared" si="9"/>
        <v>7.3999999999999996E-2</v>
      </c>
      <c r="P76" t="s">
        <v>132</v>
      </c>
    </row>
    <row r="77" spans="2:16" hidden="1">
      <c r="B77" s="2334"/>
      <c r="C77" s="2264"/>
      <c r="D77" s="2264"/>
      <c r="E77" s="2264"/>
      <c r="F77" s="2310">
        <f>$F$74</f>
        <v>0</v>
      </c>
      <c r="G77" s="2264"/>
      <c r="H77" s="2310">
        <f>IF(OR($F$20=$R$6,$F$20=$U$6),CO2データ!I253,IF($F$20=$S$6,CO2データ!L253,CO2データ!O253))</f>
        <v>0</v>
      </c>
      <c r="I77" s="2310">
        <f>IF(OR($F$20=$R$6,$F$20=$U$6),CO2データ!J253,IF($F$20=$S$6,CO2データ!M253,CO2データ!P253))</f>
        <v>0</v>
      </c>
      <c r="J77" s="2310">
        <f>IF(OR($F$20=$R$6,$F$20=$U$6),CO2データ!K253,IF($F$20=$S$6,CO2データ!N253,CO2データ!Q253))</f>
        <v>0</v>
      </c>
      <c r="K77" s="2338"/>
      <c r="L77" s="2336">
        <f t="shared" si="8"/>
        <v>0</v>
      </c>
      <c r="M77" s="2338"/>
      <c r="N77" s="2336"/>
      <c r="O77" s="2340">
        <f t="shared" si="9"/>
        <v>0</v>
      </c>
      <c r="P77" t="s">
        <v>132</v>
      </c>
    </row>
    <row r="78" spans="2:16" hidden="1">
      <c r="B78" s="2334"/>
      <c r="C78" s="2264"/>
      <c r="D78" s="2264"/>
      <c r="E78" s="2264"/>
      <c r="F78" s="2310">
        <f>$F$74</f>
        <v>0</v>
      </c>
      <c r="G78" s="2264"/>
      <c r="H78" s="2310">
        <f>IF(OR($F$20=$R$6,$F$20=$U$6),CO2データ!I254,IF($F$20=$S$6,CO2データ!L254,CO2データ!O254))</f>
        <v>3.4000000000000002E-2</v>
      </c>
      <c r="I78" s="2310">
        <f>IF(OR($F$20=$R$6,$F$20=$U$6),CO2データ!J254,IF($F$20=$S$6,CO2データ!M254,CO2データ!P254))</f>
        <v>0</v>
      </c>
      <c r="J78" s="2310">
        <f>IF(OR($F$20=$R$6,$F$20=$U$6),CO2データ!K254,IF($F$20=$S$6,CO2データ!N254,CO2データ!Q254))</f>
        <v>3.4000000000000002E-2</v>
      </c>
      <c r="K78" s="2338"/>
      <c r="L78" s="2336">
        <f t="shared" si="8"/>
        <v>2.3800000000000002E-2</v>
      </c>
      <c r="M78" s="2338"/>
      <c r="N78" s="2336"/>
      <c r="O78" s="2340">
        <f t="shared" si="9"/>
        <v>3.4000000000000002E-2</v>
      </c>
      <c r="P78" t="s">
        <v>132</v>
      </c>
    </row>
    <row r="79" spans="2:16" hidden="1">
      <c r="B79" s="2334"/>
      <c r="C79" s="2264"/>
      <c r="D79" s="2264"/>
      <c r="E79" s="2264"/>
      <c r="F79" s="2310">
        <f>$F$74</f>
        <v>0</v>
      </c>
      <c r="G79" s="2264"/>
      <c r="H79" s="2310">
        <f>IF(OR($F$20=$R$6,$F$20=$U$6),CO2データ!I255,IF($F$20=$S$6,CO2データ!L255,CO2データ!O255))</f>
        <v>2E-3</v>
      </c>
      <c r="I79" s="2310">
        <f>IF(OR($F$20=$R$6,$F$20=$U$6),CO2データ!J255,IF($F$20=$S$6,CO2データ!M255,CO2データ!P255))</f>
        <v>0</v>
      </c>
      <c r="J79" s="2310">
        <f>IF(OR($F$20=$R$6,$F$20=$U$6),CO2データ!K255,IF($F$20=$S$6,CO2データ!N255,CO2データ!Q255))</f>
        <v>2E-3</v>
      </c>
      <c r="K79" s="2338"/>
      <c r="L79" s="2336">
        <f t="shared" si="8"/>
        <v>1.4000000000000002E-3</v>
      </c>
      <c r="M79" s="2338"/>
      <c r="N79" s="2336"/>
      <c r="O79" s="2340">
        <f t="shared" si="9"/>
        <v>2E-3</v>
      </c>
      <c r="P79" t="s">
        <v>132</v>
      </c>
    </row>
    <row r="80" spans="2:16" hidden="1">
      <c r="B80" s="2334"/>
      <c r="C80" s="2264"/>
      <c r="D80" s="2264" t="s">
        <v>1458</v>
      </c>
      <c r="E80" s="2264"/>
      <c r="F80" s="2310">
        <f>F17</f>
        <v>0</v>
      </c>
      <c r="G80" s="2264"/>
      <c r="H80" s="2310">
        <f>IF(OR($F$20=$R$6,$F$20=$U$6),CO2データ!I256,IF($F$20=$S$6,CO2データ!L256,CO2データ!O256))</f>
        <v>0.436</v>
      </c>
      <c r="I80" s="2310">
        <f>IF(OR($F$20=$R$6,$F$20=$U$6),CO2データ!J256,IF($F$20=$S$6,CO2データ!M256,CO2データ!P256))</f>
        <v>0</v>
      </c>
      <c r="J80" s="2310">
        <f>IF(OR($F$20=$R$6,$F$20=$U$6),CO2データ!K256,IF($F$20=$S$6,CO2データ!N256,CO2データ!Q256))</f>
        <v>0</v>
      </c>
      <c r="K80" s="2338"/>
      <c r="L80" s="2336">
        <f t="shared" si="8"/>
        <v>0.30520000000000003</v>
      </c>
      <c r="M80" s="2338"/>
      <c r="N80" s="2336"/>
      <c r="O80" s="2340">
        <f t="shared" si="9"/>
        <v>0.436</v>
      </c>
      <c r="P80" t="s">
        <v>205</v>
      </c>
    </row>
    <row r="81" spans="2:16" hidden="1">
      <c r="B81" s="2334"/>
      <c r="C81" s="2264"/>
      <c r="D81" s="2264"/>
      <c r="E81" s="2264"/>
      <c r="F81" s="2310">
        <f>$F$80</f>
        <v>0</v>
      </c>
      <c r="G81" s="2264"/>
      <c r="H81" s="2310">
        <f>IF(OR($F$20=$R$6,$F$20=$U$6),CO2データ!I257,IF($F$20=$S$6,CO2データ!L257,CO2データ!O257))</f>
        <v>0</v>
      </c>
      <c r="I81" s="2310">
        <f>IF(OR($F$20=$R$6,$F$20=$U$6),CO2データ!J257,IF($F$20=$S$6,CO2データ!M257,CO2データ!P257))</f>
        <v>0</v>
      </c>
      <c r="J81" s="2310">
        <f>IF(OR($F$20=$R$6,$F$20=$U$6),CO2データ!K257,IF($F$20=$S$6,CO2データ!N257,CO2データ!Q257))</f>
        <v>0.436</v>
      </c>
      <c r="K81" s="2338"/>
      <c r="L81" s="2336">
        <f t="shared" si="8"/>
        <v>0</v>
      </c>
      <c r="M81" s="2338"/>
      <c r="N81" s="2336"/>
      <c r="O81" s="2340">
        <f t="shared" si="9"/>
        <v>0</v>
      </c>
      <c r="P81" t="s">
        <v>205</v>
      </c>
    </row>
    <row r="82" spans="2:16" hidden="1">
      <c r="B82" s="2334"/>
      <c r="C82" s="2264"/>
      <c r="D82" s="2264"/>
      <c r="E82" s="2264"/>
      <c r="F82" s="2310">
        <f>$F$80</f>
        <v>0</v>
      </c>
      <c r="G82" s="2264"/>
      <c r="H82" s="2310">
        <f>IF(OR($F$20=$R$6,$F$20=$U$6),CO2データ!I258,IF($F$20=$S$6,CO2データ!L258,CO2データ!O258))</f>
        <v>0.10299999999999999</v>
      </c>
      <c r="I82" s="2310">
        <f>IF(OR($F$20=$R$6,$F$20=$U$6),CO2データ!J258,IF($F$20=$S$6,CO2データ!M258,CO2データ!P258))</f>
        <v>0</v>
      </c>
      <c r="J82" s="2310">
        <f>IF(OR($F$20=$R$6,$F$20=$U$6),CO2データ!K258,IF($F$20=$S$6,CO2データ!N258,CO2データ!Q258))</f>
        <v>0.10299999999999999</v>
      </c>
      <c r="K82" s="2338"/>
      <c r="L82" s="2336">
        <f t="shared" si="8"/>
        <v>7.2099999999999997E-2</v>
      </c>
      <c r="M82" s="2338"/>
      <c r="N82" s="2336"/>
      <c r="O82" s="2340">
        <f t="shared" si="9"/>
        <v>0.10299999999999999</v>
      </c>
      <c r="P82" t="s">
        <v>132</v>
      </c>
    </row>
    <row r="83" spans="2:16" hidden="1">
      <c r="B83" s="2334"/>
      <c r="C83" s="2264"/>
      <c r="D83" s="2264"/>
      <c r="E83" s="2264"/>
      <c r="F83" s="2310">
        <f>$F$80</f>
        <v>0</v>
      </c>
      <c r="G83" s="2264"/>
      <c r="H83" s="2310">
        <f>IF(OR($F$20=$R$6,$F$20=$U$6),CO2データ!I259,IF($F$20=$S$6,CO2データ!L259,CO2データ!O259))</f>
        <v>0</v>
      </c>
      <c r="I83" s="2310">
        <f>IF(OR($F$20=$R$6,$F$20=$U$6),CO2データ!J259,IF($F$20=$S$6,CO2データ!M259,CO2データ!P259))</f>
        <v>0</v>
      </c>
      <c r="J83" s="2310">
        <f>IF(OR($F$20=$R$6,$F$20=$U$6),CO2データ!K259,IF($F$20=$S$6,CO2データ!N259,CO2データ!Q259))</f>
        <v>0</v>
      </c>
      <c r="K83" s="2338"/>
      <c r="L83" s="2336">
        <f t="shared" si="8"/>
        <v>0</v>
      </c>
      <c r="M83" s="2338"/>
      <c r="N83" s="2336"/>
      <c r="O83" s="2340">
        <f t="shared" si="9"/>
        <v>0</v>
      </c>
      <c r="P83" t="s">
        <v>132</v>
      </c>
    </row>
    <row r="84" spans="2:16" hidden="1">
      <c r="B84" s="2334"/>
      <c r="C84" s="2264"/>
      <c r="D84" s="2264"/>
      <c r="E84" s="2264"/>
      <c r="F84" s="2310">
        <f>$F$80</f>
        <v>0</v>
      </c>
      <c r="G84" s="2264"/>
      <c r="H84" s="2310">
        <f>IF(OR($F$20=$R$6,$F$20=$U$6),CO2データ!I260,IF($F$20=$S$6,CO2データ!L260,CO2データ!O260))</f>
        <v>3.4000000000000002E-2</v>
      </c>
      <c r="I84" s="2310">
        <f>IF(OR($F$20=$R$6,$F$20=$U$6),CO2データ!J260,IF($F$20=$S$6,CO2データ!M260,CO2データ!P260))</f>
        <v>0</v>
      </c>
      <c r="J84" s="2310">
        <f>IF(OR($F$20=$R$6,$F$20=$U$6),CO2データ!K260,IF($F$20=$S$6,CO2データ!N260,CO2データ!Q260))</f>
        <v>3.4000000000000002E-2</v>
      </c>
      <c r="K84" s="2338"/>
      <c r="L84" s="2336">
        <f t="shared" si="8"/>
        <v>2.3800000000000002E-2</v>
      </c>
      <c r="M84" s="2338"/>
      <c r="N84" s="2336"/>
      <c r="O84" s="2340">
        <f t="shared" si="9"/>
        <v>3.4000000000000002E-2</v>
      </c>
      <c r="P84" t="s">
        <v>132</v>
      </c>
    </row>
    <row r="85" spans="2:16" hidden="1">
      <c r="B85" s="2334"/>
      <c r="C85" s="2264"/>
      <c r="D85" s="2264"/>
      <c r="E85" s="2264"/>
      <c r="F85" s="2310">
        <f>$F$80</f>
        <v>0</v>
      </c>
      <c r="G85" s="2264"/>
      <c r="H85" s="2310">
        <f>IF(OR($F$20=$R$6,$F$20=$U$6),CO2データ!I261,IF($F$20=$S$6,CO2データ!L261,CO2データ!O261))</f>
        <v>5.0000000000000001E-3</v>
      </c>
      <c r="I85" s="2310">
        <f>IF(OR($F$20=$R$6,$F$20=$U$6),CO2データ!J261,IF($F$20=$S$6,CO2データ!M261,CO2データ!P261))</f>
        <v>0</v>
      </c>
      <c r="J85" s="2310">
        <f>IF(OR($F$20=$R$6,$F$20=$U$6),CO2データ!K261,IF($F$20=$S$6,CO2データ!N261,CO2データ!Q261))</f>
        <v>4.7099999999999998E-3</v>
      </c>
      <c r="K85" s="2338"/>
      <c r="L85" s="2336">
        <f t="shared" si="8"/>
        <v>3.5000000000000001E-3</v>
      </c>
      <c r="M85" s="2338"/>
      <c r="N85" s="2336"/>
      <c r="O85" s="2340">
        <f t="shared" si="9"/>
        <v>5.0000000000000001E-3</v>
      </c>
      <c r="P85" t="s">
        <v>132</v>
      </c>
    </row>
    <row r="86" spans="2:16" hidden="1">
      <c r="B86" s="2334"/>
      <c r="C86" s="2264"/>
      <c r="D86" s="2264" t="s">
        <v>858</v>
      </c>
      <c r="E86" s="2264"/>
      <c r="F86" s="2310">
        <f>F18</f>
        <v>0</v>
      </c>
      <c r="G86" s="2264"/>
      <c r="H86" s="2310">
        <f>IF(OR($F$20=$R$6,$F$20=$U$6),CO2データ!I262,IF($F$20=$S$6,CO2データ!L262,CO2データ!O262))</f>
        <v>0.32300000000000001</v>
      </c>
      <c r="I86" s="2310">
        <f>IF(OR($F$20=$R$6,$F$20=$U$6),CO2データ!J262,IF($F$20=$S$6,CO2データ!M262,CO2データ!P262))</f>
        <v>0</v>
      </c>
      <c r="J86" s="2310">
        <f>IF(OR($F$20=$R$6,$F$20=$U$6),CO2データ!K262,IF($F$20=$S$6,CO2データ!N262,CO2データ!Q262))</f>
        <v>0</v>
      </c>
      <c r="K86" s="2338"/>
      <c r="L86" s="2336">
        <f t="shared" si="8"/>
        <v>0.22610000000000002</v>
      </c>
      <c r="M86" s="2338"/>
      <c r="N86" s="2336"/>
      <c r="O86" s="2340">
        <f t="shared" si="9"/>
        <v>0.32300000000000001</v>
      </c>
      <c r="P86" t="s">
        <v>205</v>
      </c>
    </row>
    <row r="87" spans="2:16" hidden="1">
      <c r="B87" s="2334"/>
      <c r="C87" s="2264"/>
      <c r="D87" s="2264"/>
      <c r="E87" s="2264"/>
      <c r="F87" s="2310">
        <f>$F$86</f>
        <v>0</v>
      </c>
      <c r="G87" s="2264"/>
      <c r="H87" s="2310">
        <f>IF(OR($F$20=$R$6,$F$20=$U$6),CO2データ!I263,IF($F$20=$S$6,CO2データ!L263,CO2データ!O263))</f>
        <v>0</v>
      </c>
      <c r="I87" s="2310">
        <f>IF(OR($F$20=$R$6,$F$20=$U$6),CO2データ!J263,IF($F$20=$S$6,CO2データ!M263,CO2データ!P263))</f>
        <v>0</v>
      </c>
      <c r="J87" s="2310">
        <f>IF(OR($F$20=$R$6,$F$20=$U$6),CO2データ!K263,IF($F$20=$S$6,CO2データ!N263,CO2データ!Q263))</f>
        <v>0.32300000000000001</v>
      </c>
      <c r="K87" s="2338"/>
      <c r="L87" s="2336">
        <f t="shared" si="8"/>
        <v>0</v>
      </c>
      <c r="M87" s="2338"/>
      <c r="N87" s="2336"/>
      <c r="O87" s="2340">
        <f t="shared" si="9"/>
        <v>0</v>
      </c>
      <c r="P87" t="s">
        <v>205</v>
      </c>
    </row>
    <row r="88" spans="2:16" hidden="1">
      <c r="B88" s="2334"/>
      <c r="C88" s="2264"/>
      <c r="D88" s="2264"/>
      <c r="E88" s="2264"/>
      <c r="F88" s="2310">
        <f>$F$86</f>
        <v>0</v>
      </c>
      <c r="G88" s="2264"/>
      <c r="H88" s="2310">
        <f>IF(OR($F$20=$R$6,$F$20=$U$6),CO2データ!I264,IF($F$20=$S$6,CO2データ!L264,CO2データ!O264))</f>
        <v>4.8000000000000001E-2</v>
      </c>
      <c r="I88" s="2310">
        <f>IF(OR($F$20=$R$6,$F$20=$U$6),CO2データ!J264,IF($F$20=$S$6,CO2データ!M264,CO2データ!P264))</f>
        <v>0</v>
      </c>
      <c r="J88" s="2310">
        <f>IF(OR($F$20=$R$6,$F$20=$U$6),CO2データ!K264,IF($F$20=$S$6,CO2データ!N264,CO2データ!Q264))</f>
        <v>4.8000000000000001E-2</v>
      </c>
      <c r="K88" s="2338"/>
      <c r="L88" s="2336">
        <f t="shared" si="8"/>
        <v>3.3600000000000005E-2</v>
      </c>
      <c r="M88" s="2338"/>
      <c r="N88" s="2336"/>
      <c r="O88" s="2340">
        <f t="shared" si="9"/>
        <v>4.8000000000000001E-2</v>
      </c>
      <c r="P88" t="s">
        <v>132</v>
      </c>
    </row>
    <row r="89" spans="2:16" hidden="1">
      <c r="B89" s="2334"/>
      <c r="C89" s="2264"/>
      <c r="D89" s="2264"/>
      <c r="E89" s="2264"/>
      <c r="F89" s="2310">
        <f>$F$86</f>
        <v>0</v>
      </c>
      <c r="G89" s="2264"/>
      <c r="H89" s="2310">
        <f>IF(OR($F$20=$R$6,$F$20=$U$6),CO2データ!I265,IF($F$20=$S$6,CO2データ!L265,CO2データ!O265))</f>
        <v>0</v>
      </c>
      <c r="I89" s="2310">
        <f>IF(OR($F$20=$R$6,$F$20=$U$6),CO2データ!J265,IF($F$20=$S$6,CO2データ!M265,CO2データ!P265))</f>
        <v>0</v>
      </c>
      <c r="J89" s="2310">
        <f>IF(OR($F$20=$R$6,$F$20=$U$6),CO2データ!K265,IF($F$20=$S$6,CO2データ!N265,CO2データ!Q265))</f>
        <v>0</v>
      </c>
      <c r="K89" s="2338"/>
      <c r="L89" s="2336">
        <f t="shared" si="8"/>
        <v>0</v>
      </c>
      <c r="M89" s="2338"/>
      <c r="N89" s="2336"/>
      <c r="O89" s="2340">
        <f t="shared" si="9"/>
        <v>0</v>
      </c>
      <c r="P89" t="s">
        <v>132</v>
      </c>
    </row>
    <row r="90" spans="2:16" hidden="1">
      <c r="B90" s="2334"/>
      <c r="C90" s="2264"/>
      <c r="D90" s="2264"/>
      <c r="E90" s="2264"/>
      <c r="F90" s="2310">
        <f>$F$86</f>
        <v>0</v>
      </c>
      <c r="G90" s="2264"/>
      <c r="H90" s="2310">
        <f>IF(OR($F$20=$R$6,$F$20=$U$6),CO2データ!I266,IF($F$20=$S$6,CO2データ!L266,CO2データ!O266))</f>
        <v>1.9E-2</v>
      </c>
      <c r="I90" s="2310">
        <f>IF(OR($F$20=$R$6,$F$20=$U$6),CO2データ!J266,IF($F$20=$S$6,CO2データ!M266,CO2データ!P266))</f>
        <v>0</v>
      </c>
      <c r="J90" s="2310">
        <f>IF(OR($F$20=$R$6,$F$20=$U$6),CO2データ!K266,IF($F$20=$S$6,CO2データ!N266,CO2データ!Q266))</f>
        <v>1.9E-2</v>
      </c>
      <c r="K90" s="2338"/>
      <c r="L90" s="2336">
        <f t="shared" si="8"/>
        <v>1.3299999999999999E-2</v>
      </c>
      <c r="M90" s="2338"/>
      <c r="N90" s="2336"/>
      <c r="O90" s="2340">
        <f t="shared" si="9"/>
        <v>1.9E-2</v>
      </c>
      <c r="P90" t="s">
        <v>132</v>
      </c>
    </row>
    <row r="91" spans="2:16" hidden="1">
      <c r="B91" s="2334"/>
      <c r="C91" s="2264"/>
      <c r="D91" s="2264"/>
      <c r="E91" s="2264"/>
      <c r="F91" s="2310">
        <f>$F$86</f>
        <v>0</v>
      </c>
      <c r="G91" s="2264"/>
      <c r="H91" s="2310">
        <f>IF(OR($F$20=$R$6,$F$20=$U$6),CO2データ!I267,IF($F$20=$S$6,CO2データ!L267,CO2データ!O267))</f>
        <v>2E-3</v>
      </c>
      <c r="I91" s="2310">
        <f>IF(OR($F$20=$R$6,$F$20=$U$6),CO2データ!J267,IF($F$20=$S$6,CO2データ!M267,CO2データ!P267))</f>
        <v>0</v>
      </c>
      <c r="J91" s="2310">
        <f>IF(OR($F$20=$R$6,$F$20=$U$6),CO2データ!K267,IF($F$20=$S$6,CO2データ!N267,CO2データ!Q267))</f>
        <v>1.98E-3</v>
      </c>
      <c r="K91" s="2338"/>
      <c r="L91" s="2336">
        <f t="shared" si="8"/>
        <v>1.4000000000000002E-3</v>
      </c>
      <c r="M91" s="2338"/>
      <c r="N91" s="2336"/>
      <c r="O91" s="2340">
        <f t="shared" si="9"/>
        <v>2E-3</v>
      </c>
      <c r="P91" t="s">
        <v>132</v>
      </c>
    </row>
    <row r="92" spans="2:16" ht="14.25" hidden="1" thickBot="1">
      <c r="B92" s="2323"/>
      <c r="C92" s="2212"/>
      <c r="D92" s="2212"/>
      <c r="E92" s="2212"/>
      <c r="F92" s="2212"/>
      <c r="G92" s="2212"/>
      <c r="H92" s="2212"/>
      <c r="I92" s="2212"/>
      <c r="J92" s="2212"/>
      <c r="K92" s="2212"/>
      <c r="L92" s="2212"/>
      <c r="M92" s="2212"/>
      <c r="N92" s="2212"/>
      <c r="O92" s="2213"/>
    </row>
    <row r="93" spans="2:16" hidden="1">
      <c r="B93" s="2334"/>
      <c r="C93" s="2264" t="s">
        <v>1459</v>
      </c>
      <c r="D93" s="2264" t="s">
        <v>557</v>
      </c>
      <c r="E93" s="2264"/>
      <c r="F93" s="2212"/>
      <c r="G93" s="2212"/>
      <c r="H93" s="2212"/>
      <c r="I93" s="2212"/>
      <c r="J93" s="2212"/>
      <c r="K93" s="2338"/>
      <c r="L93" s="2341">
        <f t="shared" ref="L93:L98" si="10">$F38*L38+$F44*L44+$F50*L50+$F56*L56+$F62*L62+$F68*L68+$F74*L74+$F80*L80+$F86*L86</f>
        <v>0.39689999999999998</v>
      </c>
      <c r="M93" s="2338"/>
      <c r="N93" s="2342"/>
      <c r="O93" s="2341">
        <f t="shared" ref="O93:O98" si="11">$F38*O38+$F44*O44+$F50*O50+$F56*O56+$F62*O62+$F68*O68+$F74*O74+$F80*O80+$F86*O86</f>
        <v>0.56699999999999995</v>
      </c>
      <c r="P93" t="s">
        <v>205</v>
      </c>
    </row>
    <row r="94" spans="2:16" hidden="1">
      <c r="B94" s="2334"/>
      <c r="C94" s="2264"/>
      <c r="D94" s="2264"/>
      <c r="E94" s="2264"/>
      <c r="F94" s="2212"/>
      <c r="G94" s="2212"/>
      <c r="H94" s="2212"/>
      <c r="I94" s="2212"/>
      <c r="J94" s="2212"/>
      <c r="K94" s="2338"/>
      <c r="L94" s="2343">
        <f t="shared" si="10"/>
        <v>0</v>
      </c>
      <c r="M94" s="2338"/>
      <c r="N94" s="2342"/>
      <c r="O94" s="2343">
        <f t="shared" si="11"/>
        <v>0</v>
      </c>
      <c r="P94" t="s">
        <v>205</v>
      </c>
    </row>
    <row r="95" spans="2:16" hidden="1">
      <c r="B95" s="2334"/>
      <c r="C95" s="2264"/>
      <c r="D95" s="2264"/>
      <c r="E95" s="2264"/>
      <c r="F95" s="2212"/>
      <c r="G95" s="2212"/>
      <c r="H95" s="2212"/>
      <c r="I95" s="2212"/>
      <c r="J95" s="2212"/>
      <c r="K95" s="2338"/>
      <c r="L95" s="2343">
        <f t="shared" si="10"/>
        <v>9.5200000000000007E-2</v>
      </c>
      <c r="M95" s="2338"/>
      <c r="N95" s="2342"/>
      <c r="O95" s="2343">
        <f t="shared" si="11"/>
        <v>0.13600000000000001</v>
      </c>
      <c r="P95" t="s">
        <v>132</v>
      </c>
    </row>
    <row r="96" spans="2:16" hidden="1">
      <c r="B96" s="2334"/>
      <c r="C96" s="2264"/>
      <c r="D96" s="2264"/>
      <c r="E96" s="2264"/>
      <c r="F96" s="2212"/>
      <c r="G96" s="2212"/>
      <c r="H96" s="2212"/>
      <c r="I96" s="2212"/>
      <c r="J96" s="2212"/>
      <c r="K96" s="2338"/>
      <c r="L96" s="2343">
        <f t="shared" si="10"/>
        <v>0</v>
      </c>
      <c r="M96" s="2338"/>
      <c r="N96" s="2342"/>
      <c r="O96" s="2343">
        <f t="shared" si="11"/>
        <v>0</v>
      </c>
      <c r="P96" t="s">
        <v>132</v>
      </c>
    </row>
    <row r="97" spans="2:16" hidden="1">
      <c r="B97" s="2334"/>
      <c r="C97" s="2264"/>
      <c r="D97" s="2264"/>
      <c r="E97" s="2264"/>
      <c r="F97" s="2212"/>
      <c r="G97" s="2212"/>
      <c r="H97" s="2212"/>
      <c r="I97" s="2212"/>
      <c r="J97" s="2212"/>
      <c r="K97" s="2338"/>
      <c r="L97" s="2343">
        <f t="shared" si="10"/>
        <v>4.9000000000000002E-2</v>
      </c>
      <c r="M97" s="2338"/>
      <c r="N97" s="2342"/>
      <c r="O97" s="2343">
        <f t="shared" si="11"/>
        <v>7.0000000000000007E-2</v>
      </c>
      <c r="P97" t="s">
        <v>132</v>
      </c>
    </row>
    <row r="98" spans="2:16" ht="14.25" hidden="1" thickBot="1">
      <c r="B98" s="2334"/>
      <c r="C98" s="2264"/>
      <c r="D98" s="2264"/>
      <c r="E98" s="2264"/>
      <c r="F98" s="2212"/>
      <c r="G98" s="2212"/>
      <c r="H98" s="2212"/>
      <c r="I98" s="2212"/>
      <c r="J98" s="2212"/>
      <c r="K98" s="2338"/>
      <c r="L98" s="2344">
        <f t="shared" si="10"/>
        <v>3.5000000000000001E-3</v>
      </c>
      <c r="M98" s="2338"/>
      <c r="N98" s="2342"/>
      <c r="O98" s="2344">
        <f t="shared" si="11"/>
        <v>5.0000000000000001E-3</v>
      </c>
      <c r="P98" t="s">
        <v>132</v>
      </c>
    </row>
    <row r="99" spans="2:16" hidden="1">
      <c r="B99" s="2323"/>
      <c r="C99" s="2212"/>
      <c r="D99" s="2212"/>
      <c r="E99" s="2212"/>
      <c r="F99" s="2212"/>
      <c r="G99" s="2212"/>
      <c r="H99" s="2212"/>
      <c r="I99" s="2212"/>
      <c r="J99" s="2212"/>
      <c r="K99" s="2212"/>
      <c r="L99" s="2212"/>
      <c r="M99" s="2212"/>
      <c r="N99" s="2212"/>
      <c r="O99" s="2213"/>
    </row>
    <row r="100" spans="2:16" ht="16.5">
      <c r="B100" s="1444" t="s">
        <v>212</v>
      </c>
      <c r="C100" s="1454"/>
      <c r="D100" s="1457"/>
      <c r="E100" s="1454"/>
      <c r="F100" s="2212"/>
      <c r="G100" s="2212"/>
      <c r="H100" s="1445"/>
      <c r="I100" s="1446"/>
      <c r="J100" s="1446"/>
      <c r="K100" s="1446"/>
      <c r="L100" s="1446"/>
      <c r="M100" s="1446"/>
      <c r="N100" s="1446"/>
      <c r="O100" s="1460"/>
    </row>
    <row r="101" spans="2:16" ht="14.25">
      <c r="B101" s="1444"/>
      <c r="C101" s="1448" t="s">
        <v>213</v>
      </c>
      <c r="D101" s="1457"/>
      <c r="E101" s="1454"/>
      <c r="F101" s="2212"/>
      <c r="G101" s="2212"/>
      <c r="H101" s="1445"/>
      <c r="I101" s="1446"/>
      <c r="J101" s="1445" t="s">
        <v>187</v>
      </c>
      <c r="K101" s="1446"/>
      <c r="L101" s="1445" t="s">
        <v>187</v>
      </c>
      <c r="M101" s="1446"/>
      <c r="N101" s="1446"/>
      <c r="O101" s="1447" t="s">
        <v>187</v>
      </c>
    </row>
    <row r="102" spans="2:16">
      <c r="B102" s="2211"/>
      <c r="C102" s="1457"/>
      <c r="D102" s="1457" t="s">
        <v>194</v>
      </c>
      <c r="E102" s="1454"/>
      <c r="F102" s="2309" t="s">
        <v>189</v>
      </c>
      <c r="G102" s="1454"/>
      <c r="H102" s="1451" t="s">
        <v>190</v>
      </c>
      <c r="I102" s="1451" t="s">
        <v>191</v>
      </c>
      <c r="J102" s="1451" t="s">
        <v>192</v>
      </c>
      <c r="K102" s="1452" t="s">
        <v>193</v>
      </c>
      <c r="L102" s="1453" t="s">
        <v>118</v>
      </c>
      <c r="M102" s="1454"/>
      <c r="N102" s="1452" t="s">
        <v>193</v>
      </c>
      <c r="O102" s="1455" t="s">
        <v>118</v>
      </c>
    </row>
    <row r="103" spans="2:16">
      <c r="B103" s="2211"/>
      <c r="C103" s="1457"/>
      <c r="D103" s="1457"/>
      <c r="E103" s="1457" t="s">
        <v>539</v>
      </c>
      <c r="F103" s="2310">
        <f t="shared" ref="F103:F111" si="12">F10</f>
        <v>1</v>
      </c>
      <c r="G103" s="1454"/>
      <c r="H103" s="2310">
        <f>IF(OR($F$20=$R$6,$F$20=$U$6),CO2データ!I67,IF($F$20=$S$6,CO2データ!L67,CO2データ!O67))</f>
        <v>15.990999999999998</v>
      </c>
      <c r="I103" s="2310">
        <f>IF(OR($F$20=$R$6,$F$20=$U$6),CO2データ!J67,IF($F$20=$S$6,CO2データ!M67,CO2データ!P67))</f>
        <v>15.990999999999998</v>
      </c>
      <c r="J103" s="2310">
        <f>IF(OR($F$20=$R$6,$F$20=$U$6),CO2データ!K67,IF($F$20=$S$6,CO2データ!N67,CO2データ!Q67))</f>
        <v>15.990999999999998</v>
      </c>
      <c r="K103" s="2294">
        <f>スコア表示!L80</f>
        <v>3</v>
      </c>
      <c r="L103" s="2312">
        <f t="shared" ref="L103:L111" si="13">IF(K103&gt;=5,$J103,IF(K103&gt;=4,$I103,$H103))</f>
        <v>15.990999999999998</v>
      </c>
      <c r="M103" s="1454"/>
      <c r="N103" s="2294">
        <v>3</v>
      </c>
      <c r="O103" s="2313">
        <f>IF(OR($F$20=$R$6,$F$20=$U$6),CO2データ!I65,IF($F$20=$S$6,CO2データ!L65,CO2データ!O65))</f>
        <v>15.990999999999998</v>
      </c>
    </row>
    <row r="104" spans="2:16">
      <c r="B104" s="2211"/>
      <c r="C104" s="1454"/>
      <c r="D104" s="1457"/>
      <c r="E104" s="1457" t="s">
        <v>541</v>
      </c>
      <c r="F104" s="2310">
        <f t="shared" si="12"/>
        <v>0</v>
      </c>
      <c r="G104" s="1454"/>
      <c r="H104" s="2310">
        <f>IF(OR($F$20=$R$6,$F$20=$U$6),CO2データ!I70,IF($F$20=$S$6,CO2データ!L70,CO2データ!O70))</f>
        <v>11.802</v>
      </c>
      <c r="I104" s="2310">
        <f>IF(OR($F$20=$R$6,$F$20=$U$6),CO2データ!J70,IF($F$20=$S$6,CO2データ!M70,CO2データ!P70))</f>
        <v>11.802</v>
      </c>
      <c r="J104" s="2310">
        <f>IF(OR($F$20=$R$6,$F$20=$U$6),CO2データ!K70,IF($F$20=$S$6,CO2データ!N70,CO2データ!Q70))</f>
        <v>11.802</v>
      </c>
      <c r="K104" s="2294">
        <f t="shared" ref="K104:K111" si="14">K$103</f>
        <v>3</v>
      </c>
      <c r="L104" s="2312">
        <f t="shared" si="13"/>
        <v>11.802</v>
      </c>
      <c r="M104" s="1454"/>
      <c r="N104" s="2294">
        <v>3</v>
      </c>
      <c r="O104" s="2313">
        <f>IF(OR($F$20=$R$6,$F$20=$U$6),CO2データ!I68,IF($F$20=$S$6,CO2データ!L68,CO2データ!O68))</f>
        <v>11.802</v>
      </c>
    </row>
    <row r="105" spans="2:16">
      <c r="B105" s="2211"/>
      <c r="C105" s="1454"/>
      <c r="D105" s="2212"/>
      <c r="E105" s="1457" t="s">
        <v>543</v>
      </c>
      <c r="F105" s="2310">
        <f t="shared" si="12"/>
        <v>0</v>
      </c>
      <c r="G105" s="1454"/>
      <c r="H105" s="2310">
        <f>IF(OR($F$20=$R$6,$F$20=$U$6),CO2データ!I73,IF($F$20=$S$6,CO2データ!L73,CO2データ!O73))</f>
        <v>6.88</v>
      </c>
      <c r="I105" s="2310">
        <f>IF(OR($F$20=$R$6,$F$20=$U$6),CO2データ!J73,IF($F$20=$S$6,CO2データ!M73,CO2データ!P73))</f>
        <v>6.88</v>
      </c>
      <c r="J105" s="2310">
        <f>IF(OR($F$20=$R$6,$F$20=$U$6),CO2データ!K73,IF($F$20=$S$6,CO2データ!N73,CO2データ!Q73))</f>
        <v>6.88</v>
      </c>
      <c r="K105" s="2294">
        <f t="shared" si="14"/>
        <v>3</v>
      </c>
      <c r="L105" s="2312">
        <f t="shared" si="13"/>
        <v>6.88</v>
      </c>
      <c r="M105" s="1454"/>
      <c r="N105" s="2294">
        <v>3</v>
      </c>
      <c r="O105" s="2313">
        <f>IF(OR($F$20=$R$6,$F$20=$U$6),CO2データ!I71,IF($F$20=$S$6,CO2データ!L71,CO2データ!O71))</f>
        <v>6.88</v>
      </c>
    </row>
    <row r="106" spans="2:16">
      <c r="B106" s="2211"/>
      <c r="C106" s="1454"/>
      <c r="D106" s="1457"/>
      <c r="E106" s="1457" t="s">
        <v>545</v>
      </c>
      <c r="F106" s="2310">
        <f t="shared" si="12"/>
        <v>0</v>
      </c>
      <c r="G106" s="1454"/>
      <c r="H106" s="2310">
        <f>IF(OR($F$20=$R$6,$F$20=$U$6),CO2データ!I76,IF($F$20=$S$6,CO2データ!L76,CO2データ!O76))</f>
        <v>6.88</v>
      </c>
      <c r="I106" s="2310">
        <f>IF(OR($F$20=$R$6,$F$20=$U$6),CO2データ!J76,IF($F$20=$S$6,CO2データ!M76,CO2データ!P76))</f>
        <v>6.88</v>
      </c>
      <c r="J106" s="2310">
        <f>IF(OR($F$20=$R$6,$F$20=$U$6),CO2データ!K76,IF($F$20=$S$6,CO2データ!N76,CO2データ!Q76))</f>
        <v>6.88</v>
      </c>
      <c r="K106" s="2294">
        <f t="shared" si="14"/>
        <v>3</v>
      </c>
      <c r="L106" s="2312">
        <f t="shared" si="13"/>
        <v>6.88</v>
      </c>
      <c r="M106" s="1454"/>
      <c r="N106" s="2294">
        <v>3</v>
      </c>
      <c r="O106" s="2313">
        <f>IF(OR($F$20=$R$6,$F$20=$U$6),CO2データ!I74,IF($F$20=$S$6,CO2データ!L74,CO2データ!O74))</f>
        <v>6.88</v>
      </c>
    </row>
    <row r="107" spans="2:16">
      <c r="B107" s="2211"/>
      <c r="C107" s="2212"/>
      <c r="D107" s="2212"/>
      <c r="E107" s="161" t="s">
        <v>861</v>
      </c>
      <c r="F107" s="2310">
        <f t="shared" si="12"/>
        <v>0</v>
      </c>
      <c r="G107" s="1454"/>
      <c r="H107" s="2310">
        <f>IF(OR($F$20=$R$6,$F$20=$U$6),CO2データ!I79,IF($F$20=$S$6,CO2データ!L79,CO2データ!O79))</f>
        <v>12.809999999999999</v>
      </c>
      <c r="I107" s="2310">
        <f>IF(OR($F$20=$R$6,$F$20=$U$6),CO2データ!J79,IF($F$20=$S$6,CO2データ!M79,CO2データ!P79))</f>
        <v>12.809999999999999</v>
      </c>
      <c r="J107" s="2310">
        <f>IF(OR($F$20=$R$6,$F$20=$U$6),CO2データ!K79,IF($F$20=$S$6,CO2データ!N79,CO2データ!Q79))</f>
        <v>12.809999999999999</v>
      </c>
      <c r="K107" s="2294">
        <f t="shared" si="14"/>
        <v>3</v>
      </c>
      <c r="L107" s="2312">
        <f t="shared" si="13"/>
        <v>12.809999999999999</v>
      </c>
      <c r="M107" s="1454"/>
      <c r="N107" s="2294">
        <v>3</v>
      </c>
      <c r="O107" s="2313">
        <f>IF(OR($F$20=$R$6,$F$20=$U$6),CO2データ!I77,IF($F$20=$S$6,CO2データ!L77,CO2データ!O77))</f>
        <v>12.809999999999999</v>
      </c>
    </row>
    <row r="108" spans="2:16">
      <c r="B108" s="2211"/>
      <c r="C108" s="2212"/>
      <c r="D108" s="2212"/>
      <c r="E108" s="161" t="s">
        <v>555</v>
      </c>
      <c r="F108" s="2310">
        <f t="shared" si="12"/>
        <v>0</v>
      </c>
      <c r="G108" s="1454"/>
      <c r="H108" s="2310">
        <f>IF(OR($F$20=$R$6,$F$20=$U$6),CO2データ!I82,IF($F$20=$S$6,CO2データ!L82,CO2データ!O82))</f>
        <v>8.6499999999999986</v>
      </c>
      <c r="I108" s="2310">
        <f>IF(OR($F$20=$R$6,$F$20=$U$6),CO2データ!J82,IF($F$20=$S$6,CO2データ!M82,CO2データ!P82))</f>
        <v>8.6499999999999986</v>
      </c>
      <c r="J108" s="2310">
        <f>IF(OR($F$20=$R$6,$F$20=$U$6),CO2データ!K82,IF($F$20=$S$6,CO2データ!N82,CO2データ!Q82))</f>
        <v>8.6499999999999986</v>
      </c>
      <c r="K108" s="2294">
        <f t="shared" si="14"/>
        <v>3</v>
      </c>
      <c r="L108" s="2312">
        <f t="shared" si="13"/>
        <v>8.6499999999999986</v>
      </c>
      <c r="M108" s="1454"/>
      <c r="N108" s="2294">
        <v>3</v>
      </c>
      <c r="O108" s="2313">
        <f>IF(OR($F$20=$R$6,$F$20=$U$6),CO2データ!I80,IF($F$20=$S$6,CO2データ!L80,CO2データ!O80))</f>
        <v>8.6499999999999986</v>
      </c>
    </row>
    <row r="109" spans="2:16">
      <c r="B109" s="2211"/>
      <c r="C109" s="2212"/>
      <c r="D109" s="2212"/>
      <c r="E109" s="161" t="s">
        <v>549</v>
      </c>
      <c r="F109" s="2310">
        <f t="shared" si="12"/>
        <v>0</v>
      </c>
      <c r="G109" s="1454"/>
      <c r="H109" s="2310">
        <f>IF(OR($F$20=$R$6,$F$20=$U$6),CO2データ!I85,IF($F$20=$S$6,CO2データ!L85,CO2データ!O85))</f>
        <v>15.425999999999998</v>
      </c>
      <c r="I109" s="2310">
        <f>IF(OR($F$20=$R$6,$F$20=$U$6),CO2データ!J85,IF($F$20=$S$6,CO2データ!M85,CO2データ!P85))</f>
        <v>15.425999999999998</v>
      </c>
      <c r="J109" s="2310">
        <f>IF(OR($F$20=$R$6,$F$20=$U$6),CO2データ!K85,IF($F$20=$S$6,CO2データ!N85,CO2データ!Q85))</f>
        <v>15.425999999999998</v>
      </c>
      <c r="K109" s="2294">
        <f t="shared" si="14"/>
        <v>3</v>
      </c>
      <c r="L109" s="2312">
        <f t="shared" si="13"/>
        <v>15.425999999999998</v>
      </c>
      <c r="M109" s="1454"/>
      <c r="N109" s="2294">
        <v>3</v>
      </c>
      <c r="O109" s="2313">
        <f>IF(OR($F$20=$R$6,$F$20=$U$6),CO2データ!I83,IF($F$20=$S$6,CO2データ!L83,CO2データ!O83))</f>
        <v>15.425999999999998</v>
      </c>
    </row>
    <row r="110" spans="2:16">
      <c r="B110" s="2211"/>
      <c r="C110" s="2212"/>
      <c r="D110" s="2212"/>
      <c r="E110" s="161" t="s">
        <v>862</v>
      </c>
      <c r="F110" s="2310">
        <f t="shared" si="12"/>
        <v>0</v>
      </c>
      <c r="G110" s="1454"/>
      <c r="H110" s="2310">
        <f>IF(OR($F$20=$R$6,$F$20=$U$6),CO2データ!I88,IF($F$20=$S$6,CO2データ!L88,CO2データ!O88))</f>
        <v>13.297999999999998</v>
      </c>
      <c r="I110" s="2310">
        <f>IF(OR($F$20=$R$6,$F$20=$U$6),CO2データ!J88,IF($F$20=$S$6,CO2データ!M88,CO2データ!P88))</f>
        <v>13.297999999999998</v>
      </c>
      <c r="J110" s="2310">
        <f>IF(OR($F$20=$R$6,$F$20=$U$6),CO2データ!K88,IF($F$20=$S$6,CO2データ!N88,CO2データ!Q88))</f>
        <v>13.297999999999998</v>
      </c>
      <c r="K110" s="2294">
        <f t="shared" si="14"/>
        <v>3</v>
      </c>
      <c r="L110" s="2312">
        <f t="shared" si="13"/>
        <v>13.297999999999998</v>
      </c>
      <c r="M110" s="1454"/>
      <c r="N110" s="2294">
        <v>3</v>
      </c>
      <c r="O110" s="2313">
        <f>IF(OR($F$20=$R$6,$F$20=$U$6),CO2データ!I86,IF($F$20=$S$6,CO2データ!L86,CO2データ!O86))</f>
        <v>13.297999999999998</v>
      </c>
    </row>
    <row r="111" spans="2:16">
      <c r="B111" s="2211"/>
      <c r="C111" s="2212"/>
      <c r="D111" s="2212"/>
      <c r="E111" s="161" t="s">
        <v>553</v>
      </c>
      <c r="F111" s="2310">
        <f t="shared" si="12"/>
        <v>0</v>
      </c>
      <c r="G111" s="1454"/>
      <c r="H111" s="2310">
        <f>IF(OR($F$20=$R$6,$F$20=$U$6),CO2データ!I91,IF($F$20=$S$6,CO2データ!L91,CO2データ!O91))</f>
        <v>8.0190000000000001</v>
      </c>
      <c r="I111" s="2310">
        <f>IF(OR($F$20=$R$6,$F$20=$U$6),CO2データ!J91,IF($F$20=$S$6,CO2データ!M91,CO2データ!P91))</f>
        <v>9.7210000000000001</v>
      </c>
      <c r="J111" s="2310">
        <f>IF(OR($F$20=$R$6,$F$20=$U$6),CO2データ!K91,IF($F$20=$S$6,CO2データ!N91,CO2データ!Q91))</f>
        <v>10.979000000000001</v>
      </c>
      <c r="K111" s="2294">
        <f t="shared" si="14"/>
        <v>3</v>
      </c>
      <c r="L111" s="2312">
        <f t="shared" si="13"/>
        <v>8.0190000000000001</v>
      </c>
      <c r="M111" s="1454"/>
      <c r="N111" s="2294">
        <v>3</v>
      </c>
      <c r="O111" s="2313">
        <f>IF(OR($F$20=$R$6,$F$20=$U$6),CO2データ!I89,IF($F$20=$S$6,CO2データ!L89,CO2データ!O89))</f>
        <v>8.0190000000000001</v>
      </c>
    </row>
    <row r="112" spans="2:16" ht="14.25" thickBot="1">
      <c r="B112" s="2211"/>
      <c r="C112" s="2212"/>
      <c r="D112" s="2212"/>
      <c r="E112" s="2212"/>
      <c r="F112" s="2212"/>
      <c r="G112" s="2212"/>
      <c r="H112" s="2212"/>
      <c r="I112" s="2212"/>
      <c r="J112" s="2212"/>
      <c r="K112" s="2212"/>
      <c r="L112" s="2212"/>
      <c r="M112" s="2212"/>
      <c r="N112" s="2212"/>
      <c r="O112" s="2213"/>
    </row>
    <row r="113" spans="2:18" ht="14.25" thickBot="1">
      <c r="B113" s="2323"/>
      <c r="C113" s="1448" t="s">
        <v>214</v>
      </c>
      <c r="D113" s="1457"/>
      <c r="E113" s="161"/>
      <c r="F113" s="2212"/>
      <c r="G113" s="2212"/>
      <c r="H113" s="2212"/>
      <c r="I113" s="2212"/>
      <c r="J113" s="2212"/>
      <c r="K113" s="2212"/>
      <c r="L113" s="2326">
        <f>SUMPRODUCT(F103:F111,L103:L111)</f>
        <v>15.990999999999998</v>
      </c>
      <c r="M113" s="2212"/>
      <c r="N113" s="2212"/>
      <c r="O113" s="2326">
        <f>SUMPRODUCT(F103:F111,O103:O111)</f>
        <v>15.990999999999998</v>
      </c>
    </row>
    <row r="114" spans="2:18">
      <c r="B114" s="2211"/>
      <c r="C114" s="2212"/>
      <c r="D114" s="2212"/>
      <c r="E114" s="2212"/>
      <c r="F114" s="2212"/>
      <c r="G114" s="2212"/>
      <c r="H114" s="2212"/>
      <c r="I114" s="2212"/>
      <c r="J114" s="2212"/>
      <c r="K114" s="2212"/>
      <c r="L114" s="2212"/>
      <c r="M114" s="2212"/>
      <c r="N114" s="2212"/>
      <c r="O114" s="2213"/>
    </row>
    <row r="115" spans="2:18" ht="17.25" thickBot="1">
      <c r="B115" s="1444" t="s">
        <v>215</v>
      </c>
      <c r="C115" s="2212"/>
      <c r="D115" s="2212"/>
      <c r="E115" s="2212"/>
      <c r="F115" s="2212"/>
      <c r="G115" s="2212"/>
      <c r="H115" s="2212"/>
      <c r="I115" s="2212"/>
      <c r="J115" s="2212"/>
      <c r="K115" s="2212"/>
      <c r="L115" s="1445" t="s">
        <v>187</v>
      </c>
      <c r="M115" s="1454"/>
      <c r="N115" s="1454"/>
      <c r="O115" s="1447" t="s">
        <v>187</v>
      </c>
      <c r="R115" t="s">
        <v>1460</v>
      </c>
    </row>
    <row r="116" spans="2:18" ht="14.25" thickBot="1">
      <c r="B116" s="1444"/>
      <c r="C116" s="1448" t="s">
        <v>1174</v>
      </c>
      <c r="D116" s="2212"/>
      <c r="E116" s="2212"/>
      <c r="F116" s="2212" t="s">
        <v>1364</v>
      </c>
      <c r="G116" s="2212"/>
      <c r="H116" s="2212" t="s">
        <v>1461</v>
      </c>
      <c r="I116" s="2212"/>
      <c r="J116" s="2212" t="s">
        <v>1263</v>
      </c>
      <c r="K116" s="2212"/>
      <c r="L116" s="1988">
        <f>SUM(L118:L121)</f>
        <v>107.97960836065572</v>
      </c>
      <c r="M116" s="1454"/>
      <c r="N116" s="1989" t="s">
        <v>1175</v>
      </c>
      <c r="O116" s="1988">
        <f>SUM(O118:O121)</f>
        <v>119.9773426229508</v>
      </c>
    </row>
    <row r="117" spans="2:18">
      <c r="B117" s="1444"/>
      <c r="C117" s="1448"/>
      <c r="D117" s="2212"/>
      <c r="E117" s="2212"/>
      <c r="F117" s="2345" t="s">
        <v>1366</v>
      </c>
      <c r="G117" s="2212"/>
      <c r="H117" s="1441" t="s">
        <v>1462</v>
      </c>
      <c r="I117" s="1441" t="s">
        <v>1463</v>
      </c>
      <c r="J117" s="1457" t="s">
        <v>1464</v>
      </c>
      <c r="K117" s="2212"/>
      <c r="L117" s="1994"/>
      <c r="M117" s="1454"/>
      <c r="N117" s="1989"/>
      <c r="O117" s="2291"/>
    </row>
    <row r="118" spans="2:18">
      <c r="B118" s="1444"/>
      <c r="C118" s="1448"/>
      <c r="D118" s="2212"/>
      <c r="E118" s="2212" t="s">
        <v>1435</v>
      </c>
      <c r="F118" s="2346">
        <f>計画書_前!I29</f>
        <v>10000</v>
      </c>
      <c r="G118" s="2212"/>
      <c r="H118" s="2346">
        <f>計画書_前!Q74</f>
        <v>19300</v>
      </c>
      <c r="I118" s="2346">
        <f>計画書_前!N74</f>
        <v>17370</v>
      </c>
      <c r="J118" s="2221">
        <f>計画書_前!L94</f>
        <v>6.2164426229508192E-2</v>
      </c>
      <c r="K118" s="2212"/>
      <c r="L118" s="2347">
        <f>IF(F118=0,0,I118*J118/F118*1000)</f>
        <v>107.97960836065572</v>
      </c>
      <c r="M118" s="1454"/>
      <c r="N118" s="1989"/>
      <c r="O118" s="2348">
        <f>IF(F118=0,0,H118*J118/F118*1000)</f>
        <v>119.9773426229508</v>
      </c>
    </row>
    <row r="119" spans="2:18" hidden="1">
      <c r="B119" s="1444"/>
      <c r="C119" s="1448"/>
      <c r="D119" s="2212"/>
      <c r="E119" s="2212"/>
      <c r="F119" s="2346"/>
      <c r="G119" s="2212"/>
      <c r="H119" s="2346"/>
      <c r="I119" s="2346"/>
      <c r="J119" s="2221"/>
      <c r="K119" s="2212"/>
      <c r="L119" s="2347"/>
      <c r="M119" s="1454"/>
      <c r="N119" s="1989"/>
      <c r="O119" s="2348"/>
    </row>
    <row r="120" spans="2:18">
      <c r="B120" s="1444"/>
      <c r="C120" s="1448"/>
      <c r="D120" s="2212"/>
      <c r="E120" s="2212" t="s">
        <v>1465</v>
      </c>
      <c r="F120" s="2346">
        <f>計画書_前!N29</f>
        <v>0</v>
      </c>
      <c r="G120" s="2212"/>
      <c r="H120" s="2346">
        <f>計画書_前!Q108</f>
        <v>0</v>
      </c>
      <c r="I120" s="2346">
        <f>計画書_前!N108</f>
        <v>0</v>
      </c>
      <c r="J120" s="2221">
        <f>CO2データ!R168</f>
        <v>6.0541508196721307E-2</v>
      </c>
      <c r="K120" s="2212"/>
      <c r="L120" s="2347">
        <f>IF(F120=0,0,I120*J120/F120*1000)</f>
        <v>0</v>
      </c>
      <c r="M120" s="1454"/>
      <c r="N120" s="1989"/>
      <c r="O120" s="2348">
        <f>IF(F120=0,0,H120*J120/F120*1000)</f>
        <v>0</v>
      </c>
    </row>
    <row r="121" spans="2:18">
      <c r="B121" s="1444"/>
      <c r="C121" s="1448"/>
      <c r="D121" s="2212"/>
      <c r="E121" s="2212" t="s">
        <v>1466</v>
      </c>
      <c r="F121" s="2346">
        <f>計画書_前!M29</f>
        <v>0</v>
      </c>
      <c r="G121" s="2212"/>
      <c r="H121" s="2346">
        <f>計画書_前!Q112</f>
        <v>0</v>
      </c>
      <c r="I121" s="2346">
        <f>計画書_前!N112</f>
        <v>0</v>
      </c>
      <c r="J121" s="2221">
        <f>CO2データ!R169</f>
        <v>6.2704918032786883E-2</v>
      </c>
      <c r="K121" s="2212"/>
      <c r="L121" s="2347">
        <f>IF(F121=0,0,I121*J121/F121*1000)</f>
        <v>0</v>
      </c>
      <c r="M121" s="1454"/>
      <c r="N121" s="1989"/>
      <c r="O121" s="2348">
        <f>IF(F121=0,0,H121*J121/F121*1000)</f>
        <v>0</v>
      </c>
    </row>
    <row r="122" spans="2:18" ht="14.25" thickBot="1">
      <c r="B122" s="1444"/>
      <c r="C122" s="2212"/>
      <c r="D122" s="2212"/>
      <c r="E122" s="2212"/>
      <c r="F122" s="2212"/>
      <c r="G122" s="2212"/>
      <c r="H122" s="2212"/>
      <c r="I122" s="2212"/>
      <c r="J122" s="2212"/>
      <c r="K122" s="2212"/>
      <c r="L122" s="1445"/>
      <c r="M122" s="1454"/>
      <c r="N122" s="1454"/>
      <c r="O122" s="1447"/>
    </row>
    <row r="123" spans="2:18" ht="14.25" thickBot="1">
      <c r="B123" s="2211"/>
      <c r="C123" s="1448" t="s">
        <v>1176</v>
      </c>
      <c r="D123" s="2212"/>
      <c r="E123" s="2212"/>
      <c r="F123" s="2212" t="s">
        <v>1364</v>
      </c>
      <c r="G123" s="2212"/>
      <c r="H123" s="2212" t="s">
        <v>1461</v>
      </c>
      <c r="I123" s="2212"/>
      <c r="J123" s="2212" t="s">
        <v>1263</v>
      </c>
      <c r="K123" s="2212"/>
      <c r="L123" s="1988">
        <f>SUM(L125:L127)</f>
        <v>107.97960836065572</v>
      </c>
      <c r="M123" s="2212"/>
      <c r="N123" s="2212"/>
      <c r="O123" s="2213"/>
    </row>
    <row r="124" spans="2:18">
      <c r="B124" s="2211"/>
      <c r="C124" s="1448"/>
      <c r="D124" s="2212"/>
      <c r="E124" s="2212"/>
      <c r="F124" s="2219" t="s">
        <v>1366</v>
      </c>
      <c r="G124" s="2212"/>
      <c r="H124" s="2349" t="s">
        <v>1467</v>
      </c>
      <c r="I124" s="1441" t="s">
        <v>1468</v>
      </c>
      <c r="J124" s="1457" t="s">
        <v>1464</v>
      </c>
      <c r="K124" s="2212"/>
      <c r="L124" s="2212"/>
      <c r="M124" s="2212"/>
      <c r="N124" s="2212"/>
      <c r="O124" s="2213"/>
    </row>
    <row r="125" spans="2:18">
      <c r="B125" s="2211"/>
      <c r="C125" s="1448"/>
      <c r="D125" s="2212"/>
      <c r="E125" s="2212" t="s">
        <v>1435</v>
      </c>
      <c r="F125" s="2346">
        <f>F118</f>
        <v>10000</v>
      </c>
      <c r="G125" s="2212"/>
      <c r="H125" s="2346">
        <f>計画書_前!I43</f>
        <v>0</v>
      </c>
      <c r="I125" s="2346">
        <f>I118-H125</f>
        <v>17370</v>
      </c>
      <c r="J125" s="2221">
        <f>J118</f>
        <v>6.2164426229508192E-2</v>
      </c>
      <c r="K125" s="2212"/>
      <c r="L125" s="2347">
        <f>IF(F125=0,0,I125*J125/F125*1000)</f>
        <v>107.97960836065572</v>
      </c>
      <c r="M125" s="2212"/>
      <c r="N125" s="2212"/>
      <c r="O125" s="2213"/>
    </row>
    <row r="126" spans="2:18">
      <c r="B126" s="2211"/>
      <c r="C126" s="1448"/>
      <c r="D126" s="2212"/>
      <c r="E126" s="2212" t="s">
        <v>1465</v>
      </c>
      <c r="F126" s="2346">
        <f>F120</f>
        <v>0</v>
      </c>
      <c r="G126" s="2212"/>
      <c r="H126" s="2346">
        <f>計画書_前!N43</f>
        <v>0</v>
      </c>
      <c r="I126" s="2346">
        <f>I120-H126</f>
        <v>0</v>
      </c>
      <c r="J126" s="2221">
        <f>J120</f>
        <v>6.0541508196721307E-2</v>
      </c>
      <c r="K126" s="2212"/>
      <c r="L126" s="2347">
        <f>IF(F126=0,0,I126*J126/F126*1000)</f>
        <v>0</v>
      </c>
      <c r="M126" s="2212"/>
      <c r="N126" s="2212"/>
      <c r="O126" s="2213"/>
    </row>
    <row r="127" spans="2:18">
      <c r="B127" s="2211"/>
      <c r="C127" s="1448"/>
      <c r="D127" s="2212"/>
      <c r="E127" s="2212" t="s">
        <v>1466</v>
      </c>
      <c r="F127" s="2346">
        <f>F121</f>
        <v>0</v>
      </c>
      <c r="G127" s="2212"/>
      <c r="H127" s="2346">
        <f>計画書_前!M43</f>
        <v>0</v>
      </c>
      <c r="I127" s="2346">
        <f>I121-H127</f>
        <v>0</v>
      </c>
      <c r="J127" s="2221">
        <f>J121</f>
        <v>6.2704918032786883E-2</v>
      </c>
      <c r="K127" s="2212"/>
      <c r="L127" s="2347">
        <f>IF(F127=0,0,I127*J127/F127*1000)</f>
        <v>0</v>
      </c>
      <c r="M127" s="2212"/>
      <c r="N127" s="2212"/>
      <c r="O127" s="2213"/>
    </row>
    <row r="128" spans="2:18">
      <c r="B128" s="2211"/>
      <c r="C128" s="1448"/>
      <c r="D128" s="2212"/>
      <c r="E128" s="2212"/>
      <c r="F128" s="2212"/>
      <c r="G128" s="2212"/>
      <c r="H128" s="2212"/>
      <c r="I128" s="2212"/>
      <c r="J128" s="2212"/>
      <c r="K128" s="2212"/>
      <c r="L128" s="2212"/>
      <c r="M128" s="2212"/>
      <c r="N128" s="2212"/>
      <c r="O128" s="2213"/>
    </row>
    <row r="129" spans="2:15" hidden="1">
      <c r="B129" s="2211"/>
      <c r="C129" s="1448"/>
      <c r="D129" s="2212"/>
      <c r="E129" s="2212"/>
      <c r="F129" s="2212" t="s">
        <v>1178</v>
      </c>
      <c r="G129" s="2212"/>
      <c r="H129" s="2346"/>
      <c r="I129" s="2221"/>
      <c r="J129" s="2269"/>
      <c r="K129" s="2212"/>
      <c r="L129" s="2212"/>
      <c r="M129" s="2212"/>
      <c r="N129" s="2212"/>
      <c r="O129" s="2213"/>
    </row>
    <row r="130" spans="2:15" hidden="1">
      <c r="B130" s="2211"/>
      <c r="C130" s="1448"/>
      <c r="D130" s="2212"/>
      <c r="E130" s="2212"/>
      <c r="F130" s="2212"/>
      <c r="G130" s="2212"/>
      <c r="H130" s="1454"/>
      <c r="I130" s="2212"/>
      <c r="J130" s="2212"/>
      <c r="K130" s="2212"/>
      <c r="L130" s="2304"/>
      <c r="M130" s="2212"/>
      <c r="N130" s="2212"/>
      <c r="O130" s="2213"/>
    </row>
    <row r="131" spans="2:15" ht="16.5">
      <c r="B131" s="1444" t="s">
        <v>216</v>
      </c>
      <c r="C131" s="1454"/>
      <c r="D131" s="1457"/>
      <c r="E131" s="1454"/>
      <c r="F131" s="1446"/>
      <c r="G131" s="1454"/>
      <c r="H131" s="1454"/>
      <c r="I131" s="1454"/>
      <c r="J131" s="1454"/>
      <c r="K131" s="2350"/>
      <c r="L131" s="1445" t="s">
        <v>187</v>
      </c>
      <c r="M131" s="1454"/>
      <c r="N131" s="1454"/>
      <c r="O131" s="1447" t="s">
        <v>187</v>
      </c>
    </row>
    <row r="132" spans="2:15">
      <c r="B132" s="2262"/>
      <c r="C132" s="1454"/>
      <c r="D132" s="1457"/>
      <c r="E132" s="1454"/>
      <c r="F132" s="1446"/>
      <c r="G132" s="1454"/>
      <c r="H132" s="1454"/>
      <c r="I132" s="1454"/>
      <c r="J132" s="1454"/>
      <c r="K132" s="2350"/>
      <c r="L132" s="1453" t="s">
        <v>118</v>
      </c>
      <c r="M132" s="1454"/>
      <c r="N132" s="1461"/>
      <c r="O132" s="1455" t="s">
        <v>118</v>
      </c>
    </row>
    <row r="133" spans="2:15">
      <c r="B133" s="2262"/>
      <c r="C133" s="1462" t="s">
        <v>1054</v>
      </c>
      <c r="D133" s="1463"/>
      <c r="E133" s="1463"/>
      <c r="F133" s="1464"/>
      <c r="G133" s="1454"/>
      <c r="H133" s="1454"/>
      <c r="I133" s="1454"/>
      <c r="J133" s="1454"/>
      <c r="K133" s="2350"/>
      <c r="L133" s="1465">
        <f>L24</f>
        <v>11.739099999999999</v>
      </c>
      <c r="M133" s="1454"/>
      <c r="N133" s="1454"/>
      <c r="O133" s="1466">
        <f>O24</f>
        <v>14.004999999999999</v>
      </c>
    </row>
    <row r="134" spans="2:15">
      <c r="B134" s="2262"/>
      <c r="C134" s="1462" t="s">
        <v>217</v>
      </c>
      <c r="D134" s="1463"/>
      <c r="E134" s="1463"/>
      <c r="F134" s="1464"/>
      <c r="G134" s="1454"/>
      <c r="H134" s="1454"/>
      <c r="I134" s="1454"/>
      <c r="J134" s="1454"/>
      <c r="K134" s="2350"/>
      <c r="L134" s="1465">
        <f>L113</f>
        <v>15.990999999999998</v>
      </c>
      <c r="M134" s="1454"/>
      <c r="N134" s="1454"/>
      <c r="O134" s="1466">
        <f>O113</f>
        <v>15.990999999999998</v>
      </c>
    </row>
    <row r="135" spans="2:15">
      <c r="B135" s="2262"/>
      <c r="C135" s="1462" t="s">
        <v>1056</v>
      </c>
      <c r="D135" s="1463"/>
      <c r="E135" s="1463"/>
      <c r="F135" s="1464"/>
      <c r="G135" s="1454"/>
      <c r="H135" s="1454"/>
      <c r="I135" s="1454"/>
      <c r="J135" s="1454"/>
      <c r="K135" s="2350"/>
      <c r="L135" s="1467">
        <f>L123</f>
        <v>107.97960836065572</v>
      </c>
      <c r="M135" s="1454"/>
      <c r="N135" s="1454"/>
      <c r="O135" s="2351">
        <f>O116</f>
        <v>119.9773426229508</v>
      </c>
    </row>
    <row r="136" spans="2:15">
      <c r="B136" s="2262"/>
      <c r="C136" s="1468" t="s">
        <v>557</v>
      </c>
      <c r="D136" s="1469"/>
      <c r="E136" s="1470"/>
      <c r="F136" s="2383"/>
      <c r="G136" s="1454"/>
      <c r="H136" s="1454"/>
      <c r="I136" s="1454"/>
      <c r="J136" s="1454"/>
      <c r="K136" s="2350"/>
      <c r="L136" s="1471">
        <f>IF(COUNTIF(L133:L135,$R$115)&gt;0,$R$115,SUM(L133:L135))</f>
        <v>135.70970836065572</v>
      </c>
      <c r="M136" s="1454"/>
      <c r="N136" s="1454"/>
      <c r="O136" s="1472">
        <f>IF(COUNTIF(O133:O135,$R$115)&gt;0,$R$115,SUM(O133:O135))</f>
        <v>149.97334262295078</v>
      </c>
    </row>
    <row r="137" spans="2:15">
      <c r="B137" s="1444"/>
      <c r="C137" s="2380" t="s">
        <v>218</v>
      </c>
      <c r="D137" s="2381"/>
      <c r="E137" s="2381"/>
      <c r="F137" s="2382"/>
      <c r="G137" s="1454"/>
      <c r="H137" s="1454"/>
      <c r="I137" s="1454"/>
      <c r="J137" s="1454"/>
      <c r="K137" s="2350"/>
      <c r="L137" s="1473">
        <f>IF(O136=R115,R115,L136/O136)</f>
        <v>0.90489220275528981</v>
      </c>
      <c r="M137" s="1454"/>
      <c r="N137" s="1454"/>
      <c r="O137" s="1474">
        <v>1</v>
      </c>
    </row>
    <row r="138" spans="2:15" ht="14.25" thickBot="1">
      <c r="B138" s="1444"/>
      <c r="C138" s="1450"/>
      <c r="D138" s="1450"/>
      <c r="E138" s="1450"/>
      <c r="F138" s="1450"/>
      <c r="G138" s="1454"/>
      <c r="H138" s="1454"/>
      <c r="I138" s="1454"/>
      <c r="J138" s="1454"/>
      <c r="K138" s="2350"/>
      <c r="L138" s="2379"/>
      <c r="M138" s="1454"/>
      <c r="N138" s="1454"/>
      <c r="O138" s="1475"/>
    </row>
    <row r="139" spans="2:15" ht="17.25" thickBot="1">
      <c r="B139" s="1444" t="s">
        <v>221</v>
      </c>
      <c r="C139" s="1450"/>
      <c r="D139" s="1450"/>
      <c r="E139" s="1450"/>
      <c r="F139" s="1450"/>
      <c r="G139" s="1450"/>
      <c r="H139" s="1450"/>
      <c r="I139" s="1450"/>
      <c r="J139" s="1450"/>
      <c r="K139" s="1476" t="s">
        <v>222</v>
      </c>
      <c r="L139" s="1991">
        <f>IF(O136=0,0,ROUNDDOWN(IF(L137=R115,0,IF(L137&lt;0.5,5,IF(L137&gt;1.25,1,IF(L137&gt;1,-8*L137+11,3+(1-L137)*4)))),1))</f>
        <v>3.3</v>
      </c>
      <c r="M139" s="1454"/>
      <c r="N139" s="1450"/>
      <c r="O139" s="1475"/>
    </row>
    <row r="140" spans="2:15" ht="14.25" thickBot="1">
      <c r="B140" s="1477"/>
      <c r="C140" s="1478"/>
      <c r="D140" s="1478"/>
      <c r="E140" s="1478"/>
      <c r="F140" s="1478"/>
      <c r="G140" s="1478"/>
      <c r="H140" s="1478"/>
      <c r="I140" s="1478"/>
      <c r="J140" s="1478"/>
      <c r="K140" s="1478"/>
      <c r="L140" s="1478"/>
      <c r="M140" s="1478"/>
      <c r="N140" s="1478"/>
      <c r="O140" s="14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8D30" sheet="1" objects="1" scenarios="1"/>
  <mergeCells count="4">
    <mergeCell ref="L2:M2"/>
    <mergeCell ref="N2:O2"/>
    <mergeCell ref="L3:M3"/>
    <mergeCell ref="B3:E3"/>
  </mergeCells>
  <phoneticPr fontId="20"/>
  <conditionalFormatting sqref="E135 E133">
    <cfRule type="cellIs" dxfId="8" priority="4" stopIfTrue="1" operator="equal">
      <formula>5</formula>
    </cfRule>
    <cfRule type="cellIs" dxfId="7" priority="5" stopIfTrue="1" operator="equal">
      <formula>4</formula>
    </cfRule>
    <cfRule type="cellIs" dxfId="6" priority="6" stopIfTrue="1" operator="equal">
      <formula>2</formula>
    </cfRule>
  </conditionalFormatting>
  <conditionalFormatting sqref="E137">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0C0C0"/>
  </sheetPr>
  <dimension ref="B1:AA302"/>
  <sheetViews>
    <sheetView showGridLines="0" zoomScaleNormal="100" workbookViewId="0"/>
  </sheetViews>
  <sheetFormatPr defaultColWidth="0" defaultRowHeight="13.5" zeroHeight="1"/>
  <cols>
    <col min="1" max="2" width="1.5" customWidth="1"/>
    <col min="3" max="3" width="3.875" customWidth="1"/>
    <col min="4" max="4" width="11" customWidth="1"/>
    <col min="5" max="5" width="12.875" customWidth="1"/>
    <col min="6" max="6" width="11.625" customWidth="1"/>
    <col min="7" max="7" width="24" hidden="1" customWidth="1"/>
    <col min="8" max="8" width="8" hidden="1" customWidth="1"/>
    <col min="9" max="18" width="10.875" customWidth="1"/>
    <col min="19" max="19" width="11" hidden="1" customWidth="1"/>
    <col min="20" max="20" width="3.375" hidden="1" customWidth="1"/>
    <col min="21" max="21" width="8.375" hidden="1" customWidth="1"/>
    <col min="22" max="26" width="12.75" hidden="1" customWidth="1"/>
  </cols>
  <sheetData>
    <row r="1" spans="2:17" ht="14.25">
      <c r="B1" s="1480" t="s">
        <v>1186</v>
      </c>
    </row>
    <row r="2" spans="2:17" ht="4.5" customHeight="1"/>
    <row r="3" spans="2:17">
      <c r="C3" s="1481" t="s">
        <v>223</v>
      </c>
      <c r="D3" s="1482"/>
      <c r="E3" s="1459"/>
      <c r="F3" s="1459"/>
      <c r="G3" s="1459"/>
      <c r="H3" s="1459"/>
      <c r="I3" s="1483" t="s">
        <v>194</v>
      </c>
      <c r="J3" s="1484"/>
      <c r="K3" s="1484"/>
      <c r="L3" s="1485"/>
      <c r="M3" s="1485"/>
      <c r="N3" s="1485"/>
      <c r="O3" s="1485"/>
      <c r="P3" s="1485"/>
      <c r="Q3" s="1486"/>
    </row>
    <row r="4" spans="2:17">
      <c r="C4" s="1487"/>
      <c r="D4" s="1488" t="s">
        <v>224</v>
      </c>
      <c r="E4" s="1487"/>
      <c r="F4" s="1487"/>
      <c r="G4" s="1487"/>
      <c r="H4" s="1487"/>
      <c r="I4" s="1489" t="s">
        <v>1225</v>
      </c>
      <c r="J4" s="1485" t="s">
        <v>311</v>
      </c>
      <c r="K4" s="1490"/>
      <c r="L4" s="1489" t="s">
        <v>499</v>
      </c>
      <c r="M4" s="1485"/>
      <c r="N4" s="1490"/>
      <c r="O4" s="1489" t="s">
        <v>500</v>
      </c>
      <c r="P4" s="1485"/>
      <c r="Q4" s="1490"/>
    </row>
    <row r="5" spans="2:17">
      <c r="C5" s="1491" t="s">
        <v>225</v>
      </c>
      <c r="D5" s="1492"/>
      <c r="E5" s="1493"/>
      <c r="F5" s="1494"/>
      <c r="G5" s="1495"/>
      <c r="H5" s="1495"/>
      <c r="I5" s="1496" t="s">
        <v>1226</v>
      </c>
      <c r="J5" s="1496" t="s">
        <v>1227</v>
      </c>
      <c r="K5" s="1496" t="s">
        <v>1228</v>
      </c>
      <c r="L5" s="1496" t="s">
        <v>1226</v>
      </c>
      <c r="M5" s="1496" t="s">
        <v>1227</v>
      </c>
      <c r="N5" s="1496" t="s">
        <v>1228</v>
      </c>
      <c r="O5" s="1496" t="s">
        <v>1226</v>
      </c>
      <c r="P5" s="1496" t="s">
        <v>1227</v>
      </c>
      <c r="Q5" s="1496" t="s">
        <v>1228</v>
      </c>
    </row>
    <row r="6" spans="2:17" hidden="1">
      <c r="C6" s="1497"/>
      <c r="D6" s="1498"/>
      <c r="E6" s="1497"/>
      <c r="F6" s="1497"/>
      <c r="G6" s="1499">
        <v>1</v>
      </c>
      <c r="H6" s="1499"/>
      <c r="I6" s="1495">
        <v>3</v>
      </c>
      <c r="J6" s="1495">
        <v>4</v>
      </c>
      <c r="K6" s="1495">
        <v>5</v>
      </c>
      <c r="L6" s="1495">
        <v>6</v>
      </c>
      <c r="M6" s="1495">
        <v>7</v>
      </c>
      <c r="N6" s="1495">
        <v>8</v>
      </c>
      <c r="O6" s="1495">
        <v>9</v>
      </c>
      <c r="P6" s="1495">
        <v>10</v>
      </c>
      <c r="Q6" s="1495">
        <v>11</v>
      </c>
    </row>
    <row r="7" spans="2:17">
      <c r="C7" s="1500" t="s">
        <v>539</v>
      </c>
      <c r="D7" s="1501"/>
      <c r="E7" s="1493"/>
      <c r="F7" s="1494"/>
      <c r="G7" s="1499">
        <v>10</v>
      </c>
      <c r="H7" s="1499"/>
      <c r="I7" s="1515">
        <v>14.004999999999999</v>
      </c>
      <c r="J7" s="1515">
        <v>14.004999999999999</v>
      </c>
      <c r="K7" s="1515">
        <v>14.004999999999999</v>
      </c>
      <c r="L7" s="1515">
        <v>13.23</v>
      </c>
      <c r="M7" s="1515">
        <v>13.23</v>
      </c>
      <c r="N7" s="1515">
        <v>13.23</v>
      </c>
      <c r="O7" s="1515">
        <v>13.998000000000001</v>
      </c>
      <c r="P7" s="1515">
        <v>13.998000000000001</v>
      </c>
      <c r="Q7" s="1515">
        <v>13.998000000000001</v>
      </c>
    </row>
    <row r="8" spans="2:17">
      <c r="C8" s="1502"/>
      <c r="D8" s="520" t="s">
        <v>202</v>
      </c>
      <c r="E8" s="520"/>
      <c r="F8" s="1503">
        <v>1</v>
      </c>
      <c r="G8" s="1499">
        <v>11</v>
      </c>
      <c r="H8" s="1499"/>
      <c r="I8" s="1516">
        <v>6.4519999999999991</v>
      </c>
      <c r="J8" s="1516">
        <v>6.4519999999999991</v>
      </c>
      <c r="K8" s="1516">
        <v>6.4519999999999991</v>
      </c>
      <c r="L8" s="1516">
        <v>6.6009999999999991</v>
      </c>
      <c r="M8" s="1516">
        <v>6.6009999999999991</v>
      </c>
      <c r="N8" s="1516">
        <v>6.6009999999999991</v>
      </c>
      <c r="O8" s="1516">
        <v>6.5150000000000006</v>
      </c>
      <c r="P8" s="1516">
        <v>6.5150000000000006</v>
      </c>
      <c r="Q8" s="1516">
        <v>6.5150000000000006</v>
      </c>
    </row>
    <row r="9" spans="2:17">
      <c r="C9" s="1502"/>
      <c r="D9" s="520" t="s">
        <v>203</v>
      </c>
      <c r="E9" s="520"/>
      <c r="F9" s="1503">
        <v>1</v>
      </c>
      <c r="G9" s="1504">
        <v>12</v>
      </c>
      <c r="H9" s="1504"/>
      <c r="I9" s="1516">
        <v>13.42</v>
      </c>
      <c r="J9" s="1516">
        <v>13.42</v>
      </c>
      <c r="K9" s="1516">
        <v>13.42</v>
      </c>
      <c r="L9" s="1516">
        <v>12.416</v>
      </c>
      <c r="M9" s="1516">
        <v>12.416</v>
      </c>
      <c r="N9" s="1516">
        <v>12.416</v>
      </c>
      <c r="O9" s="1516">
        <v>13.272</v>
      </c>
      <c r="P9" s="1516">
        <v>13.272</v>
      </c>
      <c r="Q9" s="1516">
        <v>13.272</v>
      </c>
    </row>
    <row r="10" spans="2:17" hidden="1">
      <c r="C10" s="1505"/>
      <c r="D10" s="1507" t="s">
        <v>228</v>
      </c>
      <c r="E10" s="1507"/>
      <c r="F10" s="1508"/>
      <c r="G10" s="1509">
        <v>13</v>
      </c>
      <c r="H10" s="2324">
        <f>CO2計算_後!F21</f>
        <v>0.3</v>
      </c>
      <c r="I10" s="1516">
        <f>(I7-I8)*$H10</f>
        <v>2.2658999999999998</v>
      </c>
      <c r="J10" s="1516">
        <f t="shared" ref="J10:Q10" si="0">(J7-J8)*$H10</f>
        <v>2.2658999999999998</v>
      </c>
      <c r="K10" s="1516">
        <f t="shared" si="0"/>
        <v>2.2658999999999998</v>
      </c>
      <c r="L10" s="1516">
        <f t="shared" si="0"/>
        <v>1.9887000000000004</v>
      </c>
      <c r="M10" s="1516">
        <f t="shared" si="0"/>
        <v>1.9887000000000004</v>
      </c>
      <c r="N10" s="1516">
        <f t="shared" si="0"/>
        <v>1.9887000000000004</v>
      </c>
      <c r="O10" s="1516">
        <f t="shared" si="0"/>
        <v>2.2448999999999999</v>
      </c>
      <c r="P10" s="1516">
        <f t="shared" si="0"/>
        <v>2.2448999999999999</v>
      </c>
      <c r="Q10" s="1516">
        <f t="shared" si="0"/>
        <v>2.2448999999999999</v>
      </c>
    </row>
    <row r="11" spans="2:17" hidden="1">
      <c r="C11" s="1505"/>
      <c r="D11" s="1507" t="s">
        <v>229</v>
      </c>
      <c r="E11" s="1507"/>
      <c r="F11" s="1508"/>
      <c r="G11" s="1511">
        <v>14</v>
      </c>
      <c r="H11" s="2324">
        <f>CO2計算_後!F22</f>
        <v>0</v>
      </c>
      <c r="I11" s="1516">
        <f t="shared" ref="I11:Q11" si="1">(I7-I9)*$H11</f>
        <v>0</v>
      </c>
      <c r="J11" s="1516">
        <f t="shared" si="1"/>
        <v>0</v>
      </c>
      <c r="K11" s="1516">
        <f t="shared" si="1"/>
        <v>0</v>
      </c>
      <c r="L11" s="1516">
        <f t="shared" si="1"/>
        <v>0</v>
      </c>
      <c r="M11" s="1516">
        <f t="shared" si="1"/>
        <v>0</v>
      </c>
      <c r="N11" s="1516">
        <f t="shared" si="1"/>
        <v>0</v>
      </c>
      <c r="O11" s="1516">
        <f t="shared" si="1"/>
        <v>0</v>
      </c>
      <c r="P11" s="1516">
        <f t="shared" si="1"/>
        <v>0</v>
      </c>
      <c r="Q11" s="1516">
        <f t="shared" si="1"/>
        <v>0</v>
      </c>
    </row>
    <row r="12" spans="2:17" hidden="1">
      <c r="C12" s="1512"/>
      <c r="D12" s="1507" t="s">
        <v>557</v>
      </c>
      <c r="E12" s="1507"/>
      <c r="F12" s="1508"/>
      <c r="G12" s="1514">
        <v>15</v>
      </c>
      <c r="H12" s="1514"/>
      <c r="I12" s="1516">
        <f t="shared" ref="I12:Q12" si="2">I7-I10-I11</f>
        <v>11.739099999999999</v>
      </c>
      <c r="J12" s="1516">
        <f t="shared" si="2"/>
        <v>11.739099999999999</v>
      </c>
      <c r="K12" s="1516">
        <f t="shared" si="2"/>
        <v>11.739099999999999</v>
      </c>
      <c r="L12" s="1516">
        <f t="shared" si="2"/>
        <v>11.241300000000001</v>
      </c>
      <c r="M12" s="1516">
        <f t="shared" si="2"/>
        <v>11.241300000000001</v>
      </c>
      <c r="N12" s="1516">
        <f t="shared" si="2"/>
        <v>11.241300000000001</v>
      </c>
      <c r="O12" s="1516">
        <f t="shared" si="2"/>
        <v>11.753100000000002</v>
      </c>
      <c r="P12" s="1516">
        <f t="shared" si="2"/>
        <v>11.753100000000002</v>
      </c>
      <c r="Q12" s="1516">
        <f t="shared" si="2"/>
        <v>11.753100000000002</v>
      </c>
    </row>
    <row r="13" spans="2:17">
      <c r="C13" s="1500" t="s">
        <v>206</v>
      </c>
      <c r="D13" s="1493"/>
      <c r="E13" s="1493"/>
      <c r="F13" s="1494"/>
      <c r="G13" s="1499">
        <f t="shared" ref="G13:G60" si="3">G7+10</f>
        <v>20</v>
      </c>
      <c r="H13" s="1499"/>
      <c r="I13" s="1515">
        <v>10.473000000000001</v>
      </c>
      <c r="J13" s="1515">
        <v>10.473000000000001</v>
      </c>
      <c r="K13" s="1515">
        <v>10.473000000000001</v>
      </c>
      <c r="L13" s="1515">
        <v>11.762999999999998</v>
      </c>
      <c r="M13" s="1515">
        <v>11.762999999999998</v>
      </c>
      <c r="N13" s="1515">
        <v>11.762999999999998</v>
      </c>
      <c r="O13" s="1515">
        <v>14.002000000000002</v>
      </c>
      <c r="P13" s="1515">
        <v>14.002000000000002</v>
      </c>
      <c r="Q13" s="1515">
        <v>14.002000000000002</v>
      </c>
    </row>
    <row r="14" spans="2:17">
      <c r="C14" s="1502"/>
      <c r="D14" s="520" t="s">
        <v>202</v>
      </c>
      <c r="E14" s="520"/>
      <c r="F14" s="1503">
        <v>1</v>
      </c>
      <c r="G14" s="1499">
        <f t="shared" si="3"/>
        <v>21</v>
      </c>
      <c r="H14" s="1499"/>
      <c r="I14" s="1516">
        <v>5.2279999999999998</v>
      </c>
      <c r="J14" s="1516">
        <v>5.2279999999999998</v>
      </c>
      <c r="K14" s="1516">
        <v>5.2279999999999998</v>
      </c>
      <c r="L14" s="1516">
        <v>5.3689999999999998</v>
      </c>
      <c r="M14" s="1516">
        <v>5.3689999999999998</v>
      </c>
      <c r="N14" s="1516">
        <v>5.3689999999999998</v>
      </c>
      <c r="O14" s="1516">
        <v>5.2780000000000005</v>
      </c>
      <c r="P14" s="1516">
        <v>5.2780000000000005</v>
      </c>
      <c r="Q14" s="1516">
        <v>5.2780000000000005</v>
      </c>
    </row>
    <row r="15" spans="2:17">
      <c r="C15" s="1502"/>
      <c r="D15" s="520" t="s">
        <v>203</v>
      </c>
      <c r="E15" s="520"/>
      <c r="F15" s="1503">
        <v>1</v>
      </c>
      <c r="G15" s="1499">
        <f t="shared" si="3"/>
        <v>22</v>
      </c>
      <c r="H15" s="1504"/>
      <c r="I15" s="1516">
        <v>10.11</v>
      </c>
      <c r="J15" s="1516">
        <v>10.11</v>
      </c>
      <c r="K15" s="1516">
        <v>10.11</v>
      </c>
      <c r="L15" s="1516">
        <v>10.846</v>
      </c>
      <c r="M15" s="1516">
        <v>10.846</v>
      </c>
      <c r="N15" s="1516">
        <v>10.846</v>
      </c>
      <c r="O15" s="1516">
        <v>13.005000000000001</v>
      </c>
      <c r="P15" s="1516">
        <v>13.005000000000001</v>
      </c>
      <c r="Q15" s="1516">
        <v>13.005000000000001</v>
      </c>
    </row>
    <row r="16" spans="2:17" hidden="1">
      <c r="C16" s="1505"/>
      <c r="D16" s="1507" t="s">
        <v>228</v>
      </c>
      <c r="E16" s="1507"/>
      <c r="F16" s="1508"/>
      <c r="G16" s="1499">
        <f t="shared" si="3"/>
        <v>23</v>
      </c>
      <c r="H16" s="1510">
        <f>H$10</f>
        <v>0.3</v>
      </c>
      <c r="I16" s="1516">
        <f>(I13-I14)*$H16</f>
        <v>1.5735000000000003</v>
      </c>
      <c r="J16" s="1516">
        <f t="shared" ref="J16:Q16" si="4">(J13-J14)*$H16</f>
        <v>1.5735000000000003</v>
      </c>
      <c r="K16" s="1516">
        <f t="shared" si="4"/>
        <v>1.5735000000000003</v>
      </c>
      <c r="L16" s="1516">
        <f t="shared" si="4"/>
        <v>1.9181999999999995</v>
      </c>
      <c r="M16" s="1516">
        <f t="shared" si="4"/>
        <v>1.9181999999999995</v>
      </c>
      <c r="N16" s="1516">
        <f t="shared" si="4"/>
        <v>1.9181999999999995</v>
      </c>
      <c r="O16" s="1516">
        <f t="shared" si="4"/>
        <v>2.6172000000000004</v>
      </c>
      <c r="P16" s="1516">
        <f t="shared" si="4"/>
        <v>2.6172000000000004</v>
      </c>
      <c r="Q16" s="1516">
        <f t="shared" si="4"/>
        <v>2.6172000000000004</v>
      </c>
    </row>
    <row r="17" spans="3:17" hidden="1">
      <c r="C17" s="1505"/>
      <c r="D17" s="1507" t="s">
        <v>229</v>
      </c>
      <c r="E17" s="1507"/>
      <c r="F17" s="1508"/>
      <c r="G17" s="1499">
        <f t="shared" si="3"/>
        <v>24</v>
      </c>
      <c r="H17" s="1510">
        <f>H$11</f>
        <v>0</v>
      </c>
      <c r="I17" s="1516">
        <f t="shared" ref="I17:Q17" si="5">(I13-I15)*$H17</f>
        <v>0</v>
      </c>
      <c r="J17" s="1516">
        <f t="shared" si="5"/>
        <v>0</v>
      </c>
      <c r="K17" s="1516">
        <f t="shared" si="5"/>
        <v>0</v>
      </c>
      <c r="L17" s="1516">
        <f t="shared" si="5"/>
        <v>0</v>
      </c>
      <c r="M17" s="1516">
        <f t="shared" si="5"/>
        <v>0</v>
      </c>
      <c r="N17" s="1516">
        <f t="shared" si="5"/>
        <v>0</v>
      </c>
      <c r="O17" s="1516">
        <f t="shared" si="5"/>
        <v>0</v>
      </c>
      <c r="P17" s="1516">
        <f t="shared" si="5"/>
        <v>0</v>
      </c>
      <c r="Q17" s="1516">
        <f t="shared" si="5"/>
        <v>0</v>
      </c>
    </row>
    <row r="18" spans="3:17" hidden="1">
      <c r="C18" s="1512"/>
      <c r="D18" s="1507" t="s">
        <v>557</v>
      </c>
      <c r="E18" s="1507"/>
      <c r="F18" s="1508"/>
      <c r="G18" s="1499">
        <f t="shared" si="3"/>
        <v>25</v>
      </c>
      <c r="H18" s="1514"/>
      <c r="I18" s="1516">
        <f t="shared" ref="I18:Q18" si="6">I13-I16-I17</f>
        <v>8.8994999999999997</v>
      </c>
      <c r="J18" s="1516">
        <f t="shared" si="6"/>
        <v>8.8994999999999997</v>
      </c>
      <c r="K18" s="1516">
        <f t="shared" si="6"/>
        <v>8.8994999999999997</v>
      </c>
      <c r="L18" s="1516">
        <f t="shared" si="6"/>
        <v>9.8447999999999993</v>
      </c>
      <c r="M18" s="1516">
        <f t="shared" si="6"/>
        <v>9.8447999999999993</v>
      </c>
      <c r="N18" s="1516">
        <f t="shared" si="6"/>
        <v>9.8447999999999993</v>
      </c>
      <c r="O18" s="1516">
        <f t="shared" si="6"/>
        <v>11.384800000000002</v>
      </c>
      <c r="P18" s="1516">
        <f t="shared" si="6"/>
        <v>11.384800000000002</v>
      </c>
      <c r="Q18" s="1516">
        <f t="shared" si="6"/>
        <v>11.384800000000002</v>
      </c>
    </row>
    <row r="19" spans="3:17">
      <c r="C19" s="1500" t="s">
        <v>207</v>
      </c>
      <c r="D19" s="1493"/>
      <c r="E19" s="1493"/>
      <c r="F19" s="1494"/>
      <c r="G19" s="1499">
        <f t="shared" si="3"/>
        <v>30</v>
      </c>
      <c r="H19" s="1499"/>
      <c r="I19" s="1515">
        <v>16.572000000000003</v>
      </c>
      <c r="J19" s="1515">
        <v>16.572000000000003</v>
      </c>
      <c r="K19" s="1515">
        <v>16.572000000000003</v>
      </c>
      <c r="L19" s="1515">
        <v>22.385999999999999</v>
      </c>
      <c r="M19" s="1515">
        <v>22.385999999999999</v>
      </c>
      <c r="N19" s="1515">
        <v>22.385999999999999</v>
      </c>
      <c r="O19" s="1515">
        <v>16.960999999999999</v>
      </c>
      <c r="P19" s="1515">
        <v>16.960999999999999</v>
      </c>
      <c r="Q19" s="1515">
        <v>16.960999999999999</v>
      </c>
    </row>
    <row r="20" spans="3:17">
      <c r="C20" s="1502"/>
      <c r="D20" s="520" t="s">
        <v>202</v>
      </c>
      <c r="E20" s="520"/>
      <c r="F20" s="1503">
        <v>1</v>
      </c>
      <c r="G20" s="1499">
        <f t="shared" si="3"/>
        <v>31</v>
      </c>
      <c r="H20" s="1499"/>
      <c r="I20" s="1516">
        <v>8.4039999999999999</v>
      </c>
      <c r="J20" s="1516">
        <v>8.4039999999999999</v>
      </c>
      <c r="K20" s="1516">
        <v>8.4039999999999999</v>
      </c>
      <c r="L20" s="1516">
        <v>8.5990000000000002</v>
      </c>
      <c r="M20" s="1516">
        <v>8.5990000000000002</v>
      </c>
      <c r="N20" s="1516">
        <v>8.5990000000000002</v>
      </c>
      <c r="O20" s="1516">
        <v>8.4849999999999994</v>
      </c>
      <c r="P20" s="1516">
        <v>8.4849999999999994</v>
      </c>
      <c r="Q20" s="1516">
        <v>8.4849999999999994</v>
      </c>
    </row>
    <row r="21" spans="3:17">
      <c r="C21" s="1502"/>
      <c r="D21" s="520" t="s">
        <v>203</v>
      </c>
      <c r="E21" s="520"/>
      <c r="F21" s="1503">
        <v>1</v>
      </c>
      <c r="G21" s="1499">
        <f t="shared" si="3"/>
        <v>32</v>
      </c>
      <c r="H21" s="1504"/>
      <c r="I21" s="1516">
        <v>15.867000000000001</v>
      </c>
      <c r="J21" s="1516">
        <v>15.867000000000001</v>
      </c>
      <c r="K21" s="1516">
        <v>15.867000000000001</v>
      </c>
      <c r="L21" s="1516">
        <v>20.512</v>
      </c>
      <c r="M21" s="1516">
        <v>20.512</v>
      </c>
      <c r="N21" s="1516">
        <v>20.512</v>
      </c>
      <c r="O21" s="1516">
        <v>16.321999999999999</v>
      </c>
      <c r="P21" s="1516">
        <v>16.321999999999999</v>
      </c>
      <c r="Q21" s="1516">
        <v>16.321999999999999</v>
      </c>
    </row>
    <row r="22" spans="3:17" hidden="1">
      <c r="C22" s="1505"/>
      <c r="D22" s="1507" t="s">
        <v>228</v>
      </c>
      <c r="E22" s="1507"/>
      <c r="F22" s="1508"/>
      <c r="G22" s="1499">
        <f t="shared" si="3"/>
        <v>33</v>
      </c>
      <c r="H22" s="1510">
        <f>H$10</f>
        <v>0.3</v>
      </c>
      <c r="I22" s="1516">
        <f>(I19-I20)*$H22</f>
        <v>2.4504000000000006</v>
      </c>
      <c r="J22" s="1516">
        <f t="shared" ref="J22:Q22" si="7">(J19-J20)*$H22</f>
        <v>2.4504000000000006</v>
      </c>
      <c r="K22" s="1516">
        <f t="shared" si="7"/>
        <v>2.4504000000000006</v>
      </c>
      <c r="L22" s="1516">
        <f t="shared" si="7"/>
        <v>4.1360999999999999</v>
      </c>
      <c r="M22" s="1516">
        <f t="shared" si="7"/>
        <v>4.1360999999999999</v>
      </c>
      <c r="N22" s="1516">
        <f t="shared" si="7"/>
        <v>4.1360999999999999</v>
      </c>
      <c r="O22" s="1516">
        <f t="shared" si="7"/>
        <v>2.5427999999999997</v>
      </c>
      <c r="P22" s="1516">
        <f t="shared" si="7"/>
        <v>2.5427999999999997</v>
      </c>
      <c r="Q22" s="1516">
        <f t="shared" si="7"/>
        <v>2.5427999999999997</v>
      </c>
    </row>
    <row r="23" spans="3:17" hidden="1">
      <c r="C23" s="1505"/>
      <c r="D23" s="1507" t="s">
        <v>229</v>
      </c>
      <c r="E23" s="1507"/>
      <c r="F23" s="1508"/>
      <c r="G23" s="1499">
        <f t="shared" si="3"/>
        <v>34</v>
      </c>
      <c r="H23" s="1510">
        <f>H$11</f>
        <v>0</v>
      </c>
      <c r="I23" s="1516">
        <f t="shared" ref="I23:Q23" si="8">(I19-I21)*$H23</f>
        <v>0</v>
      </c>
      <c r="J23" s="1516">
        <f t="shared" si="8"/>
        <v>0</v>
      </c>
      <c r="K23" s="1516">
        <f t="shared" si="8"/>
        <v>0</v>
      </c>
      <c r="L23" s="1516">
        <f t="shared" si="8"/>
        <v>0</v>
      </c>
      <c r="M23" s="1516">
        <f t="shared" si="8"/>
        <v>0</v>
      </c>
      <c r="N23" s="1516">
        <f t="shared" si="8"/>
        <v>0</v>
      </c>
      <c r="O23" s="1516">
        <f t="shared" si="8"/>
        <v>0</v>
      </c>
      <c r="P23" s="1516">
        <f t="shared" si="8"/>
        <v>0</v>
      </c>
      <c r="Q23" s="1516">
        <f t="shared" si="8"/>
        <v>0</v>
      </c>
    </row>
    <row r="24" spans="3:17" hidden="1">
      <c r="C24" s="1512"/>
      <c r="D24" s="1507" t="s">
        <v>557</v>
      </c>
      <c r="E24" s="1507"/>
      <c r="F24" s="1508"/>
      <c r="G24" s="1499">
        <f t="shared" si="3"/>
        <v>35</v>
      </c>
      <c r="H24" s="1514"/>
      <c r="I24" s="1516">
        <f t="shared" ref="I24:Q24" si="9">I19-I22-I23</f>
        <v>14.121600000000003</v>
      </c>
      <c r="J24" s="1516">
        <f t="shared" si="9"/>
        <v>14.121600000000003</v>
      </c>
      <c r="K24" s="1516">
        <f t="shared" si="9"/>
        <v>14.121600000000003</v>
      </c>
      <c r="L24" s="1516">
        <f t="shared" si="9"/>
        <v>18.2499</v>
      </c>
      <c r="M24" s="1516">
        <f t="shared" si="9"/>
        <v>18.2499</v>
      </c>
      <c r="N24" s="1516">
        <f t="shared" si="9"/>
        <v>18.2499</v>
      </c>
      <c r="O24" s="1516">
        <f t="shared" si="9"/>
        <v>14.418199999999999</v>
      </c>
      <c r="P24" s="1516">
        <f t="shared" si="9"/>
        <v>14.418199999999999</v>
      </c>
      <c r="Q24" s="1516">
        <f t="shared" si="9"/>
        <v>14.418199999999999</v>
      </c>
    </row>
    <row r="25" spans="3:17">
      <c r="C25" s="1500" t="s">
        <v>209</v>
      </c>
      <c r="D25" s="1493"/>
      <c r="E25" s="1493"/>
      <c r="F25" s="1494"/>
      <c r="G25" s="1499">
        <f t="shared" si="3"/>
        <v>40</v>
      </c>
      <c r="H25" s="1499"/>
      <c r="I25" s="1515">
        <v>16.571999999999999</v>
      </c>
      <c r="J25" s="1515">
        <v>16.572000000000003</v>
      </c>
      <c r="K25" s="1515">
        <v>16.572000000000003</v>
      </c>
      <c r="L25" s="1515">
        <v>22.385999999999999</v>
      </c>
      <c r="M25" s="1515">
        <v>22.385999999999999</v>
      </c>
      <c r="N25" s="1515">
        <v>22.385999999999999</v>
      </c>
      <c r="O25" s="1515">
        <v>16.960999999999999</v>
      </c>
      <c r="P25" s="1515">
        <v>16.960999999999999</v>
      </c>
      <c r="Q25" s="1515">
        <v>16.960999999999999</v>
      </c>
    </row>
    <row r="26" spans="3:17">
      <c r="C26" s="1502"/>
      <c r="D26" s="520" t="s">
        <v>202</v>
      </c>
      <c r="E26" s="520"/>
      <c r="F26" s="1503">
        <v>1</v>
      </c>
      <c r="G26" s="1499">
        <f t="shared" si="3"/>
        <v>41</v>
      </c>
      <c r="H26" s="1499"/>
      <c r="I26" s="1516">
        <v>8.4039999999999999</v>
      </c>
      <c r="J26" s="1516">
        <v>8.4039999999999999</v>
      </c>
      <c r="K26" s="1516">
        <v>8.4039999999999999</v>
      </c>
      <c r="L26" s="1516">
        <v>8.5990000000000002</v>
      </c>
      <c r="M26" s="1516">
        <v>8.5990000000000002</v>
      </c>
      <c r="N26" s="1516">
        <v>8.5990000000000002</v>
      </c>
      <c r="O26" s="1516">
        <v>8.4849999999999994</v>
      </c>
      <c r="P26" s="1516">
        <v>8.4849999999999994</v>
      </c>
      <c r="Q26" s="1516">
        <v>8.4849999999999994</v>
      </c>
    </row>
    <row r="27" spans="3:17">
      <c r="C27" s="1502"/>
      <c r="D27" s="520" t="s">
        <v>203</v>
      </c>
      <c r="E27" s="520"/>
      <c r="F27" s="1503">
        <v>1</v>
      </c>
      <c r="G27" s="1499">
        <f t="shared" si="3"/>
        <v>42</v>
      </c>
      <c r="H27" s="1504"/>
      <c r="I27" s="1516">
        <v>15.867000000000001</v>
      </c>
      <c r="J27" s="1516">
        <v>15.867000000000001</v>
      </c>
      <c r="K27" s="1516">
        <v>15.867000000000001</v>
      </c>
      <c r="L27" s="1516">
        <v>20.512</v>
      </c>
      <c r="M27" s="1516">
        <v>20.512</v>
      </c>
      <c r="N27" s="1516">
        <v>20.512</v>
      </c>
      <c r="O27" s="1516">
        <v>16.321999999999999</v>
      </c>
      <c r="P27" s="1516">
        <v>16.321999999999999</v>
      </c>
      <c r="Q27" s="1516">
        <v>16.321999999999999</v>
      </c>
    </row>
    <row r="28" spans="3:17" hidden="1">
      <c r="C28" s="1505"/>
      <c r="D28" s="1507" t="s">
        <v>228</v>
      </c>
      <c r="E28" s="1507"/>
      <c r="F28" s="1508"/>
      <c r="G28" s="1499">
        <f t="shared" si="3"/>
        <v>43</v>
      </c>
      <c r="H28" s="1510">
        <f>H$10</f>
        <v>0.3</v>
      </c>
      <c r="I28" s="1516">
        <f>(I25-I26)*$H28</f>
        <v>2.4503999999999997</v>
      </c>
      <c r="J28" s="1516">
        <f t="shared" ref="J28:Q28" si="10">(J25-J26)*$H28</f>
        <v>2.4504000000000006</v>
      </c>
      <c r="K28" s="1516">
        <f t="shared" si="10"/>
        <v>2.4504000000000006</v>
      </c>
      <c r="L28" s="1516">
        <f t="shared" si="10"/>
        <v>4.1360999999999999</v>
      </c>
      <c r="M28" s="1516">
        <f t="shared" si="10"/>
        <v>4.1360999999999999</v>
      </c>
      <c r="N28" s="1516">
        <f t="shared" si="10"/>
        <v>4.1360999999999999</v>
      </c>
      <c r="O28" s="1516">
        <f t="shared" si="10"/>
        <v>2.5427999999999997</v>
      </c>
      <c r="P28" s="1516">
        <f t="shared" si="10"/>
        <v>2.5427999999999997</v>
      </c>
      <c r="Q28" s="1516">
        <f t="shared" si="10"/>
        <v>2.5427999999999997</v>
      </c>
    </row>
    <row r="29" spans="3:17" hidden="1">
      <c r="C29" s="1505"/>
      <c r="D29" s="1507" t="s">
        <v>229</v>
      </c>
      <c r="E29" s="1507"/>
      <c r="F29" s="1508"/>
      <c r="G29" s="1499">
        <f t="shared" si="3"/>
        <v>44</v>
      </c>
      <c r="H29" s="1510">
        <f>H$11</f>
        <v>0</v>
      </c>
      <c r="I29" s="1516">
        <f t="shared" ref="I29:Q29" si="11">(I25-I27)*$H29</f>
        <v>0</v>
      </c>
      <c r="J29" s="1516">
        <f t="shared" si="11"/>
        <v>0</v>
      </c>
      <c r="K29" s="1516">
        <f t="shared" si="11"/>
        <v>0</v>
      </c>
      <c r="L29" s="1516">
        <f t="shared" si="11"/>
        <v>0</v>
      </c>
      <c r="M29" s="1516">
        <f t="shared" si="11"/>
        <v>0</v>
      </c>
      <c r="N29" s="1516">
        <f t="shared" si="11"/>
        <v>0</v>
      </c>
      <c r="O29" s="1516">
        <f t="shared" si="11"/>
        <v>0</v>
      </c>
      <c r="P29" s="1516">
        <f t="shared" si="11"/>
        <v>0</v>
      </c>
      <c r="Q29" s="1516">
        <f t="shared" si="11"/>
        <v>0</v>
      </c>
    </row>
    <row r="30" spans="3:17" hidden="1">
      <c r="C30" s="1512"/>
      <c r="D30" s="1507" t="s">
        <v>557</v>
      </c>
      <c r="E30" s="1507"/>
      <c r="F30" s="1508"/>
      <c r="G30" s="1499">
        <f t="shared" si="3"/>
        <v>45</v>
      </c>
      <c r="H30" s="1514"/>
      <c r="I30" s="1516">
        <f t="shared" ref="I30:Q30" si="12">I25-I28-I29</f>
        <v>14.121599999999999</v>
      </c>
      <c r="J30" s="1516">
        <f t="shared" si="12"/>
        <v>14.121600000000003</v>
      </c>
      <c r="K30" s="1516">
        <f t="shared" si="12"/>
        <v>14.121600000000003</v>
      </c>
      <c r="L30" s="1516">
        <f t="shared" si="12"/>
        <v>18.2499</v>
      </c>
      <c r="M30" s="1516">
        <f t="shared" si="12"/>
        <v>18.2499</v>
      </c>
      <c r="N30" s="1516">
        <f t="shared" si="12"/>
        <v>18.2499</v>
      </c>
      <c r="O30" s="1516">
        <f t="shared" si="12"/>
        <v>14.418199999999999</v>
      </c>
      <c r="P30" s="1516">
        <f t="shared" si="12"/>
        <v>14.418199999999999</v>
      </c>
      <c r="Q30" s="1516">
        <f t="shared" si="12"/>
        <v>14.418199999999999</v>
      </c>
    </row>
    <row r="31" spans="3:17">
      <c r="C31" s="1500" t="s">
        <v>210</v>
      </c>
      <c r="D31" s="1493"/>
      <c r="E31" s="1493"/>
      <c r="F31" s="1494"/>
      <c r="G31" s="1499">
        <f t="shared" si="3"/>
        <v>50</v>
      </c>
      <c r="H31" s="1499"/>
      <c r="I31" s="1515">
        <v>11.535</v>
      </c>
      <c r="J31" s="1515">
        <v>11.535</v>
      </c>
      <c r="K31" s="1515">
        <v>11.535</v>
      </c>
      <c r="L31" s="1515">
        <v>12.471</v>
      </c>
      <c r="M31" s="1515">
        <v>12.471</v>
      </c>
      <c r="N31" s="1515">
        <v>12.471</v>
      </c>
      <c r="O31" s="1515">
        <v>13.079000000000001</v>
      </c>
      <c r="P31" s="1515">
        <v>13.079000000000001</v>
      </c>
      <c r="Q31" s="1515">
        <v>13.079000000000001</v>
      </c>
    </row>
    <row r="32" spans="3:17">
      <c r="C32" s="1502"/>
      <c r="D32" s="520" t="s">
        <v>202</v>
      </c>
      <c r="E32" s="520"/>
      <c r="F32" s="1503">
        <v>1</v>
      </c>
      <c r="G32" s="1499">
        <f t="shared" si="3"/>
        <v>51</v>
      </c>
      <c r="H32" s="1499"/>
      <c r="I32" s="1516">
        <v>5.452</v>
      </c>
      <c r="J32" s="1516">
        <v>5.452</v>
      </c>
      <c r="K32" s="1516">
        <v>5.452</v>
      </c>
      <c r="L32" s="1516">
        <v>5.5779999999999994</v>
      </c>
      <c r="M32" s="1516">
        <v>5.5779999999999994</v>
      </c>
      <c r="N32" s="1516">
        <v>5.5779999999999994</v>
      </c>
      <c r="O32" s="1516">
        <v>5.5039999999999996</v>
      </c>
      <c r="P32" s="1516">
        <v>5.5039999999999996</v>
      </c>
      <c r="Q32" s="1516">
        <v>5.5039999999999996</v>
      </c>
    </row>
    <row r="33" spans="3:17">
      <c r="C33" s="1502"/>
      <c r="D33" s="520" t="s">
        <v>203</v>
      </c>
      <c r="E33" s="520"/>
      <c r="F33" s="1503">
        <v>1</v>
      </c>
      <c r="G33" s="1499">
        <f t="shared" si="3"/>
        <v>52</v>
      </c>
      <c r="H33" s="1504"/>
      <c r="I33" s="1516">
        <v>11.178000000000001</v>
      </c>
      <c r="J33" s="1516">
        <v>11.178000000000001</v>
      </c>
      <c r="K33" s="1516">
        <v>11.178000000000001</v>
      </c>
      <c r="L33" s="1516">
        <v>11.533999999999999</v>
      </c>
      <c r="M33" s="1516">
        <v>11.533999999999999</v>
      </c>
      <c r="N33" s="1516">
        <v>11.533999999999999</v>
      </c>
      <c r="O33" s="1516">
        <v>12.182</v>
      </c>
      <c r="P33" s="1516">
        <v>12.182</v>
      </c>
      <c r="Q33" s="1516">
        <v>12.182</v>
      </c>
    </row>
    <row r="34" spans="3:17" hidden="1">
      <c r="C34" s="1505"/>
      <c r="D34" s="1507" t="s">
        <v>228</v>
      </c>
      <c r="E34" s="1507"/>
      <c r="F34" s="1508"/>
      <c r="G34" s="1499">
        <f t="shared" si="3"/>
        <v>53</v>
      </c>
      <c r="H34" s="1510">
        <f>H$10</f>
        <v>0.3</v>
      </c>
      <c r="I34" s="1516">
        <f>(I31-I32)*$H34</f>
        <v>1.8249</v>
      </c>
      <c r="J34" s="1516">
        <f t="shared" ref="J34:Q34" si="13">(J31-J32)*$H34</f>
        <v>1.8249</v>
      </c>
      <c r="K34" s="1516">
        <f t="shared" si="13"/>
        <v>1.8249</v>
      </c>
      <c r="L34" s="1516">
        <f t="shared" si="13"/>
        <v>2.0679000000000003</v>
      </c>
      <c r="M34" s="1516">
        <f t="shared" si="13"/>
        <v>2.0679000000000003</v>
      </c>
      <c r="N34" s="1516">
        <f t="shared" si="13"/>
        <v>2.0679000000000003</v>
      </c>
      <c r="O34" s="1516">
        <f t="shared" si="13"/>
        <v>2.2725000000000004</v>
      </c>
      <c r="P34" s="1516">
        <f t="shared" si="13"/>
        <v>2.2725000000000004</v>
      </c>
      <c r="Q34" s="1516">
        <f t="shared" si="13"/>
        <v>2.2725000000000004</v>
      </c>
    </row>
    <row r="35" spans="3:17" hidden="1">
      <c r="C35" s="1505"/>
      <c r="D35" s="1507" t="s">
        <v>229</v>
      </c>
      <c r="E35" s="1507"/>
      <c r="F35" s="1508"/>
      <c r="G35" s="1499">
        <f t="shared" si="3"/>
        <v>54</v>
      </c>
      <c r="H35" s="1510">
        <f>H$11</f>
        <v>0</v>
      </c>
      <c r="I35" s="1516">
        <f t="shared" ref="I35:Q35" si="14">(I31-I33)*$H35</f>
        <v>0</v>
      </c>
      <c r="J35" s="1516">
        <f t="shared" si="14"/>
        <v>0</v>
      </c>
      <c r="K35" s="1516">
        <f t="shared" si="14"/>
        <v>0</v>
      </c>
      <c r="L35" s="1516">
        <f t="shared" si="14"/>
        <v>0</v>
      </c>
      <c r="M35" s="1516">
        <f t="shared" si="14"/>
        <v>0</v>
      </c>
      <c r="N35" s="1516">
        <f t="shared" si="14"/>
        <v>0</v>
      </c>
      <c r="O35" s="1516">
        <f t="shared" si="14"/>
        <v>0</v>
      </c>
      <c r="P35" s="1516">
        <f t="shared" si="14"/>
        <v>0</v>
      </c>
      <c r="Q35" s="1516">
        <f t="shared" si="14"/>
        <v>0</v>
      </c>
    </row>
    <row r="36" spans="3:17" hidden="1">
      <c r="C36" s="1512"/>
      <c r="D36" s="1507" t="s">
        <v>557</v>
      </c>
      <c r="E36" s="1507"/>
      <c r="F36" s="1508"/>
      <c r="G36" s="1499">
        <f t="shared" si="3"/>
        <v>55</v>
      </c>
      <c r="H36" s="1514"/>
      <c r="I36" s="1516">
        <f t="shared" ref="I36:Q36" si="15">I31-I34-I35</f>
        <v>9.7101000000000006</v>
      </c>
      <c r="J36" s="1516">
        <f t="shared" si="15"/>
        <v>9.7101000000000006</v>
      </c>
      <c r="K36" s="1516">
        <f t="shared" si="15"/>
        <v>9.7101000000000006</v>
      </c>
      <c r="L36" s="1516">
        <f t="shared" si="15"/>
        <v>10.4031</v>
      </c>
      <c r="M36" s="1516">
        <f t="shared" si="15"/>
        <v>10.4031</v>
      </c>
      <c r="N36" s="1516">
        <f t="shared" si="15"/>
        <v>10.4031</v>
      </c>
      <c r="O36" s="1516">
        <f t="shared" si="15"/>
        <v>10.8065</v>
      </c>
      <c r="P36" s="1516">
        <f t="shared" si="15"/>
        <v>10.8065</v>
      </c>
      <c r="Q36" s="1516">
        <f t="shared" si="15"/>
        <v>10.8065</v>
      </c>
    </row>
    <row r="37" spans="3:17">
      <c r="C37" s="1500" t="s">
        <v>555</v>
      </c>
      <c r="D37" s="1493"/>
      <c r="E37" s="1493"/>
      <c r="F37" s="1494"/>
      <c r="G37" s="1499">
        <f t="shared" si="3"/>
        <v>60</v>
      </c>
      <c r="H37" s="1499"/>
      <c r="I37" s="1515">
        <v>19.561999999999998</v>
      </c>
      <c r="J37" s="1515">
        <v>19.561999999999998</v>
      </c>
      <c r="K37" s="1515">
        <v>19.561999999999998</v>
      </c>
      <c r="L37" s="1515">
        <v>22.5</v>
      </c>
      <c r="M37" s="1515">
        <v>22.5</v>
      </c>
      <c r="N37" s="1515">
        <v>22.5</v>
      </c>
      <c r="O37" s="1515">
        <v>23.650000000000002</v>
      </c>
      <c r="P37" s="1515">
        <v>23.650000000000002</v>
      </c>
      <c r="Q37" s="1515">
        <v>23.650000000000002</v>
      </c>
    </row>
    <row r="38" spans="3:17">
      <c r="C38" s="1502"/>
      <c r="D38" s="520" t="s">
        <v>202</v>
      </c>
      <c r="E38" s="520"/>
      <c r="F38" s="1503">
        <v>1</v>
      </c>
      <c r="G38" s="1499">
        <f t="shared" si="3"/>
        <v>61</v>
      </c>
      <c r="H38" s="1499"/>
      <c r="I38" s="1516">
        <v>9.9849999999999994</v>
      </c>
      <c r="J38" s="1516">
        <v>9.9849999999999994</v>
      </c>
      <c r="K38" s="1516">
        <v>9.9849999999999994</v>
      </c>
      <c r="L38" s="1516">
        <v>10.302</v>
      </c>
      <c r="M38" s="1516">
        <v>10.302</v>
      </c>
      <c r="N38" s="1516">
        <v>10.302</v>
      </c>
      <c r="O38" s="1516">
        <v>9.9700000000000006</v>
      </c>
      <c r="P38" s="1516">
        <v>9.9700000000000006</v>
      </c>
      <c r="Q38" s="1516">
        <v>9.9700000000000006</v>
      </c>
    </row>
    <row r="39" spans="3:17">
      <c r="C39" s="1502"/>
      <c r="D39" s="520" t="s">
        <v>203</v>
      </c>
      <c r="E39" s="520"/>
      <c r="F39" s="1503">
        <v>1</v>
      </c>
      <c r="G39" s="1499">
        <f t="shared" si="3"/>
        <v>62</v>
      </c>
      <c r="H39" s="1504"/>
      <c r="I39" s="1516">
        <v>18.811</v>
      </c>
      <c r="J39" s="1516">
        <v>18.811</v>
      </c>
      <c r="K39" s="1516">
        <v>18.811</v>
      </c>
      <c r="L39" s="1516">
        <v>20.811999999999998</v>
      </c>
      <c r="M39" s="1516">
        <v>20.811999999999998</v>
      </c>
      <c r="N39" s="1516">
        <v>20.811999999999998</v>
      </c>
      <c r="O39" s="1516">
        <v>22.231999999999999</v>
      </c>
      <c r="P39" s="1516">
        <v>22.231999999999999</v>
      </c>
      <c r="Q39" s="1516">
        <v>22.231999999999999</v>
      </c>
    </row>
    <row r="40" spans="3:17" hidden="1">
      <c r="C40" s="1505"/>
      <c r="D40" s="1507" t="s">
        <v>228</v>
      </c>
      <c r="E40" s="1507"/>
      <c r="F40" s="1508"/>
      <c r="G40" s="1499">
        <f t="shared" si="3"/>
        <v>63</v>
      </c>
      <c r="H40" s="1510">
        <f>H$10</f>
        <v>0.3</v>
      </c>
      <c r="I40" s="1516">
        <f>(I37-I38)*$H40</f>
        <v>2.8730999999999995</v>
      </c>
      <c r="J40" s="1516">
        <f t="shared" ref="J40:Q40" si="16">(J37-J38)*$H40</f>
        <v>2.8730999999999995</v>
      </c>
      <c r="K40" s="1516">
        <f t="shared" si="16"/>
        <v>2.8730999999999995</v>
      </c>
      <c r="L40" s="1516">
        <f t="shared" si="16"/>
        <v>3.6593999999999998</v>
      </c>
      <c r="M40" s="1516">
        <f t="shared" si="16"/>
        <v>3.6593999999999998</v>
      </c>
      <c r="N40" s="1516">
        <f t="shared" si="16"/>
        <v>3.6593999999999998</v>
      </c>
      <c r="O40" s="1516">
        <f t="shared" si="16"/>
        <v>4.1040000000000001</v>
      </c>
      <c r="P40" s="1516">
        <f t="shared" si="16"/>
        <v>4.1040000000000001</v>
      </c>
      <c r="Q40" s="1516">
        <f t="shared" si="16"/>
        <v>4.1040000000000001</v>
      </c>
    </row>
    <row r="41" spans="3:17" hidden="1">
      <c r="C41" s="1505"/>
      <c r="D41" s="1507" t="s">
        <v>229</v>
      </c>
      <c r="E41" s="1507"/>
      <c r="F41" s="1508"/>
      <c r="G41" s="1499">
        <f t="shared" si="3"/>
        <v>64</v>
      </c>
      <c r="H41" s="1510">
        <f>H$11</f>
        <v>0</v>
      </c>
      <c r="I41" s="1516">
        <f t="shared" ref="I41:Q41" si="17">(I37-I39)*$H41</f>
        <v>0</v>
      </c>
      <c r="J41" s="1516">
        <f t="shared" si="17"/>
        <v>0</v>
      </c>
      <c r="K41" s="1516">
        <f t="shared" si="17"/>
        <v>0</v>
      </c>
      <c r="L41" s="1516">
        <f t="shared" si="17"/>
        <v>0</v>
      </c>
      <c r="M41" s="1516">
        <f t="shared" si="17"/>
        <v>0</v>
      </c>
      <c r="N41" s="1516">
        <f t="shared" si="17"/>
        <v>0</v>
      </c>
      <c r="O41" s="1516">
        <f t="shared" si="17"/>
        <v>0</v>
      </c>
      <c r="P41" s="1516">
        <f t="shared" si="17"/>
        <v>0</v>
      </c>
      <c r="Q41" s="1516">
        <f t="shared" si="17"/>
        <v>0</v>
      </c>
    </row>
    <row r="42" spans="3:17" hidden="1">
      <c r="C42" s="1512"/>
      <c r="D42" s="1507" t="s">
        <v>557</v>
      </c>
      <c r="E42" s="1507"/>
      <c r="F42" s="1508"/>
      <c r="G42" s="1499">
        <f t="shared" si="3"/>
        <v>65</v>
      </c>
      <c r="H42" s="1514"/>
      <c r="I42" s="1516">
        <f t="shared" ref="I42:Q42" si="18">I37-I40-I41</f>
        <v>16.688899999999997</v>
      </c>
      <c r="J42" s="1516">
        <f t="shared" si="18"/>
        <v>16.688899999999997</v>
      </c>
      <c r="K42" s="1516">
        <f t="shared" si="18"/>
        <v>16.688899999999997</v>
      </c>
      <c r="L42" s="1516">
        <f t="shared" si="18"/>
        <v>18.840600000000002</v>
      </c>
      <c r="M42" s="1516">
        <f t="shared" si="18"/>
        <v>18.840600000000002</v>
      </c>
      <c r="N42" s="1516">
        <f t="shared" si="18"/>
        <v>18.840600000000002</v>
      </c>
      <c r="O42" s="1516">
        <f t="shared" si="18"/>
        <v>19.546000000000003</v>
      </c>
      <c r="P42" s="1516">
        <f t="shared" si="18"/>
        <v>19.546000000000003</v>
      </c>
      <c r="Q42" s="1516">
        <f t="shared" si="18"/>
        <v>19.546000000000003</v>
      </c>
    </row>
    <row r="43" spans="3:17">
      <c r="C43" s="1500" t="s">
        <v>211</v>
      </c>
      <c r="D43" s="1493"/>
      <c r="E43" s="1493"/>
      <c r="F43" s="1494"/>
      <c r="G43" s="1499">
        <f t="shared" si="3"/>
        <v>70</v>
      </c>
      <c r="H43" s="1499"/>
      <c r="I43" s="1515">
        <v>10.405000000000001</v>
      </c>
      <c r="J43" s="1515">
        <v>10.405000000000001</v>
      </c>
      <c r="K43" s="1515">
        <v>10.405000000000001</v>
      </c>
      <c r="L43" s="1515">
        <v>12.261000000000001</v>
      </c>
      <c r="M43" s="1515">
        <v>12.261000000000001</v>
      </c>
      <c r="N43" s="1515">
        <v>12.261000000000001</v>
      </c>
      <c r="O43" s="1515">
        <v>13.704000000000001</v>
      </c>
      <c r="P43" s="1515">
        <v>13.704000000000001</v>
      </c>
      <c r="Q43" s="1515">
        <v>13.704000000000001</v>
      </c>
    </row>
    <row r="44" spans="3:17">
      <c r="C44" s="1502"/>
      <c r="D44" s="520" t="s">
        <v>202</v>
      </c>
      <c r="E44" s="520"/>
      <c r="F44" s="1503">
        <v>1</v>
      </c>
      <c r="G44" s="1499">
        <f t="shared" si="3"/>
        <v>71</v>
      </c>
      <c r="H44" s="1499"/>
      <c r="I44" s="1516">
        <v>6.2990000000000004</v>
      </c>
      <c r="J44" s="1516">
        <v>6.2990000000000004</v>
      </c>
      <c r="K44" s="1516">
        <v>6.2990000000000004</v>
      </c>
      <c r="L44" s="1516">
        <v>6.4450000000000003</v>
      </c>
      <c r="M44" s="1516">
        <v>6.4450000000000003</v>
      </c>
      <c r="N44" s="1516">
        <v>6.4450000000000003</v>
      </c>
      <c r="O44" s="1516">
        <v>6.36</v>
      </c>
      <c r="P44" s="1516">
        <v>6.36</v>
      </c>
      <c r="Q44" s="1516">
        <v>6.36</v>
      </c>
    </row>
    <row r="45" spans="3:17">
      <c r="C45" s="1502"/>
      <c r="D45" s="520" t="s">
        <v>203</v>
      </c>
      <c r="E45" s="520"/>
      <c r="F45" s="1503">
        <v>1</v>
      </c>
      <c r="G45" s="1499">
        <f t="shared" si="3"/>
        <v>72</v>
      </c>
      <c r="H45" s="1504"/>
      <c r="I45" s="1516">
        <v>10.077999999999999</v>
      </c>
      <c r="J45" s="1516">
        <v>10.077999999999999</v>
      </c>
      <c r="K45" s="1516">
        <v>10.077999999999999</v>
      </c>
      <c r="L45" s="1516">
        <v>11.452000000000002</v>
      </c>
      <c r="M45" s="1516">
        <v>11.452000000000002</v>
      </c>
      <c r="N45" s="1516">
        <v>11.452000000000002</v>
      </c>
      <c r="O45" s="1516">
        <v>12.857999999999999</v>
      </c>
      <c r="P45" s="1516">
        <v>12.857999999999999</v>
      </c>
      <c r="Q45" s="1516">
        <v>12.857999999999999</v>
      </c>
    </row>
    <row r="46" spans="3:17" hidden="1">
      <c r="C46" s="1505"/>
      <c r="D46" s="1507" t="s">
        <v>228</v>
      </c>
      <c r="E46" s="1507"/>
      <c r="F46" s="1508"/>
      <c r="G46" s="1499">
        <f t="shared" si="3"/>
        <v>73</v>
      </c>
      <c r="H46" s="1510">
        <f>H$10</f>
        <v>0.3</v>
      </c>
      <c r="I46" s="1516">
        <f>(I43-I44)*$H46</f>
        <v>1.2318000000000002</v>
      </c>
      <c r="J46" s="1516">
        <f t="shared" ref="J46:Q46" si="19">(J43-J44)*$H46</f>
        <v>1.2318000000000002</v>
      </c>
      <c r="K46" s="1516">
        <f t="shared" si="19"/>
        <v>1.2318000000000002</v>
      </c>
      <c r="L46" s="1516">
        <f t="shared" si="19"/>
        <v>1.7448000000000001</v>
      </c>
      <c r="M46" s="1516">
        <f t="shared" si="19"/>
        <v>1.7448000000000001</v>
      </c>
      <c r="N46" s="1516">
        <f t="shared" si="19"/>
        <v>1.7448000000000001</v>
      </c>
      <c r="O46" s="1516">
        <f t="shared" si="19"/>
        <v>2.2031999999999998</v>
      </c>
      <c r="P46" s="1516">
        <f t="shared" si="19"/>
        <v>2.2031999999999998</v>
      </c>
      <c r="Q46" s="1516">
        <f t="shared" si="19"/>
        <v>2.2031999999999998</v>
      </c>
    </row>
    <row r="47" spans="3:17" hidden="1">
      <c r="C47" s="1505"/>
      <c r="D47" s="1507" t="s">
        <v>229</v>
      </c>
      <c r="E47" s="1507"/>
      <c r="F47" s="1508"/>
      <c r="G47" s="1499">
        <f t="shared" si="3"/>
        <v>74</v>
      </c>
      <c r="H47" s="1510">
        <f>H$11</f>
        <v>0</v>
      </c>
      <c r="I47" s="1516">
        <f t="shared" ref="I47:Q47" si="20">(I43-I45)*$H47</f>
        <v>0</v>
      </c>
      <c r="J47" s="1516">
        <f t="shared" si="20"/>
        <v>0</v>
      </c>
      <c r="K47" s="1516">
        <f t="shared" si="20"/>
        <v>0</v>
      </c>
      <c r="L47" s="1516">
        <f t="shared" si="20"/>
        <v>0</v>
      </c>
      <c r="M47" s="1516">
        <f t="shared" si="20"/>
        <v>0</v>
      </c>
      <c r="N47" s="1516">
        <f t="shared" si="20"/>
        <v>0</v>
      </c>
      <c r="O47" s="1516">
        <f t="shared" si="20"/>
        <v>0</v>
      </c>
      <c r="P47" s="1516">
        <f t="shared" si="20"/>
        <v>0</v>
      </c>
      <c r="Q47" s="1516">
        <f t="shared" si="20"/>
        <v>0</v>
      </c>
    </row>
    <row r="48" spans="3:17" hidden="1">
      <c r="C48" s="1512"/>
      <c r="D48" s="1507" t="s">
        <v>557</v>
      </c>
      <c r="E48" s="1507"/>
      <c r="F48" s="1508"/>
      <c r="G48" s="1499">
        <f t="shared" si="3"/>
        <v>75</v>
      </c>
      <c r="H48" s="1514"/>
      <c r="I48" s="1516">
        <f t="shared" ref="I48:Q48" si="21">I43-I46-I47</f>
        <v>9.1732000000000014</v>
      </c>
      <c r="J48" s="1516">
        <f t="shared" si="21"/>
        <v>9.1732000000000014</v>
      </c>
      <c r="K48" s="1516">
        <f t="shared" si="21"/>
        <v>9.1732000000000014</v>
      </c>
      <c r="L48" s="1516">
        <f t="shared" si="21"/>
        <v>10.516200000000001</v>
      </c>
      <c r="M48" s="1516">
        <f t="shared" si="21"/>
        <v>10.516200000000001</v>
      </c>
      <c r="N48" s="1516">
        <f t="shared" si="21"/>
        <v>10.516200000000001</v>
      </c>
      <c r="O48" s="1516">
        <f t="shared" si="21"/>
        <v>11.500800000000002</v>
      </c>
      <c r="P48" s="1516">
        <f t="shared" si="21"/>
        <v>11.500800000000002</v>
      </c>
      <c r="Q48" s="1516">
        <f t="shared" si="21"/>
        <v>11.500800000000002</v>
      </c>
    </row>
    <row r="49" spans="3:17">
      <c r="C49" s="1500" t="s">
        <v>1229</v>
      </c>
      <c r="D49" s="1493"/>
      <c r="E49" s="1493"/>
      <c r="F49" s="1494"/>
      <c r="G49" s="1499">
        <f t="shared" si="3"/>
        <v>80</v>
      </c>
      <c r="H49" s="1499"/>
      <c r="I49" s="1515">
        <v>11.119000000000002</v>
      </c>
      <c r="J49" s="1515">
        <v>11.119000000000002</v>
      </c>
      <c r="K49" s="1515">
        <v>11.119000000000002</v>
      </c>
      <c r="L49" s="1515">
        <v>12.770000000000001</v>
      </c>
      <c r="M49" s="1515">
        <v>12.770000000000001</v>
      </c>
      <c r="N49" s="1515">
        <v>12.770000000000001</v>
      </c>
      <c r="O49" s="1515">
        <v>13.53</v>
      </c>
      <c r="P49" s="1515">
        <v>13.53</v>
      </c>
      <c r="Q49" s="1515">
        <v>13.53</v>
      </c>
    </row>
    <row r="50" spans="3:17">
      <c r="C50" s="1502"/>
      <c r="D50" s="520" t="s">
        <v>202</v>
      </c>
      <c r="E50" s="520"/>
      <c r="F50" s="1503">
        <v>1</v>
      </c>
      <c r="G50" s="1499">
        <f t="shared" si="3"/>
        <v>81</v>
      </c>
      <c r="H50" s="1499"/>
      <c r="I50" s="1516">
        <v>5.5570000000000004</v>
      </c>
      <c r="J50" s="1516">
        <v>5.5570000000000004</v>
      </c>
      <c r="K50" s="1516">
        <v>5.5570000000000004</v>
      </c>
      <c r="L50" s="1516">
        <v>5.6859999999999999</v>
      </c>
      <c r="M50" s="1516">
        <v>5.6859999999999999</v>
      </c>
      <c r="N50" s="1516">
        <v>5.6859999999999999</v>
      </c>
      <c r="O50" s="1516">
        <v>5.61</v>
      </c>
      <c r="P50" s="1516">
        <v>5.61</v>
      </c>
      <c r="Q50" s="1516">
        <v>5.61</v>
      </c>
    </row>
    <row r="51" spans="3:17">
      <c r="C51" s="1502"/>
      <c r="D51" s="520" t="s">
        <v>203</v>
      </c>
      <c r="E51" s="520"/>
      <c r="F51" s="1503">
        <v>1</v>
      </c>
      <c r="G51" s="1499">
        <f t="shared" si="3"/>
        <v>82</v>
      </c>
      <c r="H51" s="1504"/>
      <c r="I51" s="1516">
        <v>10.67</v>
      </c>
      <c r="J51" s="1516">
        <v>10.67</v>
      </c>
      <c r="K51" s="1516">
        <v>10.67</v>
      </c>
      <c r="L51" s="1516">
        <v>11.715999999999999</v>
      </c>
      <c r="M51" s="1516">
        <v>11.715999999999999</v>
      </c>
      <c r="N51" s="1516">
        <v>11.715999999999999</v>
      </c>
      <c r="O51" s="1516">
        <v>12.681000000000001</v>
      </c>
      <c r="P51" s="1516">
        <v>12.681000000000001</v>
      </c>
      <c r="Q51" s="1516">
        <v>12.681000000000001</v>
      </c>
    </row>
    <row r="52" spans="3:17" hidden="1">
      <c r="C52" s="1505"/>
      <c r="D52" s="1507" t="s">
        <v>228</v>
      </c>
      <c r="E52" s="1507"/>
      <c r="F52" s="1508"/>
      <c r="G52" s="1499">
        <f t="shared" si="3"/>
        <v>83</v>
      </c>
      <c r="H52" s="1510">
        <f>H$10</f>
        <v>0.3</v>
      </c>
      <c r="I52" s="1516">
        <f>(I49-I50)*$H52</f>
        <v>1.6686000000000003</v>
      </c>
      <c r="J52" s="1516">
        <f t="shared" ref="J52:Q52" si="22">(J49-J50)*$H52</f>
        <v>1.6686000000000003</v>
      </c>
      <c r="K52" s="1516">
        <f t="shared" si="22"/>
        <v>1.6686000000000003</v>
      </c>
      <c r="L52" s="1516">
        <f t="shared" si="22"/>
        <v>2.1252000000000004</v>
      </c>
      <c r="M52" s="1516">
        <f t="shared" si="22"/>
        <v>2.1252000000000004</v>
      </c>
      <c r="N52" s="1516">
        <f t="shared" si="22"/>
        <v>2.1252000000000004</v>
      </c>
      <c r="O52" s="1516">
        <f t="shared" si="22"/>
        <v>2.3759999999999994</v>
      </c>
      <c r="P52" s="1516">
        <f t="shared" si="22"/>
        <v>2.3759999999999994</v>
      </c>
      <c r="Q52" s="1516">
        <f t="shared" si="22"/>
        <v>2.3759999999999994</v>
      </c>
    </row>
    <row r="53" spans="3:17" hidden="1">
      <c r="C53" s="1505"/>
      <c r="D53" s="1507" t="s">
        <v>229</v>
      </c>
      <c r="E53" s="1507"/>
      <c r="F53" s="1508"/>
      <c r="G53" s="1499">
        <f t="shared" si="3"/>
        <v>84</v>
      </c>
      <c r="H53" s="1510">
        <f>H$11</f>
        <v>0</v>
      </c>
      <c r="I53" s="1516">
        <f t="shared" ref="I53:Q53" si="23">(I49-I51)*$H53</f>
        <v>0</v>
      </c>
      <c r="J53" s="1516">
        <f t="shared" si="23"/>
        <v>0</v>
      </c>
      <c r="K53" s="1516">
        <f t="shared" si="23"/>
        <v>0</v>
      </c>
      <c r="L53" s="1516">
        <f t="shared" si="23"/>
        <v>0</v>
      </c>
      <c r="M53" s="1516">
        <f t="shared" si="23"/>
        <v>0</v>
      </c>
      <c r="N53" s="1516">
        <f t="shared" si="23"/>
        <v>0</v>
      </c>
      <c r="O53" s="1516">
        <f t="shared" si="23"/>
        <v>0</v>
      </c>
      <c r="P53" s="1516">
        <f t="shared" si="23"/>
        <v>0</v>
      </c>
      <c r="Q53" s="1516">
        <f t="shared" si="23"/>
        <v>0</v>
      </c>
    </row>
    <row r="54" spans="3:17" hidden="1">
      <c r="C54" s="1512"/>
      <c r="D54" s="1507" t="s">
        <v>557</v>
      </c>
      <c r="E54" s="1507"/>
      <c r="F54" s="1508"/>
      <c r="G54" s="1499">
        <f t="shared" si="3"/>
        <v>85</v>
      </c>
      <c r="H54" s="1514"/>
      <c r="I54" s="1516">
        <f t="shared" ref="I54:Q54" si="24">I49-I52-I53</f>
        <v>9.4504000000000019</v>
      </c>
      <c r="J54" s="1516">
        <f t="shared" si="24"/>
        <v>9.4504000000000019</v>
      </c>
      <c r="K54" s="1516">
        <f t="shared" si="24"/>
        <v>9.4504000000000019</v>
      </c>
      <c r="L54" s="1516">
        <f t="shared" si="24"/>
        <v>10.6448</v>
      </c>
      <c r="M54" s="1516">
        <f t="shared" si="24"/>
        <v>10.6448</v>
      </c>
      <c r="N54" s="1516">
        <f t="shared" si="24"/>
        <v>10.6448</v>
      </c>
      <c r="O54" s="1516">
        <f t="shared" si="24"/>
        <v>11.154</v>
      </c>
      <c r="P54" s="1516">
        <f t="shared" si="24"/>
        <v>11.154</v>
      </c>
      <c r="Q54" s="1516">
        <f t="shared" si="24"/>
        <v>11.154</v>
      </c>
    </row>
    <row r="55" spans="3:17">
      <c r="C55" s="1500" t="s">
        <v>858</v>
      </c>
      <c r="D55" s="1493"/>
      <c r="E55" s="1493"/>
      <c r="F55" s="1494"/>
      <c r="G55" s="1499">
        <f t="shared" si="3"/>
        <v>90</v>
      </c>
      <c r="H55" s="1499"/>
      <c r="I55" s="1515">
        <v>15.641</v>
      </c>
      <c r="J55" s="1515">
        <v>7.8210000000000006</v>
      </c>
      <c r="K55" s="1515">
        <v>5.2140000000000004</v>
      </c>
      <c r="L55" s="1515">
        <v>19.619999999999997</v>
      </c>
      <c r="M55" s="1515">
        <v>9.8079999999999998</v>
      </c>
      <c r="N55" s="1515">
        <v>6.5390000000000006</v>
      </c>
      <c r="O55" s="1515">
        <v>22.378</v>
      </c>
      <c r="P55" s="1515">
        <v>11.187999999999999</v>
      </c>
      <c r="Q55" s="1515">
        <v>7.4590000000000005</v>
      </c>
    </row>
    <row r="56" spans="3:17">
      <c r="C56" s="1502"/>
      <c r="D56" s="520" t="s">
        <v>202</v>
      </c>
      <c r="E56" s="520"/>
      <c r="F56" s="1503">
        <v>1</v>
      </c>
      <c r="G56" s="1499">
        <f t="shared" si="3"/>
        <v>91</v>
      </c>
      <c r="H56" s="1499"/>
      <c r="I56" s="1516">
        <v>9.0940000000000012</v>
      </c>
      <c r="J56" s="1516">
        <v>4.5460000000000003</v>
      </c>
      <c r="K56" s="1516">
        <v>3.0309999999999997</v>
      </c>
      <c r="L56" s="1516">
        <v>8.8330000000000002</v>
      </c>
      <c r="M56" s="1516">
        <v>4.4160000000000004</v>
      </c>
      <c r="N56" s="1516">
        <v>2.9430000000000001</v>
      </c>
      <c r="O56" s="1516">
        <v>8.7469999999999999</v>
      </c>
      <c r="P56" s="1516">
        <v>4.3730000000000002</v>
      </c>
      <c r="Q56" s="1516">
        <v>2.915</v>
      </c>
    </row>
    <row r="57" spans="3:17">
      <c r="C57" s="1502"/>
      <c r="D57" s="520" t="s">
        <v>203</v>
      </c>
      <c r="E57" s="520"/>
      <c r="F57" s="1503">
        <v>1</v>
      </c>
      <c r="G57" s="1499">
        <f t="shared" si="3"/>
        <v>92</v>
      </c>
      <c r="H57" s="1504"/>
      <c r="I57" s="1516">
        <v>14.974</v>
      </c>
      <c r="J57" s="1516">
        <v>7.4880000000000004</v>
      </c>
      <c r="K57" s="1516">
        <v>4.9910000000000005</v>
      </c>
      <c r="L57" s="1516">
        <v>18.148999999999997</v>
      </c>
      <c r="M57" s="1516">
        <v>9.0730000000000004</v>
      </c>
      <c r="N57" s="1516">
        <v>6.0490000000000004</v>
      </c>
      <c r="O57" s="1516">
        <v>20.89</v>
      </c>
      <c r="P57" s="1516">
        <v>10.443999999999999</v>
      </c>
      <c r="Q57" s="1516">
        <v>6.9620000000000006</v>
      </c>
    </row>
    <row r="58" spans="3:17" hidden="1">
      <c r="C58" s="1505"/>
      <c r="D58" s="1506"/>
      <c r="E58" s="1507" t="s">
        <v>228</v>
      </c>
      <c r="F58" s="1508"/>
      <c r="G58" s="1499">
        <f t="shared" si="3"/>
        <v>93</v>
      </c>
      <c r="H58" s="1510">
        <f>H$10</f>
        <v>0.3</v>
      </c>
      <c r="I58" s="1516">
        <f>(I55-I56)*$H58</f>
        <v>1.9640999999999995</v>
      </c>
      <c r="J58" s="1516">
        <f t="shared" ref="J58:Q58" si="25">(J55-J56)*$H58</f>
        <v>0.98250000000000004</v>
      </c>
      <c r="K58" s="1516">
        <f t="shared" si="25"/>
        <v>0.65490000000000015</v>
      </c>
      <c r="L58" s="1516">
        <f t="shared" si="25"/>
        <v>3.2360999999999991</v>
      </c>
      <c r="M58" s="1516">
        <f t="shared" si="25"/>
        <v>1.6175999999999997</v>
      </c>
      <c r="N58" s="1516">
        <f t="shared" si="25"/>
        <v>1.0788000000000002</v>
      </c>
      <c r="O58" s="1516">
        <f t="shared" si="25"/>
        <v>4.0892999999999997</v>
      </c>
      <c r="P58" s="1516">
        <f t="shared" si="25"/>
        <v>2.0444999999999993</v>
      </c>
      <c r="Q58" s="1516">
        <f t="shared" si="25"/>
        <v>1.3632000000000002</v>
      </c>
    </row>
    <row r="59" spans="3:17" hidden="1">
      <c r="C59" s="1505"/>
      <c r="D59" s="1497"/>
      <c r="E59" s="1507" t="s">
        <v>229</v>
      </c>
      <c r="F59" s="1508"/>
      <c r="G59" s="1499">
        <f t="shared" si="3"/>
        <v>94</v>
      </c>
      <c r="H59" s="1510">
        <f>H$11</f>
        <v>0</v>
      </c>
      <c r="I59" s="1516">
        <f>(I55-I57)*$H59</f>
        <v>0</v>
      </c>
      <c r="J59" s="1516">
        <f t="shared" ref="J59:Q59" si="26">(J55-J57)*$H59</f>
        <v>0</v>
      </c>
      <c r="K59" s="1516">
        <f t="shared" si="26"/>
        <v>0</v>
      </c>
      <c r="L59" s="1516">
        <f t="shared" si="26"/>
        <v>0</v>
      </c>
      <c r="M59" s="1516">
        <f t="shared" si="26"/>
        <v>0</v>
      </c>
      <c r="N59" s="1516">
        <f t="shared" si="26"/>
        <v>0</v>
      </c>
      <c r="O59" s="1516">
        <f t="shared" si="26"/>
        <v>0</v>
      </c>
      <c r="P59" s="1516">
        <f t="shared" si="26"/>
        <v>0</v>
      </c>
      <c r="Q59" s="1516">
        <f t="shared" si="26"/>
        <v>0</v>
      </c>
    </row>
    <row r="60" spans="3:17" hidden="1">
      <c r="C60" s="1512"/>
      <c r="D60" s="1513"/>
      <c r="E60" s="1507" t="s">
        <v>557</v>
      </c>
      <c r="F60" s="1508"/>
      <c r="G60" s="1499">
        <f t="shared" si="3"/>
        <v>95</v>
      </c>
      <c r="H60" s="1514"/>
      <c r="I60" s="1516">
        <f>I55-I58-I59</f>
        <v>13.6769</v>
      </c>
      <c r="J60" s="1516">
        <f t="shared" ref="J60:Q60" si="27">J55-J58-J59</f>
        <v>6.8385000000000007</v>
      </c>
      <c r="K60" s="1516">
        <f t="shared" si="27"/>
        <v>4.5590999999999999</v>
      </c>
      <c r="L60" s="1516">
        <f t="shared" si="27"/>
        <v>16.383899999999997</v>
      </c>
      <c r="M60" s="1516">
        <f t="shared" si="27"/>
        <v>8.1904000000000003</v>
      </c>
      <c r="N60" s="1516">
        <f t="shared" si="27"/>
        <v>5.4602000000000004</v>
      </c>
      <c r="O60" s="1516">
        <f t="shared" si="27"/>
        <v>18.288699999999999</v>
      </c>
      <c r="P60" s="1516">
        <f t="shared" si="27"/>
        <v>9.1434999999999995</v>
      </c>
      <c r="Q60" s="1516">
        <f t="shared" si="27"/>
        <v>6.0958000000000006</v>
      </c>
    </row>
    <row r="61" spans="3:17">
      <c r="C61" s="1517"/>
      <c r="D61" s="1517"/>
      <c r="E61" s="1459"/>
      <c r="F61" s="1459"/>
      <c r="G61" s="1459"/>
      <c r="H61" s="1459"/>
      <c r="I61" s="1459"/>
      <c r="J61" s="1459"/>
      <c r="K61" s="1459"/>
      <c r="L61" s="1459"/>
      <c r="M61" s="1459"/>
      <c r="N61" s="1459"/>
      <c r="O61" s="1459"/>
      <c r="P61" s="1459"/>
      <c r="Q61" s="1459"/>
    </row>
    <row r="62" spans="3:17">
      <c r="C62" s="1481" t="s">
        <v>230</v>
      </c>
      <c r="D62" s="1482"/>
      <c r="E62" s="1459"/>
      <c r="F62" s="1459"/>
      <c r="G62" s="1459"/>
      <c r="H62" s="1459"/>
      <c r="I62" s="1483" t="s">
        <v>194</v>
      </c>
      <c r="J62" s="1484"/>
      <c r="K62" s="1484"/>
      <c r="L62" s="1485"/>
      <c r="M62" s="1485"/>
      <c r="N62" s="1485"/>
      <c r="O62" s="1485"/>
      <c r="P62" s="1485"/>
      <c r="Q62" s="1486"/>
    </row>
    <row r="63" spans="3:17">
      <c r="C63" s="1487"/>
      <c r="D63" s="1488" t="s">
        <v>224</v>
      </c>
      <c r="E63" s="1487"/>
      <c r="F63" s="1487"/>
      <c r="G63" s="1487"/>
      <c r="H63" s="1487"/>
      <c r="I63" s="1489" t="s">
        <v>498</v>
      </c>
      <c r="J63" s="1485" t="s">
        <v>311</v>
      </c>
      <c r="K63" s="1490"/>
      <c r="L63" s="1489" t="s">
        <v>499</v>
      </c>
      <c r="M63" s="1485"/>
      <c r="N63" s="1490"/>
      <c r="O63" s="1489" t="s">
        <v>500</v>
      </c>
      <c r="P63" s="1485"/>
      <c r="Q63" s="1490"/>
    </row>
    <row r="64" spans="3:17">
      <c r="C64" s="1491" t="s">
        <v>225</v>
      </c>
      <c r="D64" s="1492"/>
      <c r="E64" s="1493"/>
      <c r="F64" s="1494"/>
      <c r="G64" s="1518"/>
      <c r="H64" s="1518"/>
      <c r="I64" s="1496" t="s">
        <v>1230</v>
      </c>
      <c r="J64" s="1496" t="s">
        <v>1231</v>
      </c>
      <c r="K64" s="1496" t="s">
        <v>1232</v>
      </c>
      <c r="L64" s="1496" t="s">
        <v>1230</v>
      </c>
      <c r="M64" s="1496" t="s">
        <v>1231</v>
      </c>
      <c r="N64" s="1496" t="s">
        <v>1232</v>
      </c>
      <c r="O64" s="1496" t="s">
        <v>1230</v>
      </c>
      <c r="P64" s="1496" t="s">
        <v>1231</v>
      </c>
      <c r="Q64" s="1496" t="s">
        <v>1232</v>
      </c>
    </row>
    <row r="65" spans="3:17">
      <c r="C65" s="1500" t="s">
        <v>539</v>
      </c>
      <c r="D65" s="1501"/>
      <c r="E65" s="1519"/>
      <c r="F65" s="1520"/>
      <c r="G65" s="1521">
        <v>1</v>
      </c>
      <c r="H65" s="1521"/>
      <c r="I65" s="1523">
        <v>15.990999999999998</v>
      </c>
      <c r="J65" s="1523">
        <v>15.990999999999998</v>
      </c>
      <c r="K65" s="1523">
        <v>15.990999999999998</v>
      </c>
      <c r="L65" s="1523">
        <v>16.456</v>
      </c>
      <c r="M65" s="1523">
        <v>16.456</v>
      </c>
      <c r="N65" s="1523">
        <v>16.456</v>
      </c>
      <c r="O65" s="1523">
        <v>16.21</v>
      </c>
      <c r="P65" s="1523">
        <v>16.21</v>
      </c>
      <c r="Q65" s="1523">
        <v>16.21</v>
      </c>
    </row>
    <row r="66" spans="3:17" ht="16.5" hidden="1" customHeight="1">
      <c r="C66" s="1502"/>
      <c r="D66" s="520" t="s">
        <v>202</v>
      </c>
      <c r="E66" s="520"/>
      <c r="F66" s="1503">
        <v>1</v>
      </c>
      <c r="G66" s="1521"/>
      <c r="H66" s="1521"/>
      <c r="I66" s="1523"/>
      <c r="J66" s="1523"/>
      <c r="K66" s="1523"/>
      <c r="L66" s="1523"/>
      <c r="M66" s="1523"/>
      <c r="N66" s="1523"/>
      <c r="O66" s="1523"/>
      <c r="P66" s="1523"/>
      <c r="Q66" s="1523"/>
    </row>
    <row r="67" spans="3:17" hidden="1">
      <c r="C67" s="1502"/>
      <c r="D67" s="1507" t="s">
        <v>231</v>
      </c>
      <c r="E67" s="1507"/>
      <c r="F67" s="1522"/>
      <c r="G67" s="1514"/>
      <c r="H67" s="1510">
        <v>0</v>
      </c>
      <c r="I67" s="1523">
        <f>I65-(I65-I66)*$H67</f>
        <v>15.990999999999998</v>
      </c>
      <c r="J67" s="1523">
        <f t="shared" ref="J67:Q67" si="28">J65-(J65-J66)*$H67</f>
        <v>15.990999999999998</v>
      </c>
      <c r="K67" s="1523">
        <f t="shared" si="28"/>
        <v>15.990999999999998</v>
      </c>
      <c r="L67" s="1523">
        <f t="shared" si="28"/>
        <v>16.456</v>
      </c>
      <c r="M67" s="1523">
        <f t="shared" si="28"/>
        <v>16.456</v>
      </c>
      <c r="N67" s="1523">
        <f t="shared" si="28"/>
        <v>16.456</v>
      </c>
      <c r="O67" s="1523">
        <f t="shared" si="28"/>
        <v>16.21</v>
      </c>
      <c r="P67" s="1523">
        <f t="shared" si="28"/>
        <v>16.21</v>
      </c>
      <c r="Q67" s="1523">
        <f t="shared" si="28"/>
        <v>16.21</v>
      </c>
    </row>
    <row r="68" spans="3:17">
      <c r="C68" s="1500" t="s">
        <v>206</v>
      </c>
      <c r="D68" s="1519"/>
      <c r="E68" s="1519"/>
      <c r="F68" s="1520"/>
      <c r="G68" s="1521">
        <v>2</v>
      </c>
      <c r="H68" s="1521"/>
      <c r="I68" s="1523">
        <v>11.802</v>
      </c>
      <c r="J68" s="1523">
        <v>11.802</v>
      </c>
      <c r="K68" s="1523">
        <v>11.802</v>
      </c>
      <c r="L68" s="1523">
        <v>12.423999999999999</v>
      </c>
      <c r="M68" s="1523">
        <v>12.423999999999999</v>
      </c>
      <c r="N68" s="1523">
        <v>12.423999999999999</v>
      </c>
      <c r="O68" s="1523">
        <v>12.306000000000001</v>
      </c>
      <c r="P68" s="1523">
        <v>12.306000000000001</v>
      </c>
      <c r="Q68" s="1523">
        <v>12.306000000000001</v>
      </c>
    </row>
    <row r="69" spans="3:17" hidden="1">
      <c r="C69" s="1502"/>
      <c r="D69" s="520" t="s">
        <v>202</v>
      </c>
      <c r="E69" s="520"/>
      <c r="F69" s="1503">
        <v>1</v>
      </c>
      <c r="G69" s="1521"/>
      <c r="H69" s="1521"/>
      <c r="I69" s="1523"/>
      <c r="J69" s="1523"/>
      <c r="K69" s="1523"/>
      <c r="L69" s="1523"/>
      <c r="M69" s="1523"/>
      <c r="N69" s="1523"/>
      <c r="O69" s="1523"/>
      <c r="P69" s="1523"/>
      <c r="Q69" s="1523"/>
    </row>
    <row r="70" spans="3:17" hidden="1">
      <c r="C70" s="1502"/>
      <c r="D70" s="1507" t="s">
        <v>231</v>
      </c>
      <c r="E70" s="1507"/>
      <c r="F70" s="1522"/>
      <c r="G70" s="1514"/>
      <c r="H70" s="1510">
        <v>0</v>
      </c>
      <c r="I70" s="1523">
        <f t="shared" ref="I70:Q70" si="29">I68-(I68-I69)*$H70</f>
        <v>11.802</v>
      </c>
      <c r="J70" s="1523">
        <f t="shared" si="29"/>
        <v>11.802</v>
      </c>
      <c r="K70" s="1523">
        <f t="shared" si="29"/>
        <v>11.802</v>
      </c>
      <c r="L70" s="1523">
        <f t="shared" si="29"/>
        <v>12.423999999999999</v>
      </c>
      <c r="M70" s="1523">
        <f t="shared" si="29"/>
        <v>12.423999999999999</v>
      </c>
      <c r="N70" s="1523">
        <f t="shared" si="29"/>
        <v>12.423999999999999</v>
      </c>
      <c r="O70" s="1523">
        <f t="shared" si="29"/>
        <v>12.306000000000001</v>
      </c>
      <c r="P70" s="1523">
        <f t="shared" si="29"/>
        <v>12.306000000000001</v>
      </c>
      <c r="Q70" s="1523">
        <f t="shared" si="29"/>
        <v>12.306000000000001</v>
      </c>
    </row>
    <row r="71" spans="3:17">
      <c r="C71" s="1500" t="s">
        <v>207</v>
      </c>
      <c r="D71" s="1519"/>
      <c r="E71" s="1519"/>
      <c r="F71" s="1520"/>
      <c r="G71" s="1521">
        <v>3</v>
      </c>
      <c r="H71" s="1521"/>
      <c r="I71" s="1523">
        <v>6.88</v>
      </c>
      <c r="J71" s="1523">
        <v>6.88</v>
      </c>
      <c r="K71" s="1523">
        <v>6.88</v>
      </c>
      <c r="L71" s="1523">
        <v>7.7379999999999995</v>
      </c>
      <c r="M71" s="1523">
        <v>7.7379999999999995</v>
      </c>
      <c r="N71" s="1523">
        <v>7.7379999999999995</v>
      </c>
      <c r="O71" s="1523">
        <v>6.91</v>
      </c>
      <c r="P71" s="1523">
        <v>6.91</v>
      </c>
      <c r="Q71" s="1523">
        <v>6.91</v>
      </c>
    </row>
    <row r="72" spans="3:17" hidden="1">
      <c r="C72" s="1502"/>
      <c r="D72" s="520" t="s">
        <v>202</v>
      </c>
      <c r="E72" s="520"/>
      <c r="F72" s="1503">
        <v>1</v>
      </c>
      <c r="G72" s="1521"/>
      <c r="H72" s="1521"/>
      <c r="I72" s="1523"/>
      <c r="J72" s="1523"/>
      <c r="K72" s="1523"/>
      <c r="L72" s="1523"/>
      <c r="M72" s="1523"/>
      <c r="N72" s="1523"/>
      <c r="O72" s="1523"/>
      <c r="P72" s="1523"/>
      <c r="Q72" s="1523"/>
    </row>
    <row r="73" spans="3:17" hidden="1">
      <c r="C73" s="1502"/>
      <c r="D73" s="1507" t="s">
        <v>231</v>
      </c>
      <c r="E73" s="1507"/>
      <c r="F73" s="1522"/>
      <c r="G73" s="1514"/>
      <c r="H73" s="1510">
        <v>0</v>
      </c>
      <c r="I73" s="1523">
        <f>I71-(I71-I72)*$H73</f>
        <v>6.88</v>
      </c>
      <c r="J73" s="1523">
        <f>J71-(J71-J72)*$H73</f>
        <v>6.88</v>
      </c>
      <c r="K73" s="1523">
        <f>K71-(K71-K72)*$H73</f>
        <v>6.88</v>
      </c>
      <c r="L73" s="1523">
        <v>13.193999999999999</v>
      </c>
      <c r="M73" s="1523">
        <v>13.193999999999999</v>
      </c>
      <c r="N73" s="1523">
        <v>13.193999999999999</v>
      </c>
      <c r="O73" s="1523">
        <f>O71-(O71-O72)*$H73</f>
        <v>6.91</v>
      </c>
      <c r="P73" s="1523">
        <f>P71-(P71-P72)*$H73</f>
        <v>6.91</v>
      </c>
      <c r="Q73" s="1523">
        <f>Q71-(Q71-Q72)*$H73</f>
        <v>6.91</v>
      </c>
    </row>
    <row r="74" spans="3:17">
      <c r="C74" s="1500" t="s">
        <v>209</v>
      </c>
      <c r="D74" s="1519"/>
      <c r="E74" s="1519"/>
      <c r="F74" s="1520"/>
      <c r="G74" s="1521">
        <v>4</v>
      </c>
      <c r="H74" s="1521"/>
      <c r="I74" s="1523">
        <v>6.88</v>
      </c>
      <c r="J74" s="1523">
        <v>6.88</v>
      </c>
      <c r="K74" s="1523">
        <v>6.88</v>
      </c>
      <c r="L74" s="1523">
        <v>7.7379999999999995</v>
      </c>
      <c r="M74" s="1523">
        <v>7.7379999999999995</v>
      </c>
      <c r="N74" s="1523">
        <v>7.7379999999999995</v>
      </c>
      <c r="O74" s="1523">
        <v>6.91</v>
      </c>
      <c r="P74" s="1523">
        <v>6.91</v>
      </c>
      <c r="Q74" s="1523">
        <v>6.91</v>
      </c>
    </row>
    <row r="75" spans="3:17" hidden="1">
      <c r="C75" s="1502"/>
      <c r="D75" s="520" t="s">
        <v>202</v>
      </c>
      <c r="E75" s="520"/>
      <c r="F75" s="1503">
        <v>1</v>
      </c>
      <c r="G75" s="1521"/>
      <c r="H75" s="1521"/>
      <c r="I75" s="1523"/>
      <c r="J75" s="1523"/>
      <c r="K75" s="1523"/>
      <c r="L75" s="1523"/>
      <c r="M75" s="1523"/>
      <c r="N75" s="1523"/>
      <c r="O75" s="1523"/>
      <c r="P75" s="1523"/>
      <c r="Q75" s="1523"/>
    </row>
    <row r="76" spans="3:17" hidden="1">
      <c r="C76" s="1502"/>
      <c r="D76" s="1507" t="s">
        <v>231</v>
      </c>
      <c r="E76" s="1507"/>
      <c r="F76" s="1522"/>
      <c r="G76" s="1514"/>
      <c r="H76" s="1510">
        <v>0</v>
      </c>
      <c r="I76" s="1523">
        <f t="shared" ref="I76:Q76" si="30">I74-(I74-I75)*$H76</f>
        <v>6.88</v>
      </c>
      <c r="J76" s="1523">
        <f t="shared" si="30"/>
        <v>6.88</v>
      </c>
      <c r="K76" s="1523">
        <f t="shared" si="30"/>
        <v>6.88</v>
      </c>
      <c r="L76" s="1523">
        <f t="shared" si="30"/>
        <v>7.7379999999999995</v>
      </c>
      <c r="M76" s="1523">
        <f t="shared" si="30"/>
        <v>7.7379999999999995</v>
      </c>
      <c r="N76" s="1523">
        <f t="shared" si="30"/>
        <v>7.7379999999999995</v>
      </c>
      <c r="O76" s="1523">
        <f t="shared" si="30"/>
        <v>6.91</v>
      </c>
      <c r="P76" s="1523">
        <f t="shared" si="30"/>
        <v>6.91</v>
      </c>
      <c r="Q76" s="1523">
        <f t="shared" si="30"/>
        <v>6.91</v>
      </c>
    </row>
    <row r="77" spans="3:17">
      <c r="C77" s="1500" t="s">
        <v>210</v>
      </c>
      <c r="D77" s="1519"/>
      <c r="E77" s="1519"/>
      <c r="F77" s="1520"/>
      <c r="G77" s="1521">
        <v>5</v>
      </c>
      <c r="H77" s="1521"/>
      <c r="I77" s="1523">
        <v>12.809999999999999</v>
      </c>
      <c r="J77" s="1523">
        <v>12.809999999999999</v>
      </c>
      <c r="K77" s="1523">
        <v>12.809999999999999</v>
      </c>
      <c r="L77" s="1523">
        <v>13.426</v>
      </c>
      <c r="M77" s="1523">
        <v>13.426</v>
      </c>
      <c r="N77" s="1523">
        <v>13.426</v>
      </c>
      <c r="O77" s="1523">
        <v>13.251000000000001</v>
      </c>
      <c r="P77" s="1523">
        <v>13.251000000000001</v>
      </c>
      <c r="Q77" s="1523">
        <v>13.251000000000001</v>
      </c>
    </row>
    <row r="78" spans="3:17" hidden="1">
      <c r="C78" s="1502"/>
      <c r="D78" s="520" t="s">
        <v>202</v>
      </c>
      <c r="E78" s="520"/>
      <c r="F78" s="1503">
        <v>1</v>
      </c>
      <c r="G78" s="1521"/>
      <c r="H78" s="1521"/>
      <c r="I78" s="1523"/>
      <c r="J78" s="1523"/>
      <c r="K78" s="1523"/>
      <c r="L78" s="1523"/>
      <c r="M78" s="1523"/>
      <c r="N78" s="1523"/>
      <c r="O78" s="1523"/>
      <c r="P78" s="1523"/>
      <c r="Q78" s="1523"/>
    </row>
    <row r="79" spans="3:17" hidden="1">
      <c r="C79" s="1502"/>
      <c r="D79" s="1507" t="s">
        <v>231</v>
      </c>
      <c r="E79" s="1507"/>
      <c r="F79" s="1522"/>
      <c r="G79" s="1514"/>
      <c r="H79" s="1510">
        <v>0</v>
      </c>
      <c r="I79" s="1523">
        <f t="shared" ref="I79:Q79" si="31">I77-(I77-I78)*$H79</f>
        <v>12.809999999999999</v>
      </c>
      <c r="J79" s="1523">
        <f t="shared" si="31"/>
        <v>12.809999999999999</v>
      </c>
      <c r="K79" s="1523">
        <f t="shared" si="31"/>
        <v>12.809999999999999</v>
      </c>
      <c r="L79" s="1523">
        <f t="shared" si="31"/>
        <v>13.426</v>
      </c>
      <c r="M79" s="1523">
        <f t="shared" si="31"/>
        <v>13.426</v>
      </c>
      <c r="N79" s="1523">
        <f t="shared" si="31"/>
        <v>13.426</v>
      </c>
      <c r="O79" s="1523">
        <f t="shared" si="31"/>
        <v>13.251000000000001</v>
      </c>
      <c r="P79" s="1523">
        <f t="shared" si="31"/>
        <v>13.251000000000001</v>
      </c>
      <c r="Q79" s="1523">
        <f t="shared" si="31"/>
        <v>13.251000000000001</v>
      </c>
    </row>
    <row r="80" spans="3:17">
      <c r="C80" s="1500" t="s">
        <v>555</v>
      </c>
      <c r="D80" s="1493"/>
      <c r="E80" s="1493"/>
      <c r="F80" s="1520"/>
      <c r="G80" s="1521">
        <v>6</v>
      </c>
      <c r="H80" s="1521"/>
      <c r="I80" s="1523">
        <v>8.6499999999999986</v>
      </c>
      <c r="J80" s="1523">
        <v>8.6499999999999986</v>
      </c>
      <c r="K80" s="1523">
        <v>8.6499999999999986</v>
      </c>
      <c r="L80" s="1523">
        <v>9.4220000000000006</v>
      </c>
      <c r="M80" s="1523">
        <v>9.4220000000000006</v>
      </c>
      <c r="N80" s="1523">
        <v>9.4220000000000006</v>
      </c>
      <c r="O80" s="1523">
        <v>9.0609999999999999</v>
      </c>
      <c r="P80" s="1523">
        <v>9.0609999999999999</v>
      </c>
      <c r="Q80" s="1523">
        <v>9.0609999999999999</v>
      </c>
    </row>
    <row r="81" spans="3:21" hidden="1">
      <c r="C81" s="1502"/>
      <c r="D81" s="520" t="s">
        <v>202</v>
      </c>
      <c r="E81" s="520"/>
      <c r="F81" s="1503">
        <v>1</v>
      </c>
      <c r="G81" s="1521"/>
      <c r="H81" s="1521"/>
      <c r="I81" s="1523"/>
      <c r="J81" s="1523"/>
      <c r="K81" s="1523"/>
      <c r="L81" s="1523"/>
      <c r="M81" s="1523"/>
      <c r="N81" s="1523"/>
      <c r="O81" s="1523"/>
      <c r="P81" s="1523"/>
      <c r="Q81" s="1523"/>
    </row>
    <row r="82" spans="3:21" hidden="1">
      <c r="C82" s="1524"/>
      <c r="D82" s="1507" t="s">
        <v>231</v>
      </c>
      <c r="E82" s="1507"/>
      <c r="F82" s="1522"/>
      <c r="G82" s="1514"/>
      <c r="H82" s="1510">
        <v>0</v>
      </c>
      <c r="I82" s="1523">
        <f t="shared" ref="I82:Q82" si="32">I80-(I80-I81)*$H82</f>
        <v>8.6499999999999986</v>
      </c>
      <c r="J82" s="1523">
        <f t="shared" si="32"/>
        <v>8.6499999999999986</v>
      </c>
      <c r="K82" s="1523">
        <f t="shared" si="32"/>
        <v>8.6499999999999986</v>
      </c>
      <c r="L82" s="1523">
        <f t="shared" si="32"/>
        <v>9.4220000000000006</v>
      </c>
      <c r="M82" s="1523">
        <f t="shared" si="32"/>
        <v>9.4220000000000006</v>
      </c>
      <c r="N82" s="1523">
        <f t="shared" si="32"/>
        <v>9.4220000000000006</v>
      </c>
      <c r="O82" s="1523">
        <f t="shared" si="32"/>
        <v>9.0609999999999999</v>
      </c>
      <c r="P82" s="1523">
        <f t="shared" si="32"/>
        <v>9.0609999999999999</v>
      </c>
      <c r="Q82" s="1523">
        <f t="shared" si="32"/>
        <v>9.0609999999999999</v>
      </c>
    </row>
    <row r="83" spans="3:21">
      <c r="C83" s="1500" t="s">
        <v>211</v>
      </c>
      <c r="D83" s="1519"/>
      <c r="E83" s="1519"/>
      <c r="F83" s="1520"/>
      <c r="G83" s="1521">
        <v>7</v>
      </c>
      <c r="H83" s="1521"/>
      <c r="I83" s="1523">
        <v>15.425999999999998</v>
      </c>
      <c r="J83" s="1523">
        <v>15.425999999999998</v>
      </c>
      <c r="K83" s="1523">
        <v>15.425999999999998</v>
      </c>
      <c r="L83" s="1523">
        <v>16.053999999999998</v>
      </c>
      <c r="M83" s="1523">
        <v>16.053999999999998</v>
      </c>
      <c r="N83" s="1523">
        <v>16.053999999999998</v>
      </c>
      <c r="O83" s="1523">
        <v>15.893999999999998</v>
      </c>
      <c r="P83" s="1523">
        <v>15.893999999999998</v>
      </c>
      <c r="Q83" s="1523">
        <v>15.893999999999998</v>
      </c>
    </row>
    <row r="84" spans="3:21" hidden="1">
      <c r="C84" s="1502"/>
      <c r="D84" s="520" t="s">
        <v>202</v>
      </c>
      <c r="E84" s="520"/>
      <c r="F84" s="1503">
        <v>1</v>
      </c>
      <c r="G84" s="1521"/>
      <c r="H84" s="1521"/>
      <c r="I84" s="1523"/>
      <c r="J84" s="1523"/>
      <c r="K84" s="1523"/>
      <c r="L84" s="1523"/>
      <c r="M84" s="1523"/>
      <c r="N84" s="1523"/>
      <c r="O84" s="1523"/>
      <c r="P84" s="1523"/>
      <c r="Q84" s="1523"/>
    </row>
    <row r="85" spans="3:21" hidden="1">
      <c r="C85" s="1502"/>
      <c r="D85" s="1507" t="s">
        <v>231</v>
      </c>
      <c r="E85" s="1507"/>
      <c r="F85" s="1522"/>
      <c r="G85" s="1514"/>
      <c r="H85" s="1510">
        <v>0</v>
      </c>
      <c r="I85" s="1523">
        <f t="shared" ref="I85:Q85" si="33">I83-(I83-I84)*$H85</f>
        <v>15.425999999999998</v>
      </c>
      <c r="J85" s="1523">
        <f t="shared" si="33"/>
        <v>15.425999999999998</v>
      </c>
      <c r="K85" s="1523">
        <f t="shared" si="33"/>
        <v>15.425999999999998</v>
      </c>
      <c r="L85" s="1523">
        <f t="shared" si="33"/>
        <v>16.053999999999998</v>
      </c>
      <c r="M85" s="1523">
        <f t="shared" si="33"/>
        <v>16.053999999999998</v>
      </c>
      <c r="N85" s="1523">
        <f t="shared" si="33"/>
        <v>16.053999999999998</v>
      </c>
      <c r="O85" s="1523">
        <f t="shared" si="33"/>
        <v>15.893999999999998</v>
      </c>
      <c r="P85" s="1523">
        <f t="shared" si="33"/>
        <v>15.893999999999998</v>
      </c>
      <c r="Q85" s="1523">
        <f t="shared" si="33"/>
        <v>15.893999999999998</v>
      </c>
    </row>
    <row r="86" spans="3:21">
      <c r="C86" s="1500" t="s">
        <v>1233</v>
      </c>
      <c r="D86" s="1519"/>
      <c r="E86" s="1519"/>
      <c r="F86" s="1520"/>
      <c r="G86" s="1521">
        <v>8</v>
      </c>
      <c r="H86" s="1521"/>
      <c r="I86" s="1523">
        <v>13.297999999999998</v>
      </c>
      <c r="J86" s="1523">
        <v>13.297999999999998</v>
      </c>
      <c r="K86" s="1523">
        <v>13.297999999999998</v>
      </c>
      <c r="L86" s="1523">
        <v>13.942</v>
      </c>
      <c r="M86" s="1523">
        <v>13.942</v>
      </c>
      <c r="N86" s="1523">
        <v>13.942</v>
      </c>
      <c r="O86" s="1523">
        <v>13.670999999999999</v>
      </c>
      <c r="P86" s="1523">
        <v>13.670999999999999</v>
      </c>
      <c r="Q86" s="1523">
        <v>13.670999999999999</v>
      </c>
    </row>
    <row r="87" spans="3:21" hidden="1">
      <c r="C87" s="1502"/>
      <c r="D87" s="520" t="s">
        <v>202</v>
      </c>
      <c r="E87" s="520"/>
      <c r="F87" s="1503">
        <v>1</v>
      </c>
      <c r="G87" s="1521"/>
      <c r="H87" s="1521"/>
      <c r="I87" s="1525"/>
      <c r="J87" s="1525"/>
      <c r="K87" s="1525"/>
      <c r="L87" s="1525"/>
      <c r="M87" s="1525"/>
      <c r="N87" s="1525"/>
      <c r="O87" s="1525"/>
      <c r="P87" s="1525"/>
      <c r="Q87" s="1525"/>
    </row>
    <row r="88" spans="3:21" hidden="1">
      <c r="C88" s="1502"/>
      <c r="D88" s="1507" t="s">
        <v>231</v>
      </c>
      <c r="E88" s="1507"/>
      <c r="F88" s="1522"/>
      <c r="G88" s="1514"/>
      <c r="H88" s="1510">
        <v>0</v>
      </c>
      <c r="I88" s="1523">
        <f>I86-(I86-I87)*$H88</f>
        <v>13.297999999999998</v>
      </c>
      <c r="J88" s="1523">
        <f t="shared" ref="J88:Q88" si="34">J86-(J86-J87)*$H88</f>
        <v>13.297999999999998</v>
      </c>
      <c r="K88" s="1523">
        <f t="shared" si="34"/>
        <v>13.297999999999998</v>
      </c>
      <c r="L88" s="1523">
        <f t="shared" si="34"/>
        <v>13.942</v>
      </c>
      <c r="M88" s="1523">
        <f t="shared" si="34"/>
        <v>13.942</v>
      </c>
      <c r="N88" s="1523">
        <f t="shared" si="34"/>
        <v>13.942</v>
      </c>
      <c r="O88" s="1523">
        <f t="shared" si="34"/>
        <v>13.670999999999999</v>
      </c>
      <c r="P88" s="1523">
        <f t="shared" si="34"/>
        <v>13.670999999999999</v>
      </c>
      <c r="Q88" s="1523">
        <f t="shared" si="34"/>
        <v>13.670999999999999</v>
      </c>
    </row>
    <row r="89" spans="3:21">
      <c r="C89" s="1500" t="s">
        <v>858</v>
      </c>
      <c r="D89" s="1493"/>
      <c r="E89" s="1493"/>
      <c r="F89" s="1520"/>
      <c r="G89" s="1521">
        <v>9</v>
      </c>
      <c r="H89" s="1521"/>
      <c r="I89" s="1525">
        <v>8.0190000000000001</v>
      </c>
      <c r="J89" s="1525">
        <v>9.7210000000000001</v>
      </c>
      <c r="K89" s="1525">
        <v>10.979000000000001</v>
      </c>
      <c r="L89" s="1525">
        <v>8.3709999999999987</v>
      </c>
      <c r="M89" s="1525">
        <v>9.7349999999999994</v>
      </c>
      <c r="N89" s="1525">
        <v>10.863</v>
      </c>
      <c r="O89" s="1525">
        <v>8.3640000000000008</v>
      </c>
      <c r="P89" s="1525">
        <v>9.68</v>
      </c>
      <c r="Q89" s="1525">
        <v>10.783000000000001</v>
      </c>
    </row>
    <row r="90" spans="3:21" hidden="1">
      <c r="C90" s="1502"/>
      <c r="D90" s="520" t="s">
        <v>202</v>
      </c>
      <c r="E90" s="520"/>
      <c r="F90" s="1503">
        <v>1</v>
      </c>
      <c r="G90" s="1526"/>
      <c r="H90" s="1526"/>
      <c r="I90" s="1523"/>
      <c r="J90" s="1523"/>
      <c r="K90" s="1523"/>
      <c r="L90" s="1523"/>
      <c r="M90" s="1523"/>
      <c r="N90" s="1523"/>
      <c r="O90" s="1523"/>
      <c r="P90" s="1523"/>
      <c r="Q90" s="1523"/>
    </row>
    <row r="91" spans="3:21" hidden="1">
      <c r="C91" s="1524"/>
      <c r="D91" s="1507" t="s">
        <v>231</v>
      </c>
      <c r="E91" s="1507"/>
      <c r="F91" s="1527"/>
      <c r="G91" s="1514"/>
      <c r="H91" s="1510">
        <v>0</v>
      </c>
      <c r="I91" s="1528">
        <f t="shared" ref="I91:Q91" si="35">I89-(I89-I90)*$H91</f>
        <v>8.0190000000000001</v>
      </c>
      <c r="J91" s="1528">
        <f t="shared" si="35"/>
        <v>9.7210000000000001</v>
      </c>
      <c r="K91" s="1528">
        <f t="shared" si="35"/>
        <v>10.979000000000001</v>
      </c>
      <c r="L91" s="1528">
        <f t="shared" si="35"/>
        <v>8.3709999999999987</v>
      </c>
      <c r="M91" s="1528">
        <f t="shared" si="35"/>
        <v>9.7349999999999994</v>
      </c>
      <c r="N91" s="1528">
        <f t="shared" si="35"/>
        <v>10.863</v>
      </c>
      <c r="O91" s="1528">
        <f t="shared" si="35"/>
        <v>8.3640000000000008</v>
      </c>
      <c r="P91" s="1528">
        <f t="shared" si="35"/>
        <v>9.68</v>
      </c>
      <c r="Q91" s="1528">
        <f t="shared" si="35"/>
        <v>10.783000000000001</v>
      </c>
    </row>
    <row r="92" spans="3:21">
      <c r="C92" s="1517"/>
      <c r="D92" s="1517"/>
      <c r="E92" s="1487"/>
      <c r="F92" s="1529"/>
      <c r="G92" s="1529"/>
      <c r="H92" s="1529"/>
      <c r="I92" s="1529"/>
      <c r="J92" s="1529"/>
      <c r="K92" s="1529"/>
      <c r="L92" s="1529"/>
      <c r="M92" s="1517"/>
      <c r="N92" s="1517"/>
      <c r="O92" s="1517"/>
      <c r="P92" s="1517"/>
      <c r="Q92" s="1517"/>
    </row>
    <row r="93" spans="3:21">
      <c r="C93" s="1481" t="s">
        <v>233</v>
      </c>
      <c r="D93" s="1482"/>
      <c r="E93" s="1459"/>
      <c r="F93" s="1459"/>
      <c r="G93" s="1459"/>
      <c r="H93" s="1459"/>
      <c r="I93" s="1459"/>
      <c r="J93" s="1459"/>
      <c r="K93" s="1459"/>
      <c r="L93" s="1459"/>
      <c r="M93" s="1459"/>
      <c r="N93" s="1459"/>
      <c r="O93" s="1459"/>
      <c r="P93" s="1459"/>
      <c r="Q93" s="1459"/>
    </row>
    <row r="94" spans="3:21">
      <c r="C94" s="1488" t="s">
        <v>234</v>
      </c>
      <c r="D94" s="1482"/>
      <c r="E94" s="1459"/>
      <c r="F94" s="1459"/>
      <c r="G94" s="1459"/>
      <c r="H94" s="1459"/>
      <c r="I94" s="1459"/>
      <c r="J94" s="1459"/>
      <c r="K94" s="1459"/>
      <c r="L94" s="1459"/>
      <c r="M94" s="1459"/>
      <c r="N94" s="1459"/>
      <c r="O94" s="1459"/>
      <c r="P94" s="1459"/>
      <c r="Q94" s="1459"/>
    </row>
    <row r="95" spans="3:21">
      <c r="D95" s="1459" t="s">
        <v>1187</v>
      </c>
      <c r="F95" s="2125" t="s">
        <v>239</v>
      </c>
      <c r="G95" s="1459"/>
      <c r="H95" s="1459"/>
      <c r="I95" s="1530">
        <f>係数!D5*1000</f>
        <v>0.61199999999999999</v>
      </c>
      <c r="J95" s="1531" t="str">
        <f>係数!C5</f>
        <v>九州電力株式会社</v>
      </c>
      <c r="K95" s="1517"/>
      <c r="L95" s="1517"/>
      <c r="M95" s="1517" t="s">
        <v>1183</v>
      </c>
      <c r="N95" s="1517"/>
      <c r="O95" s="1517">
        <f>係数!J50*1000</f>
        <v>0.59899999999999998</v>
      </c>
      <c r="P95" s="1517" t="s">
        <v>1184</v>
      </c>
      <c r="Q95" s="1532"/>
    </row>
    <row r="96" spans="3:21">
      <c r="C96" s="1481"/>
      <c r="D96" s="1459"/>
      <c r="F96" s="2125" t="s">
        <v>240</v>
      </c>
      <c r="G96" s="1459"/>
      <c r="H96" s="1459"/>
      <c r="I96" s="2126">
        <f>I95/J96</f>
        <v>6.2704918032786883E-2</v>
      </c>
      <c r="J96" s="1535">
        <v>9.76</v>
      </c>
      <c r="K96" s="1533" t="s">
        <v>1234</v>
      </c>
      <c r="L96" s="1459"/>
      <c r="M96" s="1459"/>
      <c r="N96" s="1459"/>
      <c r="O96" s="1459"/>
      <c r="P96" s="1459"/>
      <c r="Q96" s="1534"/>
      <c r="U96">
        <f>O95/J96</f>
        <v>6.1372950819672131E-2</v>
      </c>
    </row>
    <row r="97" spans="2:19">
      <c r="C97" s="1481"/>
      <c r="D97" s="1459" t="s">
        <v>241</v>
      </c>
      <c r="F97" s="2125" t="s">
        <v>240</v>
      </c>
      <c r="G97" s="1459"/>
      <c r="H97" s="1459"/>
      <c r="I97" s="2126">
        <v>4.9799999999999997E-2</v>
      </c>
      <c r="J97" s="1535"/>
      <c r="K97" s="1459"/>
      <c r="L97" s="1459"/>
      <c r="M97" s="1459"/>
      <c r="N97" s="1459"/>
      <c r="O97" s="1459"/>
      <c r="P97" s="1459"/>
      <c r="Q97" s="1534"/>
    </row>
    <row r="98" spans="2:19">
      <c r="C98" s="1481"/>
      <c r="D98" s="1459" t="s">
        <v>242</v>
      </c>
      <c r="F98" s="2125" t="s">
        <v>240</v>
      </c>
      <c r="G98" s="1459"/>
      <c r="H98" s="1459"/>
      <c r="I98" s="2126">
        <v>5.7000000000000002E-2</v>
      </c>
      <c r="J98" s="1535"/>
      <c r="K98" s="1459"/>
      <c r="L98" s="1459"/>
      <c r="M98" s="1459"/>
      <c r="N98" s="1459"/>
      <c r="O98" s="1459"/>
      <c r="P98" s="1459"/>
      <c r="Q98" s="1534"/>
    </row>
    <row r="99" spans="2:19">
      <c r="C99" s="1481"/>
      <c r="D99" s="1459" t="s">
        <v>243</v>
      </c>
      <c r="F99" s="2125" t="s">
        <v>240</v>
      </c>
      <c r="G99" s="1459"/>
      <c r="H99" s="1459"/>
      <c r="I99" s="2126">
        <v>6.7799999999999999E-2</v>
      </c>
      <c r="J99" s="1535"/>
      <c r="K99" s="1459"/>
      <c r="L99" s="1459"/>
      <c r="M99" s="1459"/>
      <c r="N99" s="1459"/>
      <c r="O99" s="1459"/>
      <c r="P99" s="1459"/>
      <c r="Q99" s="1534"/>
    </row>
    <row r="100" spans="2:19">
      <c r="C100" s="1481"/>
      <c r="D100" s="1459" t="s">
        <v>244</v>
      </c>
      <c r="F100" s="2125" t="s">
        <v>240</v>
      </c>
      <c r="G100" s="1459"/>
      <c r="H100" s="1459"/>
      <c r="I100" s="2126">
        <v>6.93E-2</v>
      </c>
      <c r="J100" s="1535"/>
      <c r="K100" s="1459"/>
      <c r="L100" s="1459"/>
      <c r="M100" s="1459"/>
      <c r="N100" s="1459"/>
      <c r="O100" s="1459"/>
      <c r="P100" s="1459"/>
      <c r="Q100" s="1534"/>
    </row>
    <row r="101" spans="2:19">
      <c r="C101" s="1481"/>
      <c r="D101" s="1459" t="s">
        <v>245</v>
      </c>
      <c r="F101" s="2125" t="s">
        <v>240</v>
      </c>
      <c r="G101" s="1459"/>
      <c r="H101" s="1459"/>
      <c r="I101" s="2126">
        <f>(I99+I100)/2</f>
        <v>6.855E-2</v>
      </c>
      <c r="J101" s="2127" t="s">
        <v>246</v>
      </c>
      <c r="K101" s="1459"/>
      <c r="L101" s="1459"/>
      <c r="M101" s="1459"/>
      <c r="N101" s="1459"/>
      <c r="O101" s="1459"/>
      <c r="P101" s="1459"/>
      <c r="Q101" s="1534"/>
    </row>
    <row r="102" spans="2:19">
      <c r="C102" s="1481"/>
      <c r="D102" s="1459" t="s">
        <v>1235</v>
      </c>
      <c r="F102" s="2125" t="s">
        <v>1236</v>
      </c>
      <c r="G102" s="1459"/>
      <c r="H102" s="1459"/>
      <c r="I102" s="2126">
        <v>5.8999999999999997E-2</v>
      </c>
      <c r="J102" s="1536"/>
      <c r="K102" s="1537"/>
      <c r="L102" s="1537"/>
      <c r="M102" s="1537"/>
      <c r="N102" s="1537"/>
      <c r="O102" s="1537"/>
      <c r="P102" s="1537"/>
      <c r="Q102" s="1538"/>
    </row>
    <row r="103" spans="2:19">
      <c r="B103" s="510"/>
      <c r="C103" s="1459" t="s">
        <v>1237</v>
      </c>
      <c r="D103" s="510"/>
      <c r="E103" s="1459"/>
      <c r="F103" s="1459"/>
      <c r="G103" s="1459"/>
      <c r="H103" s="1459"/>
      <c r="I103" s="1990"/>
      <c r="J103" s="1459"/>
      <c r="K103" s="1459"/>
      <c r="L103" s="1459"/>
      <c r="M103" s="1459"/>
      <c r="N103" s="1459"/>
      <c r="O103" s="1459"/>
      <c r="P103" s="1459"/>
      <c r="Q103" s="1459"/>
      <c r="R103" s="510"/>
      <c r="S103" s="510"/>
    </row>
    <row r="104" spans="2:19">
      <c r="B104" s="510"/>
      <c r="C104" s="1482"/>
      <c r="D104" s="1459" t="s">
        <v>1082</v>
      </c>
      <c r="E104" s="510"/>
      <c r="F104" s="1459"/>
      <c r="G104" s="1459"/>
      <c r="H104" s="1459"/>
      <c r="I104" s="1459" t="s">
        <v>1238</v>
      </c>
      <c r="J104" s="1459"/>
      <c r="K104" s="1488" t="s">
        <v>1239</v>
      </c>
      <c r="L104" s="1459"/>
      <c r="M104" s="1459"/>
      <c r="N104" s="1459"/>
      <c r="O104" s="1459"/>
      <c r="P104" s="1459"/>
      <c r="Q104" s="1459"/>
      <c r="R104" s="510"/>
      <c r="S104" s="510"/>
    </row>
    <row r="105" spans="2:19">
      <c r="B105" s="510"/>
      <c r="C105" s="1482"/>
      <c r="D105" s="1459" t="s">
        <v>1106</v>
      </c>
      <c r="E105" s="510"/>
      <c r="F105" s="1459"/>
      <c r="G105" s="1459"/>
      <c r="H105" s="1459"/>
      <c r="I105" s="1540">
        <v>6.8800000000000003E-4</v>
      </c>
      <c r="J105" s="1459"/>
      <c r="K105" s="1540">
        <v>6.8000000000000005E-4</v>
      </c>
      <c r="L105" s="1459"/>
      <c r="M105" s="1459"/>
      <c r="N105" s="1459"/>
      <c r="O105" s="1459"/>
      <c r="P105" s="1459"/>
      <c r="Q105" s="1459"/>
      <c r="R105" s="510"/>
      <c r="S105" s="510"/>
    </row>
    <row r="106" spans="2:19">
      <c r="B106" s="510"/>
      <c r="C106" s="1482"/>
      <c r="D106" s="1459" t="s">
        <v>1105</v>
      </c>
      <c r="E106" s="510"/>
      <c r="F106" s="1459"/>
      <c r="G106" s="1459"/>
      <c r="H106" s="1459"/>
      <c r="I106" s="1540">
        <v>5.9999999999999995E-4</v>
      </c>
      <c r="J106" s="1459"/>
      <c r="K106" s="1540">
        <v>5.5999999999999995E-4</v>
      </c>
      <c r="L106" s="1459"/>
      <c r="M106" s="1459"/>
      <c r="N106" s="1459"/>
      <c r="O106" s="1459"/>
      <c r="P106" s="1459"/>
      <c r="Q106" s="1459"/>
      <c r="R106" s="510"/>
      <c r="S106" s="510"/>
    </row>
    <row r="107" spans="2:19">
      <c r="B107" s="510"/>
      <c r="C107" s="1482"/>
      <c r="D107" s="1459" t="s">
        <v>1083</v>
      </c>
      <c r="E107" s="510"/>
      <c r="F107" s="1459"/>
      <c r="G107" s="1459"/>
      <c r="H107" s="1459"/>
      <c r="I107" s="1540">
        <v>5.2499999999999997E-4</v>
      </c>
      <c r="J107" s="1459"/>
      <c r="K107" s="1540">
        <v>4.06E-4</v>
      </c>
      <c r="L107" s="1459"/>
      <c r="M107" s="1459"/>
      <c r="N107" s="1459"/>
      <c r="O107" s="1459"/>
      <c r="P107" s="1459"/>
      <c r="Q107" s="1459"/>
      <c r="R107" s="510"/>
      <c r="S107" s="510"/>
    </row>
    <row r="108" spans="2:19">
      <c r="B108" s="510"/>
      <c r="C108" s="1482"/>
      <c r="D108" s="1459" t="s">
        <v>1104</v>
      </c>
      <c r="E108" s="510"/>
      <c r="F108" s="1459"/>
      <c r="G108" s="1459"/>
      <c r="H108" s="1459"/>
      <c r="I108" s="1540">
        <v>5.1599999999999997E-4</v>
      </c>
      <c r="J108" s="1459"/>
      <c r="K108" s="1540">
        <v>3.7300000000000001E-4</v>
      </c>
      <c r="L108" s="1459"/>
      <c r="M108" s="1459"/>
      <c r="N108" s="1459"/>
      <c r="O108" s="1459"/>
      <c r="P108" s="1459"/>
      <c r="Q108" s="1459"/>
      <c r="R108" s="510"/>
      <c r="S108" s="510"/>
    </row>
    <row r="109" spans="2:19">
      <c r="B109" s="510"/>
      <c r="C109" s="1482"/>
      <c r="D109" s="1459" t="s">
        <v>1107</v>
      </c>
      <c r="E109" s="510"/>
      <c r="F109" s="1459"/>
      <c r="G109" s="1459"/>
      <c r="H109" s="1459"/>
      <c r="I109" s="1540">
        <v>6.6299999999999996E-4</v>
      </c>
      <c r="J109" s="1459"/>
      <c r="K109" s="1540">
        <v>4.9399999999999997E-4</v>
      </c>
      <c r="L109" s="1459"/>
      <c r="M109" s="1459"/>
      <c r="N109" s="1459"/>
      <c r="O109" s="1459"/>
      <c r="P109" s="1459"/>
      <c r="Q109" s="1459"/>
      <c r="R109" s="510"/>
      <c r="S109" s="510"/>
    </row>
    <row r="110" spans="2:19">
      <c r="B110" s="510"/>
      <c r="C110" s="1482"/>
      <c r="D110" s="1459" t="s">
        <v>1098</v>
      </c>
      <c r="E110" s="510"/>
      <c r="F110" s="1459"/>
      <c r="G110" s="1459"/>
      <c r="H110" s="1459"/>
      <c r="I110" s="1540">
        <v>5.1400000000000003E-4</v>
      </c>
      <c r="J110" s="1459"/>
      <c r="K110" s="1540">
        <v>4.75E-4</v>
      </c>
      <c r="L110" s="1459"/>
      <c r="M110" s="1459"/>
      <c r="N110" s="1459"/>
      <c r="O110" s="1459"/>
      <c r="P110" s="1459"/>
      <c r="Q110" s="1459"/>
      <c r="R110" s="510"/>
      <c r="S110" s="510"/>
    </row>
    <row r="111" spans="2:19">
      <c r="B111" s="510"/>
      <c r="C111" s="1482"/>
      <c r="D111" s="1459" t="s">
        <v>1103</v>
      </c>
      <c r="E111" s="510"/>
      <c r="F111" s="1459"/>
      <c r="G111" s="1459"/>
      <c r="H111" s="1459"/>
      <c r="I111" s="1540">
        <v>7.3800000000000005E-4</v>
      </c>
      <c r="J111" s="1459"/>
      <c r="K111" s="1540">
        <v>6.7199999999999996E-4</v>
      </c>
      <c r="L111" s="1459"/>
      <c r="M111" s="1459"/>
      <c r="N111" s="1459"/>
      <c r="O111" s="1459"/>
      <c r="P111" s="1459"/>
      <c r="Q111" s="1459"/>
      <c r="R111" s="510"/>
      <c r="S111" s="510"/>
    </row>
    <row r="112" spans="2:19">
      <c r="B112" s="510"/>
      <c r="C112" s="1482"/>
      <c r="D112" s="1459" t="s">
        <v>1101</v>
      </c>
      <c r="E112" s="510"/>
      <c r="F112" s="1459"/>
      <c r="G112" s="1459"/>
      <c r="H112" s="1459"/>
      <c r="I112" s="1540">
        <v>6.9999999999999999E-4</v>
      </c>
      <c r="J112" s="1459"/>
      <c r="K112" s="1540">
        <v>6.5600000000000001E-4</v>
      </c>
      <c r="L112" s="1459"/>
      <c r="M112" s="1459"/>
      <c r="N112" s="1459"/>
      <c r="O112" s="1459"/>
      <c r="P112" s="1459"/>
      <c r="Q112" s="1459"/>
      <c r="R112" s="510"/>
      <c r="S112" s="510"/>
    </row>
    <row r="113" spans="2:19">
      <c r="B113" s="510"/>
      <c r="C113" s="1482"/>
      <c r="D113" s="1459" t="s">
        <v>1100</v>
      </c>
      <c r="E113" s="510"/>
      <c r="F113" s="1459"/>
      <c r="G113" s="1459"/>
      <c r="H113" s="1459"/>
      <c r="I113" s="1540">
        <v>6.1200000000000002E-4</v>
      </c>
      <c r="J113" s="1459"/>
      <c r="K113" s="1540">
        <v>5.9900000000000003E-4</v>
      </c>
      <c r="L113" s="1459"/>
      <c r="M113" s="1459"/>
      <c r="N113" s="1459"/>
      <c r="O113" s="1459"/>
      <c r="P113" s="1459"/>
      <c r="Q113" s="1459"/>
      <c r="R113" s="510"/>
      <c r="S113" s="510"/>
    </row>
    <row r="114" spans="2:19">
      <c r="B114" s="510"/>
      <c r="C114" s="1482"/>
      <c r="D114" s="1459" t="s">
        <v>1095</v>
      </c>
      <c r="E114" s="510"/>
      <c r="F114" s="1459"/>
      <c r="G114" s="1459"/>
      <c r="H114" s="1459"/>
      <c r="I114" s="1540">
        <v>9.0300000000000005E-4</v>
      </c>
      <c r="J114" s="1459"/>
      <c r="K114" s="1540">
        <v>6.9200000000000002E-4</v>
      </c>
      <c r="L114" s="1459"/>
      <c r="M114" s="1459"/>
      <c r="N114" s="1459"/>
      <c r="O114" s="1459"/>
      <c r="P114" s="1459"/>
      <c r="Q114" s="1459"/>
      <c r="R114" s="510"/>
      <c r="S114" s="510"/>
    </row>
    <row r="115" spans="2:19">
      <c r="B115" s="510"/>
      <c r="C115" s="1482"/>
      <c r="D115" s="1459" t="s">
        <v>1088</v>
      </c>
      <c r="E115" s="510"/>
      <c r="F115" s="1459"/>
      <c r="G115" s="1459"/>
      <c r="H115" s="1459"/>
      <c r="I115" s="1540">
        <v>6.0300000000000002E-4</v>
      </c>
      <c r="J115" s="1459"/>
      <c r="K115" s="1540">
        <v>4.28E-4</v>
      </c>
      <c r="L115" s="1459"/>
      <c r="M115" s="1459"/>
      <c r="N115" s="1459"/>
      <c r="O115" s="1459"/>
      <c r="P115" s="1459"/>
      <c r="Q115" s="1459"/>
      <c r="R115" s="510"/>
      <c r="S115" s="510"/>
    </row>
    <row r="116" spans="2:19">
      <c r="B116" s="510"/>
      <c r="C116" s="1482"/>
      <c r="D116" s="1459" t="s">
        <v>1240</v>
      </c>
      <c r="E116" s="510"/>
      <c r="F116" s="1459"/>
      <c r="G116" s="1459"/>
      <c r="H116" s="1459"/>
      <c r="I116" s="1540">
        <v>8.6000000000000003E-5</v>
      </c>
      <c r="J116" s="1459"/>
      <c r="K116" s="1540">
        <v>1.06E-4</v>
      </c>
      <c r="L116" s="1459"/>
      <c r="M116" s="1459"/>
      <c r="N116" s="1459"/>
      <c r="O116" s="1459"/>
      <c r="P116" s="1459"/>
      <c r="Q116" s="1459"/>
      <c r="R116" s="510"/>
      <c r="S116" s="510"/>
    </row>
    <row r="117" spans="2:19">
      <c r="B117" s="510"/>
      <c r="C117" s="1482"/>
      <c r="D117" s="1459" t="s">
        <v>1241</v>
      </c>
      <c r="E117" s="510"/>
      <c r="F117" s="1459"/>
      <c r="G117" s="1459"/>
      <c r="H117" s="1459"/>
      <c r="I117" s="1540">
        <v>6.7599999999999995E-4</v>
      </c>
      <c r="J117" s="1459"/>
      <c r="K117" s="1540">
        <v>2.9300000000000002E-4</v>
      </c>
      <c r="L117" s="1459"/>
      <c r="M117" s="1459"/>
      <c r="N117" s="1459"/>
      <c r="O117" s="1459"/>
      <c r="P117" s="1459"/>
      <c r="Q117" s="1459"/>
      <c r="R117" s="510"/>
      <c r="S117" s="510"/>
    </row>
    <row r="118" spans="2:19">
      <c r="B118" s="510"/>
      <c r="C118" s="1482"/>
      <c r="D118" s="1459" t="s">
        <v>1090</v>
      </c>
      <c r="E118" s="510"/>
      <c r="F118" s="1459"/>
      <c r="G118" s="1459"/>
      <c r="H118" s="1459"/>
      <c r="I118" s="1540">
        <v>6.1600000000000001E-4</v>
      </c>
      <c r="J118" s="1459"/>
      <c r="K118" s="1540">
        <v>4.8200000000000001E-4</v>
      </c>
      <c r="L118" s="1459"/>
      <c r="M118" s="1459"/>
      <c r="N118" s="1459"/>
      <c r="O118" s="1459"/>
      <c r="P118" s="1459"/>
      <c r="Q118" s="1459"/>
      <c r="R118" s="510"/>
      <c r="S118" s="510"/>
    </row>
    <row r="119" spans="2:19">
      <c r="B119" s="510"/>
      <c r="C119" s="1459"/>
      <c r="D119" s="1459" t="s">
        <v>1242</v>
      </c>
      <c r="E119" s="510"/>
      <c r="F119" s="1459"/>
      <c r="G119" s="1459"/>
      <c r="H119" s="1459"/>
      <c r="I119" s="1540">
        <v>4.5600000000000003E-4</v>
      </c>
      <c r="J119" s="1459"/>
      <c r="K119" s="1540">
        <v>4.5600000000000003E-4</v>
      </c>
      <c r="L119" s="1459"/>
      <c r="M119" s="1459"/>
      <c r="N119" s="1459"/>
      <c r="O119" s="1459"/>
      <c r="P119" s="1459"/>
      <c r="Q119" s="1459"/>
      <c r="R119" s="510"/>
      <c r="S119" s="510"/>
    </row>
    <row r="120" spans="2:19">
      <c r="B120" s="510"/>
      <c r="C120" s="1482"/>
      <c r="D120" s="1459" t="s">
        <v>1094</v>
      </c>
      <c r="E120" s="510"/>
      <c r="F120" s="1459"/>
      <c r="G120" s="1459"/>
      <c r="H120" s="1459"/>
      <c r="I120" s="1540">
        <v>4.75E-4</v>
      </c>
      <c r="J120" s="1459"/>
      <c r="K120" s="1540">
        <v>4.7100000000000001E-4</v>
      </c>
      <c r="L120" s="1459"/>
      <c r="M120" s="1459"/>
      <c r="N120" s="1459"/>
      <c r="O120" s="1459"/>
      <c r="P120" s="1459"/>
      <c r="Q120" s="1459"/>
      <c r="R120" s="510"/>
      <c r="S120" s="510"/>
    </row>
    <row r="121" spans="2:19">
      <c r="B121" s="510"/>
      <c r="C121" s="1482"/>
      <c r="D121" s="1459" t="s">
        <v>1243</v>
      </c>
      <c r="E121" s="510"/>
      <c r="F121" s="1459"/>
      <c r="G121" s="1459"/>
      <c r="H121" s="1459"/>
      <c r="I121" s="1540">
        <v>7.6199999999999998E-4</v>
      </c>
      <c r="J121" s="1459"/>
      <c r="K121" s="1540">
        <v>7.5699999999999997E-4</v>
      </c>
      <c r="L121" s="1459"/>
      <c r="M121" s="1459"/>
      <c r="N121" s="1459"/>
      <c r="O121" s="1459"/>
      <c r="P121" s="1459"/>
      <c r="Q121" s="1459"/>
      <c r="R121" s="510"/>
      <c r="S121" s="510"/>
    </row>
    <row r="122" spans="2:19">
      <c r="B122" s="510"/>
      <c r="C122" s="1482"/>
      <c r="D122" s="1459" t="s">
        <v>1244</v>
      </c>
      <c r="E122" s="510"/>
      <c r="F122" s="1459"/>
      <c r="G122" s="1459"/>
      <c r="H122" s="1459"/>
      <c r="I122" s="1540">
        <v>0</v>
      </c>
      <c r="J122" s="1459"/>
      <c r="K122" s="1540">
        <v>0</v>
      </c>
      <c r="L122" s="1459"/>
      <c r="M122" s="1459"/>
      <c r="N122" s="1459"/>
      <c r="O122" s="1459"/>
      <c r="P122" s="1459"/>
      <c r="Q122" s="1459"/>
      <c r="R122" s="510"/>
      <c r="S122" s="510"/>
    </row>
    <row r="123" spans="2:19">
      <c r="B123" s="510"/>
      <c r="C123" s="1482"/>
      <c r="D123" s="1459" t="s">
        <v>1097</v>
      </c>
      <c r="E123" s="510"/>
      <c r="F123" s="1459"/>
      <c r="G123" s="1459"/>
      <c r="H123" s="1459"/>
      <c r="I123" s="1540">
        <v>4.2900000000000002E-4</v>
      </c>
      <c r="J123" s="1459"/>
      <c r="K123" s="1540">
        <v>4.2700000000000002E-4</v>
      </c>
      <c r="L123" s="1459"/>
      <c r="M123" s="1459"/>
      <c r="N123" s="1459"/>
      <c r="O123" s="1459"/>
      <c r="P123" s="1459"/>
      <c r="Q123" s="1459"/>
      <c r="R123" s="510"/>
      <c r="S123" s="510"/>
    </row>
    <row r="124" spans="2:19">
      <c r="B124" s="510"/>
      <c r="C124" s="1482"/>
      <c r="D124" s="1459" t="s">
        <v>1096</v>
      </c>
      <c r="E124" s="510"/>
      <c r="F124" s="1459"/>
      <c r="G124" s="1459"/>
      <c r="H124" s="1459"/>
      <c r="I124" s="1540">
        <v>5.2499999999999997E-4</v>
      </c>
      <c r="J124" s="1459"/>
      <c r="K124" s="1540">
        <v>4.4499999999999997E-4</v>
      </c>
      <c r="L124" s="1459"/>
      <c r="M124" s="1459"/>
      <c r="N124" s="1459"/>
      <c r="O124" s="1459"/>
      <c r="P124" s="1459"/>
      <c r="Q124" s="1459"/>
      <c r="R124" s="510"/>
      <c r="S124" s="510"/>
    </row>
    <row r="125" spans="2:19">
      <c r="B125" s="510"/>
      <c r="C125" s="1482"/>
      <c r="D125" s="1459" t="s">
        <v>1245</v>
      </c>
      <c r="E125" s="510"/>
      <c r="F125" s="1459"/>
      <c r="G125" s="1459"/>
      <c r="H125" s="1459"/>
      <c r="I125" s="1540">
        <v>4.4099999999999999E-4</v>
      </c>
      <c r="J125" s="1459"/>
      <c r="K125" s="1540">
        <v>0</v>
      </c>
      <c r="L125" s="1459"/>
      <c r="M125" s="1459"/>
      <c r="N125" s="1459"/>
      <c r="O125" s="1459"/>
      <c r="P125" s="1459"/>
      <c r="Q125" s="1459"/>
      <c r="R125" s="510"/>
      <c r="S125" s="510"/>
    </row>
    <row r="126" spans="2:19">
      <c r="B126" s="510"/>
      <c r="C126" s="1482"/>
      <c r="D126" s="1459" t="s">
        <v>1246</v>
      </c>
      <c r="E126" s="510"/>
      <c r="F126" s="1459"/>
      <c r="G126" s="1459"/>
      <c r="H126" s="1459"/>
      <c r="I126" s="1540">
        <v>7.9699999999999997E-4</v>
      </c>
      <c r="J126" s="1459"/>
      <c r="K126" s="1540">
        <v>7.8899999999999999E-4</v>
      </c>
      <c r="L126" s="1459"/>
      <c r="M126" s="1459"/>
      <c r="N126" s="1459"/>
      <c r="O126" s="1459"/>
      <c r="P126" s="1459"/>
      <c r="Q126" s="1459"/>
      <c r="R126" s="510"/>
      <c r="S126" s="510"/>
    </row>
    <row r="127" spans="2:19">
      <c r="B127" s="510"/>
      <c r="C127" s="1482"/>
      <c r="D127" s="1459" t="s">
        <v>1091</v>
      </c>
      <c r="E127" s="510"/>
      <c r="F127" s="1459"/>
      <c r="G127" s="1459"/>
      <c r="H127" s="1459"/>
      <c r="I127" s="1540">
        <v>4.3800000000000002E-4</v>
      </c>
      <c r="J127" s="1459"/>
      <c r="K127" s="1540">
        <v>2.5900000000000001E-4</v>
      </c>
      <c r="L127" s="1459"/>
      <c r="M127" s="1459"/>
      <c r="N127" s="1459"/>
      <c r="O127" s="1459"/>
      <c r="P127" s="1459"/>
      <c r="Q127" s="1459"/>
      <c r="R127" s="510"/>
      <c r="S127" s="510"/>
    </row>
    <row r="128" spans="2:19">
      <c r="B128" s="510"/>
      <c r="C128" s="1482"/>
      <c r="D128" s="1459" t="s">
        <v>1247</v>
      </c>
      <c r="E128" s="510"/>
      <c r="F128" s="1459"/>
      <c r="G128" s="1459"/>
      <c r="H128" s="1459"/>
      <c r="I128" s="1540">
        <v>3.6699999999999998E-4</v>
      </c>
      <c r="J128" s="1459"/>
      <c r="K128" s="1540">
        <v>3.6400000000000001E-4</v>
      </c>
      <c r="L128" s="1459"/>
      <c r="M128" s="1459"/>
      <c r="N128" s="1459"/>
      <c r="O128" s="1459"/>
      <c r="P128" s="1459"/>
      <c r="Q128" s="1459"/>
      <c r="R128" s="510"/>
      <c r="S128" s="510"/>
    </row>
    <row r="129" spans="2:19">
      <c r="B129" s="510"/>
      <c r="C129" s="1482"/>
      <c r="D129" s="1459" t="s">
        <v>1248</v>
      </c>
      <c r="E129" s="510"/>
      <c r="F129" s="1459"/>
      <c r="G129" s="1459"/>
      <c r="H129" s="1459"/>
      <c r="I129" s="1540">
        <v>4.9399999999999997E-4</v>
      </c>
      <c r="J129" s="1459"/>
      <c r="K129" s="1540">
        <v>4.8999999999999998E-4</v>
      </c>
      <c r="L129" s="1459"/>
      <c r="M129" s="1459"/>
      <c r="N129" s="1459"/>
      <c r="O129" s="1459"/>
      <c r="P129" s="1459"/>
      <c r="Q129" s="1459"/>
      <c r="R129" s="510"/>
      <c r="S129" s="510"/>
    </row>
    <row r="130" spans="2:19">
      <c r="B130" s="510"/>
      <c r="C130" s="1482"/>
      <c r="D130" s="1459" t="s">
        <v>1249</v>
      </c>
      <c r="E130" s="510"/>
      <c r="F130" s="1459"/>
      <c r="G130" s="1459"/>
      <c r="H130" s="1459"/>
      <c r="I130" s="1540">
        <v>3.1199999999999999E-4</v>
      </c>
      <c r="J130" s="1459"/>
      <c r="K130" s="1540">
        <v>3.0899999999999998E-4</v>
      </c>
      <c r="L130" s="1459"/>
      <c r="M130" s="1459"/>
      <c r="N130" s="1459"/>
      <c r="O130" s="1459"/>
      <c r="P130" s="1459"/>
      <c r="Q130" s="1459"/>
      <c r="R130" s="510"/>
      <c r="S130" s="510"/>
    </row>
    <row r="131" spans="2:19">
      <c r="B131" s="510"/>
      <c r="C131" s="1482"/>
      <c r="D131" s="1459" t="s">
        <v>1102</v>
      </c>
      <c r="E131" s="510"/>
      <c r="F131" s="1459"/>
      <c r="G131" s="1459"/>
      <c r="H131" s="1459"/>
      <c r="I131" s="1540">
        <v>3.6699999999999998E-4</v>
      </c>
      <c r="J131" s="1459"/>
      <c r="K131" s="1540">
        <v>3.6400000000000001E-4</v>
      </c>
      <c r="L131" s="1459"/>
      <c r="M131" s="1459"/>
      <c r="N131" s="1459"/>
      <c r="O131" s="1459"/>
      <c r="P131" s="1459"/>
      <c r="Q131" s="1459"/>
      <c r="R131" s="510"/>
      <c r="S131" s="510"/>
    </row>
    <row r="132" spans="2:19">
      <c r="B132" s="510"/>
      <c r="C132" s="1482"/>
      <c r="D132" s="1459" t="s">
        <v>1250</v>
      </c>
      <c r="E132" s="510"/>
      <c r="F132" s="1459"/>
      <c r="G132" s="1459"/>
      <c r="H132" s="1459"/>
      <c r="I132" s="1540">
        <v>6.5499999999999998E-4</v>
      </c>
      <c r="J132" s="1459"/>
      <c r="K132" s="1540">
        <v>6.5399999999999996E-4</v>
      </c>
      <c r="L132" s="1459"/>
      <c r="M132" s="1459"/>
      <c r="N132" s="1459"/>
      <c r="O132" s="1459"/>
      <c r="P132" s="1459"/>
      <c r="Q132" s="1459"/>
      <c r="R132" s="510"/>
      <c r="S132" s="510"/>
    </row>
    <row r="133" spans="2:19">
      <c r="B133" s="510"/>
      <c r="C133" s="1482"/>
      <c r="D133" s="1459" t="s">
        <v>1251</v>
      </c>
      <c r="E133" s="510"/>
      <c r="F133" s="1459"/>
      <c r="G133" s="1459"/>
      <c r="H133" s="1459"/>
      <c r="I133" s="1540">
        <v>3.88E-4</v>
      </c>
      <c r="J133" s="1459"/>
      <c r="K133" s="1540">
        <v>3.8499999999999998E-4</v>
      </c>
      <c r="L133" s="1459"/>
      <c r="M133" s="1459"/>
      <c r="N133" s="1459"/>
      <c r="O133" s="1459"/>
      <c r="P133" s="1459"/>
      <c r="Q133" s="1459"/>
      <c r="R133" s="510"/>
      <c r="S133" s="510"/>
    </row>
    <row r="134" spans="2:19">
      <c r="B134" s="510"/>
      <c r="C134" s="1482"/>
      <c r="D134" s="1459" t="s">
        <v>1092</v>
      </c>
      <c r="E134" s="510"/>
      <c r="F134" s="1459"/>
      <c r="G134" s="1459"/>
      <c r="H134" s="1459"/>
      <c r="I134" s="1540">
        <v>4.3100000000000001E-4</v>
      </c>
      <c r="J134" s="1459"/>
      <c r="K134" s="1540">
        <v>4.2700000000000002E-4</v>
      </c>
      <c r="L134" s="1459"/>
      <c r="M134" s="1459"/>
      <c r="N134" s="1459"/>
      <c r="O134" s="1459"/>
      <c r="P134" s="1459"/>
      <c r="Q134" s="1459"/>
      <c r="R134" s="510"/>
      <c r="S134" s="510"/>
    </row>
    <row r="135" spans="2:19">
      <c r="B135" s="510"/>
      <c r="C135" s="1482"/>
      <c r="D135" s="1459" t="s">
        <v>1252</v>
      </c>
      <c r="E135" s="510"/>
      <c r="F135" s="1459"/>
      <c r="G135" s="1459"/>
      <c r="H135" s="1459"/>
      <c r="I135" s="1540">
        <v>4.9399999999999997E-4</v>
      </c>
      <c r="J135" s="1459"/>
      <c r="K135" s="1540">
        <v>4.8999999999999998E-4</v>
      </c>
      <c r="L135" s="1459"/>
      <c r="M135" s="1459"/>
      <c r="N135" s="1459"/>
      <c r="O135" s="1459"/>
      <c r="P135" s="1459"/>
      <c r="Q135" s="1459"/>
      <c r="R135" s="510"/>
      <c r="S135" s="510"/>
    </row>
    <row r="136" spans="2:19">
      <c r="B136" s="510"/>
      <c r="C136" s="1482"/>
      <c r="D136" s="1459" t="s">
        <v>1253</v>
      </c>
      <c r="E136" s="510"/>
      <c r="F136" s="1459"/>
      <c r="G136" s="1459"/>
      <c r="H136" s="1459"/>
      <c r="I136" s="1540">
        <v>9.2E-5</v>
      </c>
      <c r="J136" s="1459"/>
      <c r="K136" s="1540">
        <v>9.1000000000000003E-5</v>
      </c>
      <c r="L136" s="1459"/>
      <c r="M136" s="1459"/>
      <c r="N136" s="1459"/>
      <c r="O136" s="1459"/>
      <c r="P136" s="1459"/>
      <c r="Q136" s="1459"/>
      <c r="R136" s="510"/>
      <c r="S136" s="510"/>
    </row>
    <row r="137" spans="2:19">
      <c r="B137" s="510"/>
      <c r="C137" s="1482"/>
      <c r="D137" s="1459" t="s">
        <v>1254</v>
      </c>
      <c r="E137" s="510"/>
      <c r="F137" s="1459"/>
      <c r="G137" s="1459"/>
      <c r="H137" s="1459"/>
      <c r="I137" s="1540">
        <v>5.0799999999999999E-4</v>
      </c>
      <c r="J137" s="1459"/>
      <c r="K137" s="1540">
        <v>5.0900000000000001E-4</v>
      </c>
      <c r="L137" s="1459"/>
      <c r="M137" s="1459"/>
      <c r="N137" s="1459"/>
      <c r="O137" s="1459"/>
      <c r="P137" s="1459"/>
      <c r="Q137" s="1459"/>
      <c r="R137" s="510"/>
      <c r="S137" s="510"/>
    </row>
    <row r="138" spans="2:19">
      <c r="B138" s="510"/>
      <c r="C138" s="1482"/>
      <c r="D138" s="1459" t="s">
        <v>1255</v>
      </c>
      <c r="E138" s="510"/>
      <c r="F138" s="1459"/>
      <c r="G138" s="1459"/>
      <c r="H138" s="1459"/>
      <c r="I138" s="1540">
        <v>4.86E-4</v>
      </c>
      <c r="J138" s="1459"/>
      <c r="K138" s="1540">
        <v>2.5599999999999999E-4</v>
      </c>
      <c r="L138" s="1459"/>
      <c r="M138" s="1459"/>
      <c r="N138" s="1459"/>
      <c r="O138" s="1459"/>
      <c r="P138" s="1459"/>
      <c r="Q138" s="1459"/>
      <c r="R138" s="510"/>
      <c r="S138" s="510"/>
    </row>
    <row r="139" spans="2:19">
      <c r="B139" s="510"/>
      <c r="C139" s="1482"/>
      <c r="D139" s="1459" t="s">
        <v>1093</v>
      </c>
      <c r="E139" s="510"/>
      <c r="F139" s="1459"/>
      <c r="G139" s="1459"/>
      <c r="H139" s="1459"/>
      <c r="I139" s="1540">
        <v>4.9799999999999996E-4</v>
      </c>
      <c r="J139" s="1459"/>
      <c r="K139" s="1540">
        <v>4.9200000000000003E-4</v>
      </c>
      <c r="L139" s="1459"/>
      <c r="M139" s="1459"/>
      <c r="N139" s="1459"/>
      <c r="O139" s="1459"/>
      <c r="P139" s="1459"/>
      <c r="Q139" s="1459"/>
      <c r="R139" s="510"/>
      <c r="S139" s="510"/>
    </row>
    <row r="140" spans="2:19">
      <c r="B140" s="510"/>
      <c r="C140" s="1482"/>
      <c r="D140" s="1459" t="s">
        <v>1256</v>
      </c>
      <c r="E140" s="510"/>
      <c r="F140" s="1459"/>
      <c r="G140" s="1459"/>
      <c r="H140" s="1459"/>
      <c r="I140" s="1540">
        <v>1.8E-5</v>
      </c>
      <c r="J140" s="1459"/>
      <c r="K140" s="1540">
        <v>2.1999999999999999E-5</v>
      </c>
      <c r="L140" s="1459"/>
      <c r="M140" s="1459"/>
      <c r="N140" s="1459"/>
      <c r="O140" s="1459"/>
      <c r="P140" s="1459"/>
      <c r="Q140" s="1459"/>
      <c r="R140" s="510"/>
      <c r="S140" s="510"/>
    </row>
    <row r="141" spans="2:19">
      <c r="B141" s="510"/>
      <c r="C141" s="1482"/>
      <c r="D141" s="1459" t="s">
        <v>1099</v>
      </c>
      <c r="E141" s="510"/>
      <c r="F141" s="1459"/>
      <c r="G141" s="1459"/>
      <c r="H141" s="1459"/>
      <c r="I141" s="1540">
        <v>3.7800000000000003E-4</v>
      </c>
      <c r="J141" s="1459"/>
      <c r="K141" s="1540">
        <v>3.2400000000000001E-4</v>
      </c>
      <c r="L141" s="1459"/>
      <c r="M141" s="1459"/>
      <c r="N141" s="1459"/>
      <c r="O141" s="1459"/>
      <c r="P141" s="1459"/>
      <c r="Q141" s="1459"/>
      <c r="R141" s="510"/>
      <c r="S141" s="510"/>
    </row>
    <row r="142" spans="2:19">
      <c r="B142" s="510"/>
      <c r="C142" s="1482"/>
      <c r="D142" s="1459" t="s">
        <v>1257</v>
      </c>
      <c r="E142" s="510"/>
      <c r="F142" s="1459"/>
      <c r="G142" s="1459"/>
      <c r="H142" s="1459"/>
      <c r="I142" s="1540">
        <v>3.6600000000000001E-4</v>
      </c>
      <c r="J142" s="1459"/>
      <c r="K142" s="1540">
        <v>4.4499999999999997E-4</v>
      </c>
      <c r="L142" s="1459"/>
      <c r="M142" s="1459"/>
      <c r="N142" s="1459"/>
      <c r="O142" s="1459"/>
      <c r="P142" s="1459"/>
      <c r="Q142" s="1459"/>
      <c r="R142" s="510"/>
      <c r="S142" s="510"/>
    </row>
    <row r="143" spans="2:19">
      <c r="B143" s="510"/>
      <c r="C143" s="1482"/>
      <c r="D143" s="1459" t="s">
        <v>1258</v>
      </c>
      <c r="E143" s="510"/>
      <c r="F143" s="1459"/>
      <c r="G143" s="1459"/>
      <c r="H143" s="1459"/>
      <c r="I143" s="1540">
        <v>4.2000000000000002E-4</v>
      </c>
      <c r="J143" s="1459"/>
      <c r="K143" s="1540">
        <v>0</v>
      </c>
      <c r="L143" s="1459"/>
      <c r="M143" s="1459"/>
      <c r="N143" s="1459"/>
      <c r="O143" s="1459"/>
      <c r="P143" s="1459"/>
      <c r="Q143" s="1459"/>
      <c r="R143" s="510"/>
      <c r="S143" s="510"/>
    </row>
    <row r="144" spans="2:19" ht="8.25" customHeight="1">
      <c r="B144" s="510"/>
      <c r="C144" s="1482"/>
      <c r="D144" s="1459"/>
      <c r="E144" s="510"/>
      <c r="F144" s="1459"/>
      <c r="G144" s="1459"/>
      <c r="H144" s="1459"/>
      <c r="I144" s="1459"/>
      <c r="J144" s="1459"/>
      <c r="K144" s="1459"/>
      <c r="L144" s="1459"/>
      <c r="M144" s="1459"/>
      <c r="N144" s="1459"/>
      <c r="O144" s="1459"/>
      <c r="P144" s="1459"/>
      <c r="Q144" s="1459"/>
      <c r="R144" s="510"/>
      <c r="S144" s="510"/>
    </row>
    <row r="145" spans="3:22">
      <c r="C145" s="1481"/>
      <c r="D145" s="1482"/>
      <c r="E145" s="1459" t="s">
        <v>1185</v>
      </c>
      <c r="F145" s="1459"/>
      <c r="G145" s="1459"/>
      <c r="H145" s="1459"/>
      <c r="I145" s="1540">
        <v>5.5000000000000003E-4</v>
      </c>
      <c r="J145" s="1533"/>
      <c r="K145" s="1459"/>
      <c r="L145" s="1459"/>
      <c r="M145" s="1459"/>
      <c r="N145" s="1459"/>
      <c r="O145" s="1459"/>
      <c r="P145" s="1459"/>
      <c r="Q145" s="1459"/>
    </row>
    <row r="146" spans="3:22">
      <c r="C146" s="1481"/>
      <c r="D146" s="1482"/>
      <c r="E146" s="1459"/>
      <c r="F146" s="1459"/>
      <c r="G146" s="1459"/>
      <c r="H146" s="1459"/>
      <c r="I146" s="1990"/>
      <c r="J146" s="1533"/>
      <c r="K146" s="1459"/>
      <c r="L146" s="1459"/>
      <c r="M146" s="1459"/>
      <c r="N146" s="1459"/>
      <c r="O146" s="1459"/>
      <c r="P146" s="1459"/>
      <c r="Q146" s="1459"/>
    </row>
    <row r="147" spans="3:22">
      <c r="C147" s="1488" t="s">
        <v>247</v>
      </c>
      <c r="D147" s="1482"/>
      <c r="E147" s="1482"/>
      <c r="F147" s="1482"/>
      <c r="G147" s="1482"/>
      <c r="H147" s="1482"/>
      <c r="I147" s="1482"/>
      <c r="J147" s="1482"/>
      <c r="K147" s="1482"/>
      <c r="L147" s="1482"/>
      <c r="M147" s="1482"/>
      <c r="N147" s="1482"/>
      <c r="O147" s="1482"/>
      <c r="P147" s="1482"/>
      <c r="Q147" s="1482"/>
      <c r="R147" s="510"/>
      <c r="S147" s="510"/>
    </row>
    <row r="148" spans="3:22">
      <c r="C148" s="510"/>
      <c r="D148" s="2128" t="s">
        <v>1259</v>
      </c>
      <c r="E148" s="2129"/>
      <c r="F148" s="2130"/>
      <c r="G148" s="510"/>
      <c r="H148" s="521" t="s">
        <v>1260</v>
      </c>
      <c r="I148" s="2131" t="s">
        <v>1261</v>
      </c>
      <c r="J148" s="2132"/>
      <c r="K148" s="2132"/>
      <c r="L148" s="2132"/>
      <c r="M148" s="2133"/>
      <c r="N148" s="2131" t="s">
        <v>1262</v>
      </c>
      <c r="O148" s="2134"/>
      <c r="P148" s="2134"/>
      <c r="Q148" s="2135"/>
      <c r="R148" s="2136" t="s">
        <v>1263</v>
      </c>
      <c r="S148" s="510"/>
    </row>
    <row r="149" spans="3:22" hidden="1">
      <c r="C149" s="510"/>
      <c r="D149" s="2137"/>
      <c r="E149" s="2138"/>
      <c r="F149" s="2139"/>
      <c r="G149" s="510"/>
      <c r="H149" s="510"/>
      <c r="I149" s="2140">
        <v>300</v>
      </c>
      <c r="J149" s="2132">
        <v>2000</v>
      </c>
      <c r="K149" s="2132">
        <v>10000</v>
      </c>
      <c r="L149" s="2132">
        <v>30000</v>
      </c>
      <c r="M149" s="2133"/>
      <c r="N149" s="2141">
        <f>I96</f>
        <v>6.2704918032786883E-2</v>
      </c>
      <c r="O149" s="2142">
        <f>I97</f>
        <v>4.9799999999999997E-2</v>
      </c>
      <c r="P149" s="2142">
        <f>I101</f>
        <v>6.855E-2</v>
      </c>
      <c r="Q149" s="2143"/>
      <c r="R149" s="2144"/>
      <c r="S149" s="510"/>
    </row>
    <row r="150" spans="3:22" ht="24">
      <c r="C150" s="510"/>
      <c r="D150" s="2145"/>
      <c r="E150" s="2146"/>
      <c r="F150" s="2147"/>
      <c r="G150" s="510" t="s">
        <v>1778</v>
      </c>
      <c r="H150" s="510"/>
      <c r="I150" s="2148" t="s">
        <v>1264</v>
      </c>
      <c r="J150" s="2149" t="s">
        <v>1265</v>
      </c>
      <c r="K150" s="2149" t="s">
        <v>1266</v>
      </c>
      <c r="L150" s="2149" t="s">
        <v>1267</v>
      </c>
      <c r="M150" s="2148" t="s">
        <v>1268</v>
      </c>
      <c r="N150" s="2148" t="s">
        <v>1269</v>
      </c>
      <c r="O150" s="2148" t="s">
        <v>248</v>
      </c>
      <c r="P150" s="2148" t="s">
        <v>1270</v>
      </c>
      <c r="Q150" s="2150" t="s">
        <v>1271</v>
      </c>
      <c r="R150" s="2151" t="s">
        <v>1777</v>
      </c>
      <c r="S150" s="510"/>
      <c r="U150" s="2168" t="s">
        <v>469</v>
      </c>
      <c r="V150" s="2168" t="s">
        <v>1779</v>
      </c>
    </row>
    <row r="151" spans="3:22">
      <c r="C151" s="510"/>
      <c r="D151" s="2152" t="s">
        <v>204</v>
      </c>
      <c r="E151" s="2131" t="s">
        <v>539</v>
      </c>
      <c r="F151" s="2153"/>
      <c r="G151" s="510">
        <f>メイン!W71</f>
        <v>7000</v>
      </c>
      <c r="H151" s="510">
        <f>IF(G151=0,0,IF(G151&lt;$I$149,$I151,IF(G151&lt;$J$149,$J151,IF(G151&lt;$K$149,$K151,IF(G151&lt;$L$149,$L151,$M151)))))</f>
        <v>1540</v>
      </c>
      <c r="I151" s="2154">
        <v>1540</v>
      </c>
      <c r="J151" s="2154">
        <v>1540</v>
      </c>
      <c r="K151" s="2154">
        <v>1540</v>
      </c>
      <c r="L151" s="2154">
        <v>1930</v>
      </c>
      <c r="M151" s="2154">
        <v>2270</v>
      </c>
      <c r="N151" s="2155">
        <v>0.9</v>
      </c>
      <c r="O151" s="2155">
        <v>0.06</v>
      </c>
      <c r="P151" s="2155">
        <v>0.04</v>
      </c>
      <c r="Q151" s="2156" t="s">
        <v>1110</v>
      </c>
      <c r="R151" s="2157">
        <f>SUMPRODUCT(N151:P151,$N$149:$P$149)</f>
        <v>6.2164426229508192E-2</v>
      </c>
      <c r="S151" s="510"/>
      <c r="U151" s="510">
        <f>メイン!P71</f>
        <v>10000</v>
      </c>
      <c r="V151" s="510">
        <f>IF(U151=0,0,IF(U151&lt;$I$149,$I151,IF(U151&lt;$J$149,$J151,IF(U151&lt;$K$149,$K151,IF(U151&lt;$L$149,$L151,$M151)))))</f>
        <v>1930</v>
      </c>
    </row>
    <row r="152" spans="3:22">
      <c r="C152" s="510"/>
      <c r="D152" s="2158"/>
      <c r="E152" s="2131" t="s">
        <v>1272</v>
      </c>
      <c r="F152" s="2153"/>
      <c r="G152" s="510">
        <f>メイン!W72</f>
        <v>0</v>
      </c>
      <c r="H152" s="510">
        <f t="shared" ref="H152" si="36">IF(G152=0,0,IF(G152&lt;$I$149,$I152,IF(G152&lt;$J$149,$J152,IF(G152&lt;$K$149,$K152,IF(G152&lt;$L$149,$L152,$M152)))))</f>
        <v>0</v>
      </c>
      <c r="I152" s="2154">
        <v>1100</v>
      </c>
      <c r="J152" s="2154">
        <v>1100</v>
      </c>
      <c r="K152" s="2154">
        <v>1100</v>
      </c>
      <c r="L152" s="2154">
        <v>1260</v>
      </c>
      <c r="M152" s="2154">
        <v>1380</v>
      </c>
      <c r="N152" s="2155">
        <v>0.83</v>
      </c>
      <c r="O152" s="2155">
        <v>0.09</v>
      </c>
      <c r="P152" s="2155">
        <v>0.08</v>
      </c>
      <c r="Q152" s="2156" t="s">
        <v>1110</v>
      </c>
      <c r="R152" s="2157">
        <f>SUMPRODUCT(N152:P152,$N$149:$P$149)</f>
        <v>6.2011081967213111E-2</v>
      </c>
      <c r="S152" s="510"/>
      <c r="U152" s="510">
        <f>メイン!P72</f>
        <v>0</v>
      </c>
      <c r="V152" s="510">
        <f t="shared" ref="V152" si="37">IF(U152=0,0,IF(U152&lt;$I$149,$I152,IF(U152&lt;$J$149,$J152,IF(U152&lt;$K$149,$K152,IF(U152&lt;$L$149,$L152,$M152)))))</f>
        <v>0</v>
      </c>
    </row>
    <row r="153" spans="3:22">
      <c r="C153" s="510"/>
      <c r="D153" s="2159" t="s">
        <v>1273</v>
      </c>
      <c r="E153" s="2131" t="s">
        <v>1274</v>
      </c>
      <c r="F153" s="2153"/>
      <c r="G153" s="510">
        <f>メイン!W73</f>
        <v>0</v>
      </c>
      <c r="H153" s="510">
        <f>IF(G153=0,0,IF(G153&lt;$I$149,$I153,IF(G153&lt;$J$149,$J153,IF(G153&lt;$K$149,$K153,IF(G153&lt;$L$149,$L153,$M153)))))</f>
        <v>0</v>
      </c>
      <c r="I153" s="2154">
        <v>490</v>
      </c>
      <c r="J153" s="2154">
        <v>490</v>
      </c>
      <c r="K153" s="2154">
        <v>490</v>
      </c>
      <c r="L153" s="2154">
        <v>490</v>
      </c>
      <c r="M153" s="2154">
        <v>490</v>
      </c>
      <c r="N153" s="2155">
        <v>0.71</v>
      </c>
      <c r="O153" s="2155">
        <v>0.16</v>
      </c>
      <c r="P153" s="2155">
        <v>0.13</v>
      </c>
      <c r="Q153" s="2156" t="s">
        <v>1110</v>
      </c>
      <c r="R153" s="2157">
        <f t="shared" ref="R153:R166" si="38">SUMPRODUCT(N153:P153,$N$149:$P$149)</f>
        <v>6.1399991803278681E-2</v>
      </c>
      <c r="S153" s="510"/>
      <c r="U153" s="510">
        <f>メイン!P73</f>
        <v>0</v>
      </c>
      <c r="V153" s="510">
        <f>IF(U153=0,0,IF(U153&lt;$I$149,$I153,IF(U153&lt;$J$149,$J153,IF(U153&lt;$K$149,$K153,IF(U153&lt;$L$149,$L153,$M153)))))</f>
        <v>0</v>
      </c>
    </row>
    <row r="154" spans="3:22">
      <c r="C154" s="510"/>
      <c r="D154" s="2159"/>
      <c r="E154" s="2128" t="s">
        <v>1275</v>
      </c>
      <c r="F154" s="2148" t="s">
        <v>1123</v>
      </c>
      <c r="G154" s="510">
        <f>メイン!W74</f>
        <v>0</v>
      </c>
      <c r="H154" s="2115">
        <f>IF(G154&gt;0,$I154,0)</f>
        <v>0</v>
      </c>
      <c r="I154" s="2154">
        <v>522</v>
      </c>
      <c r="J154" s="2154">
        <v>522</v>
      </c>
      <c r="K154" s="2154">
        <v>522</v>
      </c>
      <c r="L154" s="2154">
        <v>522</v>
      </c>
      <c r="M154" s="2154">
        <v>522</v>
      </c>
      <c r="N154" s="2155">
        <v>0.62299911901772109</v>
      </c>
      <c r="O154" s="2155">
        <v>0.16715691274115696</v>
      </c>
      <c r="P154" s="2155">
        <v>0.20984396824112195</v>
      </c>
      <c r="Q154" s="2156" t="s">
        <v>1110</v>
      </c>
      <c r="R154" s="2157">
        <f t="shared" si="38"/>
        <v>6.1774326969943165E-2</v>
      </c>
      <c r="S154" s="510"/>
      <c r="U154" s="510">
        <f>メイン!P74</f>
        <v>0</v>
      </c>
      <c r="V154" s="2115">
        <f>IF(U154&gt;0,$I154,0)</f>
        <v>0</v>
      </c>
    </row>
    <row r="155" spans="3:22">
      <c r="C155" s="510"/>
      <c r="D155" s="2159"/>
      <c r="E155" s="2145"/>
      <c r="F155" s="2148" t="s">
        <v>602</v>
      </c>
      <c r="G155" s="510">
        <f>メイン!W75</f>
        <v>0</v>
      </c>
      <c r="H155" s="2115">
        <f>IF(G155&gt;0,$I155,0)</f>
        <v>0</v>
      </c>
      <c r="I155" s="2154">
        <v>310</v>
      </c>
      <c r="J155" s="2154">
        <v>310</v>
      </c>
      <c r="K155" s="2154">
        <v>310</v>
      </c>
      <c r="L155" s="2154">
        <v>310</v>
      </c>
      <c r="M155" s="2154">
        <v>310</v>
      </c>
      <c r="N155" s="2155">
        <v>0.75998792472086629</v>
      </c>
      <c r="O155" s="2155">
        <v>0.13554620368652504</v>
      </c>
      <c r="P155" s="2155">
        <v>0.10446587159260867</v>
      </c>
      <c r="Q155" s="2156"/>
      <c r="R155" s="2157">
        <f t="shared" si="38"/>
        <v>6.1566316966792003E-2</v>
      </c>
      <c r="S155" s="510"/>
      <c r="U155" s="510">
        <f>メイン!P75</f>
        <v>0</v>
      </c>
      <c r="V155" s="2115">
        <f>IF(U155&gt;0,$I155,0)</f>
        <v>0</v>
      </c>
    </row>
    <row r="156" spans="3:22">
      <c r="C156" s="510"/>
      <c r="D156" s="2159"/>
      <c r="E156" s="2131" t="s">
        <v>1276</v>
      </c>
      <c r="F156" s="2153"/>
      <c r="G156" s="510">
        <f>メイン!W76</f>
        <v>0</v>
      </c>
      <c r="H156" s="510">
        <f t="shared" ref="H156:H167" si="39">IF(G156=0,0,IF(G156&lt;$I$149,$I156,IF(G156&lt;$J$149,$J156,IF(G156&lt;$K$149,$K156,IF(G156&lt;$L$149,$L156,$M156)))))</f>
        <v>0</v>
      </c>
      <c r="I156" s="2154">
        <v>390</v>
      </c>
      <c r="J156" s="2154">
        <v>390</v>
      </c>
      <c r="K156" s="2154">
        <v>390</v>
      </c>
      <c r="L156" s="2154">
        <v>360</v>
      </c>
      <c r="M156" s="2154">
        <v>240</v>
      </c>
      <c r="N156" s="2155">
        <v>0.74</v>
      </c>
      <c r="O156" s="2155">
        <v>7.0000000000000007E-2</v>
      </c>
      <c r="P156" s="2155">
        <v>0.19</v>
      </c>
      <c r="Q156" s="2156" t="s">
        <v>1110</v>
      </c>
      <c r="R156" s="2157">
        <f t="shared" si="38"/>
        <v>6.2912139344262291E-2</v>
      </c>
      <c r="S156" s="510"/>
      <c r="U156" s="510">
        <f>メイン!P76</f>
        <v>0</v>
      </c>
      <c r="V156" s="510">
        <f t="shared" ref="V156:V169" si="40">IF(U156=0,0,IF(U156&lt;$I$149,$I156,IF(U156&lt;$J$149,$J156,IF(U156&lt;$K$149,$K156,IF(U156&lt;$L$149,$L156,$M156)))))</f>
        <v>0</v>
      </c>
    </row>
    <row r="157" spans="3:22">
      <c r="C157" s="510"/>
      <c r="D157" s="2158"/>
      <c r="E157" s="2131" t="s">
        <v>1277</v>
      </c>
      <c r="F157" s="2153"/>
      <c r="G157" s="510">
        <f>メイン!W77</f>
        <v>0</v>
      </c>
      <c r="H157" s="510">
        <f t="shared" si="39"/>
        <v>0</v>
      </c>
      <c r="I157" s="2154">
        <v>880</v>
      </c>
      <c r="J157" s="2154">
        <v>880</v>
      </c>
      <c r="K157" s="2154">
        <v>880</v>
      </c>
      <c r="L157" s="2154">
        <v>850</v>
      </c>
      <c r="M157" s="2154">
        <v>1160</v>
      </c>
      <c r="N157" s="2155">
        <v>0.79</v>
      </c>
      <c r="O157" s="2155">
        <v>0.12</v>
      </c>
      <c r="P157" s="2155">
        <v>0.09</v>
      </c>
      <c r="Q157" s="2156" t="s">
        <v>1110</v>
      </c>
      <c r="R157" s="2157">
        <f t="shared" si="38"/>
        <v>6.1682385245901646E-2</v>
      </c>
      <c r="S157" s="510"/>
      <c r="U157" s="510">
        <f>メイン!P77</f>
        <v>0</v>
      </c>
      <c r="V157" s="510">
        <f t="shared" si="40"/>
        <v>0</v>
      </c>
    </row>
    <row r="158" spans="3:22">
      <c r="C158" s="510"/>
      <c r="D158" s="2152" t="s">
        <v>1278</v>
      </c>
      <c r="E158" s="2131" t="s">
        <v>955</v>
      </c>
      <c r="F158" s="2153"/>
      <c r="G158" s="510">
        <f>メイン!W78</f>
        <v>0</v>
      </c>
      <c r="H158" s="510">
        <f t="shared" si="39"/>
        <v>0</v>
      </c>
      <c r="I158" s="2154">
        <v>7430</v>
      </c>
      <c r="J158" s="2154">
        <v>7430</v>
      </c>
      <c r="K158" s="2154">
        <v>5130</v>
      </c>
      <c r="L158" s="2154">
        <v>3190</v>
      </c>
      <c r="M158" s="2154">
        <v>3190</v>
      </c>
      <c r="N158" s="2155">
        <v>0.93</v>
      </c>
      <c r="O158" s="2155">
        <v>0.03</v>
      </c>
      <c r="P158" s="2155">
        <v>0.04</v>
      </c>
      <c r="Q158" s="2156" t="s">
        <v>1110</v>
      </c>
      <c r="R158" s="2157">
        <f t="shared" si="38"/>
        <v>6.2551573770491808E-2</v>
      </c>
      <c r="S158" s="510"/>
      <c r="U158" s="510">
        <f>メイン!P78</f>
        <v>0</v>
      </c>
      <c r="V158" s="510">
        <f t="shared" si="40"/>
        <v>0</v>
      </c>
    </row>
    <row r="159" spans="3:22">
      <c r="C159" s="510"/>
      <c r="D159" s="2158"/>
      <c r="E159" s="2131" t="s">
        <v>1279</v>
      </c>
      <c r="F159" s="2153"/>
      <c r="G159" s="510">
        <f>メイン!W79</f>
        <v>3000</v>
      </c>
      <c r="H159" s="510">
        <f t="shared" si="39"/>
        <v>2360</v>
      </c>
      <c r="I159" s="2154">
        <v>2360</v>
      </c>
      <c r="J159" s="2154">
        <v>2360</v>
      </c>
      <c r="K159" s="2154">
        <v>2360</v>
      </c>
      <c r="L159" s="2154">
        <v>2950</v>
      </c>
      <c r="M159" s="2154">
        <v>2680</v>
      </c>
      <c r="N159" s="2155">
        <v>0.92</v>
      </c>
      <c r="O159" s="2155">
        <v>0.04</v>
      </c>
      <c r="P159" s="2155">
        <v>0.04</v>
      </c>
      <c r="Q159" s="2156" t="s">
        <v>1110</v>
      </c>
      <c r="R159" s="2157">
        <f t="shared" si="38"/>
        <v>6.2422524590163939E-2</v>
      </c>
      <c r="S159" s="510"/>
      <c r="U159" s="510">
        <f>メイン!P79</f>
        <v>0</v>
      </c>
      <c r="V159" s="510">
        <f t="shared" si="40"/>
        <v>0</v>
      </c>
    </row>
    <row r="160" spans="3:22">
      <c r="C160" s="510"/>
      <c r="D160" s="2131" t="s">
        <v>545</v>
      </c>
      <c r="E160" s="2134"/>
      <c r="F160" s="2153"/>
      <c r="G160" s="510">
        <f>メイン!W80</f>
        <v>0</v>
      </c>
      <c r="H160" s="510">
        <f t="shared" si="39"/>
        <v>0</v>
      </c>
      <c r="I160" s="2154">
        <v>2960</v>
      </c>
      <c r="J160" s="2154">
        <v>2960</v>
      </c>
      <c r="K160" s="2154">
        <v>2960</v>
      </c>
      <c r="L160" s="2154">
        <v>2960</v>
      </c>
      <c r="M160" s="2154">
        <v>2960</v>
      </c>
      <c r="N160" s="2155">
        <v>0.5</v>
      </c>
      <c r="O160" s="2155">
        <v>0.38</v>
      </c>
      <c r="P160" s="2155">
        <v>0.12</v>
      </c>
      <c r="Q160" s="2156" t="s">
        <v>1110</v>
      </c>
      <c r="R160" s="2157">
        <f t="shared" si="38"/>
        <v>5.8502459016393435E-2</v>
      </c>
      <c r="S160" s="510"/>
      <c r="U160" s="510">
        <f>メイン!P80</f>
        <v>0</v>
      </c>
      <c r="V160" s="510">
        <f t="shared" si="40"/>
        <v>0</v>
      </c>
    </row>
    <row r="161" spans="3:27">
      <c r="C161" s="510"/>
      <c r="D161" s="2152" t="s">
        <v>1280</v>
      </c>
      <c r="E161" s="2131" t="s">
        <v>1281</v>
      </c>
      <c r="F161" s="2153"/>
      <c r="G161" s="510">
        <f>メイン!W81</f>
        <v>0</v>
      </c>
      <c r="H161" s="510">
        <f t="shared" si="39"/>
        <v>0</v>
      </c>
      <c r="I161" s="2154">
        <v>1030</v>
      </c>
      <c r="J161" s="2154">
        <v>1030</v>
      </c>
      <c r="K161" s="2154">
        <v>1030</v>
      </c>
      <c r="L161" s="2154">
        <v>1450</v>
      </c>
      <c r="M161" s="2154">
        <v>1670</v>
      </c>
      <c r="N161" s="2155">
        <v>0.76</v>
      </c>
      <c r="O161" s="2155">
        <v>0.16</v>
      </c>
      <c r="P161" s="2155">
        <v>0.08</v>
      </c>
      <c r="Q161" s="2156" t="s">
        <v>1110</v>
      </c>
      <c r="R161" s="2157">
        <f t="shared" si="38"/>
        <v>6.1107737704918036E-2</v>
      </c>
      <c r="S161" s="510"/>
      <c r="U161" s="510">
        <f>メイン!P81</f>
        <v>0</v>
      </c>
      <c r="V161" s="510">
        <f t="shared" si="40"/>
        <v>0</v>
      </c>
    </row>
    <row r="162" spans="3:27">
      <c r="C162" s="510"/>
      <c r="D162" s="2159"/>
      <c r="E162" s="2131" t="s">
        <v>1282</v>
      </c>
      <c r="F162" s="2153"/>
      <c r="G162" s="510">
        <f>メイン!W82</f>
        <v>0</v>
      </c>
      <c r="H162" s="510">
        <f t="shared" si="39"/>
        <v>0</v>
      </c>
      <c r="I162" s="2154">
        <v>1120</v>
      </c>
      <c r="J162" s="2154">
        <v>1120</v>
      </c>
      <c r="K162" s="2154">
        <v>1120</v>
      </c>
      <c r="L162" s="2154">
        <v>1580</v>
      </c>
      <c r="M162" s="2154">
        <v>1220</v>
      </c>
      <c r="N162" s="2155">
        <v>0.81</v>
      </c>
      <c r="O162" s="2155">
        <v>0.09</v>
      </c>
      <c r="P162" s="2155">
        <v>9.999999999999995E-2</v>
      </c>
      <c r="Q162" s="2156" t="s">
        <v>1110</v>
      </c>
      <c r="R162" s="2157">
        <f t="shared" si="38"/>
        <v>6.2127983606557372E-2</v>
      </c>
      <c r="S162" s="510"/>
      <c r="U162" s="510">
        <f>メイン!P82</f>
        <v>0</v>
      </c>
      <c r="V162" s="510">
        <f t="shared" si="40"/>
        <v>0</v>
      </c>
    </row>
    <row r="163" spans="3:27">
      <c r="C163" s="510"/>
      <c r="D163" s="2159"/>
      <c r="E163" s="2128" t="s">
        <v>1283</v>
      </c>
      <c r="F163" s="2130"/>
      <c r="G163" s="510">
        <f>メイン!W83</f>
        <v>0</v>
      </c>
      <c r="H163" s="510">
        <f t="shared" si="39"/>
        <v>0</v>
      </c>
      <c r="I163" s="2154">
        <v>1910</v>
      </c>
      <c r="J163" s="2154">
        <v>1910</v>
      </c>
      <c r="K163" s="2154">
        <v>1910</v>
      </c>
      <c r="L163" s="2154">
        <v>1300</v>
      </c>
      <c r="M163" s="2154">
        <v>1130</v>
      </c>
      <c r="N163" s="2155">
        <v>0.92</v>
      </c>
      <c r="O163" s="2155">
        <v>0.06</v>
      </c>
      <c r="P163" s="2155">
        <v>0.02</v>
      </c>
      <c r="Q163" s="2156" t="s">
        <v>1110</v>
      </c>
      <c r="R163" s="2157">
        <f t="shared" si="38"/>
        <v>6.2047524590163931E-2</v>
      </c>
      <c r="S163" s="510"/>
      <c r="U163" s="510">
        <f>メイン!P83</f>
        <v>0</v>
      </c>
      <c r="V163" s="510">
        <f t="shared" si="40"/>
        <v>0</v>
      </c>
    </row>
    <row r="164" spans="3:27">
      <c r="C164" s="510"/>
      <c r="D164" s="2131" t="s">
        <v>555</v>
      </c>
      <c r="E164" s="2134"/>
      <c r="F164" s="2153"/>
      <c r="G164" s="510">
        <f>メイン!W84</f>
        <v>0</v>
      </c>
      <c r="H164" s="510">
        <f t="shared" si="39"/>
        <v>0</v>
      </c>
      <c r="I164" s="2154">
        <v>498</v>
      </c>
      <c r="J164" s="2154">
        <v>498</v>
      </c>
      <c r="K164" s="2154">
        <v>498</v>
      </c>
      <c r="L164" s="2154">
        <v>498</v>
      </c>
      <c r="M164" s="2154">
        <v>498</v>
      </c>
      <c r="N164" s="2155">
        <v>1</v>
      </c>
      <c r="O164" s="2155">
        <v>0</v>
      </c>
      <c r="P164" s="2155">
        <v>0</v>
      </c>
      <c r="Q164" s="2156" t="s">
        <v>1110</v>
      </c>
      <c r="R164" s="2157">
        <f t="shared" si="38"/>
        <v>6.2704918032786883E-2</v>
      </c>
      <c r="S164" s="510"/>
      <c r="U164" s="510">
        <f>メイン!P84</f>
        <v>0</v>
      </c>
      <c r="V164" s="510">
        <f t="shared" si="40"/>
        <v>0</v>
      </c>
    </row>
    <row r="165" spans="3:27">
      <c r="C165" s="510"/>
      <c r="D165" s="2131" t="s">
        <v>549</v>
      </c>
      <c r="E165" s="2134"/>
      <c r="F165" s="2153"/>
      <c r="G165" s="510">
        <f>メイン!W85</f>
        <v>0</v>
      </c>
      <c r="H165" s="510">
        <f t="shared" si="39"/>
        <v>0</v>
      </c>
      <c r="I165" s="2154">
        <v>2210</v>
      </c>
      <c r="J165" s="2154">
        <v>2210</v>
      </c>
      <c r="K165" s="2154">
        <v>2210</v>
      </c>
      <c r="L165" s="2154">
        <v>2450</v>
      </c>
      <c r="M165" s="2154">
        <v>2920</v>
      </c>
      <c r="N165" s="2155">
        <v>0.65</v>
      </c>
      <c r="O165" s="2155">
        <v>0.15</v>
      </c>
      <c r="P165" s="2155">
        <v>0.2</v>
      </c>
      <c r="Q165" s="2156" t="s">
        <v>1110</v>
      </c>
      <c r="R165" s="2157">
        <f>SUMPRODUCT(N165:P165,$N$149:$P$149)</f>
        <v>6.193819672131147E-2</v>
      </c>
      <c r="S165" s="510"/>
      <c r="U165" s="510">
        <f>メイン!P85</f>
        <v>0</v>
      </c>
      <c r="V165" s="510">
        <f t="shared" si="40"/>
        <v>0</v>
      </c>
    </row>
    <row r="166" spans="3:27">
      <c r="C166" s="510"/>
      <c r="D166" s="2131" t="s">
        <v>1284</v>
      </c>
      <c r="E166" s="2134"/>
      <c r="F166" s="2153"/>
      <c r="G166" s="510">
        <f>メイン!W86</f>
        <v>0</v>
      </c>
      <c r="H166" s="510">
        <f>IF(G166=0,0,IF(G166&lt;$I$149,$I166,IF(G166&lt;$J$149,$J166,IF(G166&lt;$K$149,$K166,IF(G166&lt;$L$149,$L166,$M166)))))</f>
        <v>0</v>
      </c>
      <c r="I166" s="2154">
        <v>2440</v>
      </c>
      <c r="J166" s="2154">
        <v>2440</v>
      </c>
      <c r="K166" s="2154">
        <v>2440</v>
      </c>
      <c r="L166" s="2154">
        <v>2740</v>
      </c>
      <c r="M166" s="2154">
        <v>2740</v>
      </c>
      <c r="N166" s="2155">
        <v>0.77</v>
      </c>
      <c r="O166" s="2155">
        <v>0.1</v>
      </c>
      <c r="P166" s="2155">
        <v>0.13</v>
      </c>
      <c r="Q166" s="2156" t="s">
        <v>1110</v>
      </c>
      <c r="R166" s="2157">
        <f t="shared" si="38"/>
        <v>6.21742868852459E-2</v>
      </c>
      <c r="S166" s="510"/>
      <c r="U166" s="510">
        <f>メイン!P86</f>
        <v>0</v>
      </c>
      <c r="V166" s="510">
        <f t="shared" si="40"/>
        <v>0</v>
      </c>
    </row>
    <row r="167" spans="3:27">
      <c r="C167" s="510"/>
      <c r="D167" s="2137"/>
      <c r="E167" s="2146"/>
      <c r="F167" s="2147"/>
      <c r="G167" s="510">
        <f>メイン!W87</f>
        <v>0</v>
      </c>
      <c r="H167" s="510">
        <f t="shared" si="39"/>
        <v>0</v>
      </c>
      <c r="I167" s="2154"/>
      <c r="J167" s="2154"/>
      <c r="K167" s="2154"/>
      <c r="L167" s="2154"/>
      <c r="M167" s="2154"/>
      <c r="N167" s="2141">
        <f>I96</f>
        <v>6.2704918032786883E-2</v>
      </c>
      <c r="O167" s="2142">
        <f>I97</f>
        <v>4.9799999999999997E-2</v>
      </c>
      <c r="P167" s="2142">
        <f>I99</f>
        <v>6.7799999999999999E-2</v>
      </c>
      <c r="Q167" s="2143">
        <f>I102</f>
        <v>5.8999999999999997E-2</v>
      </c>
      <c r="R167" s="521"/>
      <c r="S167" s="510"/>
      <c r="U167" s="510">
        <f>メイン!P87</f>
        <v>0</v>
      </c>
      <c r="V167" s="510">
        <f t="shared" si="40"/>
        <v>0</v>
      </c>
    </row>
    <row r="168" spans="3:27">
      <c r="C168" s="510"/>
      <c r="D168" s="2144" t="s">
        <v>858</v>
      </c>
      <c r="E168" s="2160" t="s">
        <v>1285</v>
      </c>
      <c r="F168" s="2161"/>
      <c r="G168" s="510">
        <f>メイン!W88</f>
        <v>0</v>
      </c>
      <c r="H168" s="510" t="str">
        <f>IF(G168&gt;=$I$149,I168,IF(G168&gt;=$J$149,J168,IF(G168&gt;=$K$149,K168,IF(G168&gt;=$L$149,L168,IF(G168&gt;=$M$149,M168,0)))))</f>
        <v>-</v>
      </c>
      <c r="I168" s="2162" t="s">
        <v>1110</v>
      </c>
      <c r="J168" s="2162" t="s">
        <v>1110</v>
      </c>
      <c r="K168" s="2162" t="s">
        <v>1110</v>
      </c>
      <c r="L168" s="2162" t="s">
        <v>1110</v>
      </c>
      <c r="M168" s="2162" t="s">
        <v>1110</v>
      </c>
      <c r="N168" s="2155">
        <v>0.51</v>
      </c>
      <c r="O168" s="2155">
        <v>0.21</v>
      </c>
      <c r="P168" s="2155">
        <v>0.18</v>
      </c>
      <c r="Q168" s="2155">
        <v>0.1</v>
      </c>
      <c r="R168" s="2157">
        <f>SUMPRODUCT(N168:Q168,$N$167:$Q$167)</f>
        <v>6.0541508196721307E-2</v>
      </c>
      <c r="S168" s="510"/>
      <c r="U168" s="510">
        <f>メイン!P88</f>
        <v>0</v>
      </c>
      <c r="V168" s="510">
        <f t="shared" si="40"/>
        <v>0</v>
      </c>
    </row>
    <row r="169" spans="3:27">
      <c r="C169" s="510"/>
      <c r="D169" s="2163"/>
      <c r="E169" s="2164" t="s">
        <v>1286</v>
      </c>
      <c r="F169" s="2165"/>
      <c r="G169" s="510">
        <f>メイン!W89</f>
        <v>0</v>
      </c>
      <c r="H169" s="510" t="str">
        <f>IF(G169&gt;=$I$149,I169,IF(G169&gt;=$J$149,J169,IF(G169&gt;=$K$149,K169,IF(G169&gt;=$L$149,L169,IF(G169&gt;=$M$149,M169,0)))))</f>
        <v>-</v>
      </c>
      <c r="I169" s="2162" t="s">
        <v>1110</v>
      </c>
      <c r="J169" s="2162" t="s">
        <v>1110</v>
      </c>
      <c r="K169" s="2162" t="s">
        <v>1110</v>
      </c>
      <c r="L169" s="2162" t="s">
        <v>1110</v>
      </c>
      <c r="M169" s="2162" t="s">
        <v>1110</v>
      </c>
      <c r="N169" s="2155">
        <v>1</v>
      </c>
      <c r="O169" s="2155">
        <v>0</v>
      </c>
      <c r="P169" s="2155">
        <v>0</v>
      </c>
      <c r="Q169" s="2156" t="s">
        <v>1110</v>
      </c>
      <c r="R169" s="2157">
        <f>SUMPRODUCT(N169:Q169,$N$149:$Q$149)</f>
        <v>6.2704918032786883E-2</v>
      </c>
      <c r="S169" s="510"/>
      <c r="U169" s="510">
        <f>メイン!P89</f>
        <v>0</v>
      </c>
      <c r="V169" s="510">
        <f t="shared" si="40"/>
        <v>0</v>
      </c>
    </row>
    <row r="170" spans="3:27">
      <c r="C170" s="510"/>
      <c r="D170" s="2166" t="s">
        <v>1260</v>
      </c>
      <c r="E170" s="2167"/>
      <c r="F170" s="2165"/>
      <c r="G170" s="510"/>
      <c r="H170" s="510"/>
      <c r="I170" s="2162" t="s">
        <v>1110</v>
      </c>
      <c r="J170" s="2162" t="s">
        <v>1110</v>
      </c>
      <c r="K170" s="2162" t="s">
        <v>1110</v>
      </c>
      <c r="L170" s="2162" t="s">
        <v>1110</v>
      </c>
      <c r="M170" s="2162" t="s">
        <v>1110</v>
      </c>
      <c r="N170" s="2155">
        <f>境界値!H11</f>
        <v>0</v>
      </c>
      <c r="O170" s="2155">
        <f>境界値!I11</f>
        <v>0</v>
      </c>
      <c r="P170" s="2155">
        <f>境界値!J11</f>
        <v>0</v>
      </c>
      <c r="Q170" s="2156" t="s">
        <v>1110</v>
      </c>
      <c r="R170" s="2157">
        <f>SUMPRODUCT(N170:Q170,$N$149:$Q$149)</f>
        <v>0</v>
      </c>
      <c r="S170" s="510"/>
    </row>
    <row r="171" spans="3:27">
      <c r="C171" s="510"/>
      <c r="D171" s="511" t="s">
        <v>1287</v>
      </c>
      <c r="E171" s="2168" t="s">
        <v>1288</v>
      </c>
      <c r="F171" s="510"/>
      <c r="G171" s="510"/>
      <c r="H171" s="510"/>
      <c r="I171" s="510"/>
      <c r="J171" s="510"/>
      <c r="K171" s="510"/>
      <c r="L171" s="510"/>
      <c r="M171" s="510"/>
      <c r="N171" s="510"/>
      <c r="O171" s="510"/>
      <c r="P171" s="2168" t="s">
        <v>1289</v>
      </c>
      <c r="Q171" s="510"/>
      <c r="R171" s="510"/>
      <c r="S171" s="510"/>
    </row>
    <row r="172" spans="3:27">
      <c r="C172" s="510"/>
      <c r="D172" s="510"/>
      <c r="E172" s="2168" t="s">
        <v>1290</v>
      </c>
      <c r="F172" s="510"/>
      <c r="G172" s="510"/>
      <c r="H172" s="510"/>
      <c r="I172" s="510"/>
      <c r="J172" s="510"/>
      <c r="K172" s="510"/>
      <c r="L172" s="510"/>
      <c r="M172" s="510"/>
      <c r="N172" s="510"/>
      <c r="O172" s="510"/>
      <c r="P172" s="2168"/>
      <c r="Q172" s="510"/>
      <c r="R172" s="510"/>
      <c r="S172" s="510"/>
    </row>
    <row r="173" spans="3:27">
      <c r="C173" s="510"/>
      <c r="D173" s="510"/>
      <c r="E173" s="2168" t="s">
        <v>1291</v>
      </c>
      <c r="F173" s="510"/>
      <c r="G173" s="510"/>
      <c r="H173" s="510"/>
      <c r="I173" s="510"/>
      <c r="J173" s="510"/>
      <c r="K173" s="510"/>
      <c r="L173" s="510"/>
      <c r="M173" s="510"/>
      <c r="N173" s="510"/>
      <c r="O173" s="510"/>
      <c r="P173" s="2168"/>
      <c r="Q173" s="510"/>
      <c r="R173" s="510"/>
      <c r="S173" s="510"/>
    </row>
    <row r="174" spans="3:27">
      <c r="C174" s="510"/>
      <c r="D174" s="510"/>
      <c r="E174" s="510"/>
      <c r="F174" s="510"/>
      <c r="G174" s="510"/>
      <c r="H174" s="510"/>
      <c r="I174" s="510"/>
      <c r="J174" s="510"/>
      <c r="K174" s="510"/>
      <c r="L174" s="510"/>
      <c r="M174" s="510"/>
      <c r="N174" s="510"/>
      <c r="O174" s="510"/>
      <c r="P174" s="510"/>
      <c r="Q174" s="510"/>
      <c r="R174" s="510"/>
      <c r="S174" s="510"/>
    </row>
    <row r="175" spans="3:27">
      <c r="C175" s="510"/>
      <c r="D175" s="518" t="s">
        <v>1292</v>
      </c>
      <c r="E175" s="510"/>
      <c r="F175" s="510"/>
      <c r="G175" s="510"/>
      <c r="H175" s="510"/>
      <c r="I175" s="510"/>
      <c r="J175" s="510"/>
      <c r="K175" s="510"/>
      <c r="L175" s="510"/>
      <c r="M175" s="510"/>
      <c r="O175" s="510"/>
      <c r="P175" s="510"/>
      <c r="Q175" s="511" t="s">
        <v>1293</v>
      </c>
      <c r="R175" s="510"/>
      <c r="S175" s="510"/>
    </row>
    <row r="176" spans="3:27">
      <c r="C176" s="510"/>
      <c r="D176" s="2166" t="s">
        <v>1294</v>
      </c>
      <c r="E176" s="2169"/>
      <c r="F176" s="2136" t="s">
        <v>1295</v>
      </c>
      <c r="G176" s="510"/>
      <c r="H176" s="510"/>
      <c r="I176" s="521" t="s">
        <v>1260</v>
      </c>
      <c r="J176" s="2166" t="s">
        <v>1296</v>
      </c>
      <c r="K176" s="2169"/>
      <c r="L176" s="2169"/>
      <c r="M176" s="2169"/>
      <c r="N176" s="2169"/>
      <c r="O176" s="2169"/>
      <c r="P176" s="2170" t="s">
        <v>881</v>
      </c>
      <c r="Q176" s="2135"/>
      <c r="R176" s="510"/>
      <c r="T176" s="2171" t="s">
        <v>1297</v>
      </c>
      <c r="U176" s="2172"/>
      <c r="V176" s="2172"/>
      <c r="W176" s="2172"/>
      <c r="X176" s="2172"/>
      <c r="Y176" s="2172"/>
      <c r="Z176" s="2172"/>
      <c r="AA176" s="2172"/>
    </row>
    <row r="177" spans="3:27">
      <c r="C177" s="510"/>
      <c r="D177" s="521" t="s">
        <v>1298</v>
      </c>
      <c r="E177" s="521" t="s">
        <v>1299</v>
      </c>
      <c r="F177" s="2144" t="s">
        <v>1300</v>
      </c>
      <c r="G177" s="510"/>
      <c r="H177" s="510">
        <v>1</v>
      </c>
      <c r="I177" s="2136" t="e">
        <f>メイン!P16</f>
        <v>#N/A</v>
      </c>
      <c r="J177" s="521">
        <v>1</v>
      </c>
      <c r="K177" s="521">
        <v>2</v>
      </c>
      <c r="L177" s="521">
        <v>3</v>
      </c>
      <c r="M177" s="521">
        <v>4</v>
      </c>
      <c r="N177" s="521">
        <v>5</v>
      </c>
      <c r="O177" s="521">
        <v>6</v>
      </c>
      <c r="P177" s="521">
        <v>7</v>
      </c>
      <c r="Q177" s="521">
        <v>8</v>
      </c>
      <c r="R177" s="510"/>
      <c r="T177" s="2173">
        <v>1</v>
      </c>
      <c r="U177" s="2173">
        <v>2</v>
      </c>
      <c r="V177" s="2173">
        <v>3</v>
      </c>
      <c r="W177" s="2173">
        <v>4</v>
      </c>
      <c r="X177" s="2173">
        <v>5</v>
      </c>
      <c r="Y177" s="2173">
        <v>6</v>
      </c>
      <c r="Z177" s="2173">
        <v>7</v>
      </c>
      <c r="AA177" s="2173">
        <v>8</v>
      </c>
    </row>
    <row r="178" spans="3:27">
      <c r="C178" s="510"/>
      <c r="D178" s="2144"/>
      <c r="E178" s="1435"/>
      <c r="F178" s="521" t="s">
        <v>185</v>
      </c>
      <c r="G178" s="521" t="s">
        <v>1301</v>
      </c>
      <c r="H178" s="521">
        <v>2</v>
      </c>
      <c r="I178" s="2174" t="e">
        <f>HLOOKUP($I$177,$J$177:$Q$195,H178)</f>
        <v>#N/A</v>
      </c>
      <c r="J178" s="2174">
        <v>1484</v>
      </c>
      <c r="K178" s="2174">
        <v>1298</v>
      </c>
      <c r="L178" s="2174">
        <v>1189</v>
      </c>
      <c r="M178" s="2174">
        <v>1246</v>
      </c>
      <c r="N178" s="2174">
        <v>1163</v>
      </c>
      <c r="O178" s="2174">
        <v>1100</v>
      </c>
      <c r="P178" s="2174">
        <v>976</v>
      </c>
      <c r="Q178" s="2174">
        <v>888</v>
      </c>
      <c r="R178" s="510"/>
      <c r="T178" s="2175">
        <f t="shared" ref="T178:AA178" si="41">MAX(J178:J195)</f>
        <v>1721</v>
      </c>
      <c r="U178" s="2175">
        <f t="shared" si="41"/>
        <v>1502</v>
      </c>
      <c r="V178" s="2175">
        <f t="shared" si="41"/>
        <v>1413</v>
      </c>
      <c r="W178" s="2175">
        <f t="shared" si="41"/>
        <v>1464</v>
      </c>
      <c r="X178" s="2175">
        <f t="shared" si="41"/>
        <v>1374</v>
      </c>
      <c r="Y178" s="2175">
        <f t="shared" si="41"/>
        <v>1343</v>
      </c>
      <c r="Z178" s="2175">
        <f t="shared" si="41"/>
        <v>1164</v>
      </c>
      <c r="AA178" s="2175">
        <f t="shared" si="41"/>
        <v>1017</v>
      </c>
    </row>
    <row r="179" spans="3:27">
      <c r="C179" s="510"/>
      <c r="D179" s="2144" t="s">
        <v>1302</v>
      </c>
      <c r="E179" s="510" t="s">
        <v>1303</v>
      </c>
      <c r="F179" s="521" t="s">
        <v>1304</v>
      </c>
      <c r="G179" s="521" t="s">
        <v>1305</v>
      </c>
      <c r="H179" s="521">
        <v>3</v>
      </c>
      <c r="I179" s="2174" t="e">
        <f t="shared" ref="I179:I194" si="42">HLOOKUP($I$177,$J$177:$Q$195,H179)</f>
        <v>#N/A</v>
      </c>
      <c r="J179" s="2174">
        <v>1721</v>
      </c>
      <c r="K179" s="2174">
        <v>1502</v>
      </c>
      <c r="L179" s="2174">
        <v>1373</v>
      </c>
      <c r="M179" s="2174">
        <v>1440</v>
      </c>
      <c r="N179" s="2174">
        <v>1343</v>
      </c>
      <c r="O179" s="2174">
        <v>1268</v>
      </c>
      <c r="P179" s="2174">
        <v>1121</v>
      </c>
      <c r="Q179" s="2174">
        <v>1017</v>
      </c>
      <c r="R179" s="510"/>
      <c r="T179" s="2176">
        <f>J178</f>
        <v>1484</v>
      </c>
      <c r="U179" s="2176">
        <f>K178</f>
        <v>1298</v>
      </c>
      <c r="V179" s="2176">
        <f>L184</f>
        <v>1223</v>
      </c>
      <c r="W179" s="2176">
        <f>M184</f>
        <v>1266</v>
      </c>
      <c r="X179" s="2176">
        <f>N184</f>
        <v>1190</v>
      </c>
      <c r="Y179" s="2176">
        <f>O184</f>
        <v>1163</v>
      </c>
      <c r="Z179" s="2176">
        <f>P184</f>
        <v>1012</v>
      </c>
      <c r="AA179" s="2176">
        <f>Q178</f>
        <v>888</v>
      </c>
    </row>
    <row r="180" spans="3:27" hidden="1">
      <c r="C180" s="510"/>
      <c r="D180" s="2144"/>
      <c r="E180" s="510"/>
      <c r="F180" s="521" t="s">
        <v>1306</v>
      </c>
      <c r="G180" s="521" t="s">
        <v>1307</v>
      </c>
      <c r="H180" s="510">
        <v>4</v>
      </c>
      <c r="I180" s="2174" t="e">
        <f t="shared" si="42"/>
        <v>#N/A</v>
      </c>
      <c r="J180" s="2174">
        <v>1365</v>
      </c>
      <c r="K180" s="2174">
        <v>1196</v>
      </c>
      <c r="L180" s="2174">
        <v>1097</v>
      </c>
      <c r="M180" s="2174">
        <v>1149</v>
      </c>
      <c r="N180" s="2174">
        <v>1074</v>
      </c>
      <c r="O180" s="2174">
        <v>1016</v>
      </c>
      <c r="P180" s="2174">
        <v>903</v>
      </c>
      <c r="Q180" s="2174">
        <v>823</v>
      </c>
      <c r="R180" s="510"/>
      <c r="S180" s="510"/>
    </row>
    <row r="181" spans="3:27">
      <c r="C181" s="510"/>
      <c r="D181" s="2177"/>
      <c r="E181" s="2136"/>
      <c r="F181" s="2135" t="s">
        <v>185</v>
      </c>
      <c r="G181" s="521" t="s">
        <v>1308</v>
      </c>
      <c r="H181" s="521">
        <v>5</v>
      </c>
      <c r="I181" s="2174" t="e">
        <f t="shared" si="42"/>
        <v>#N/A</v>
      </c>
      <c r="J181" s="2174">
        <v>1466</v>
      </c>
      <c r="K181" s="2174">
        <v>1282</v>
      </c>
      <c r="L181" s="2174">
        <v>1155</v>
      </c>
      <c r="M181" s="2174">
        <v>1179</v>
      </c>
      <c r="N181" s="2174">
        <v>1092</v>
      </c>
      <c r="O181" s="2174">
        <v>926</v>
      </c>
      <c r="P181" s="2174">
        <v>752</v>
      </c>
      <c r="Q181" s="2174">
        <v>556</v>
      </c>
      <c r="R181" s="510"/>
      <c r="S181" s="510"/>
    </row>
    <row r="182" spans="3:27">
      <c r="C182" s="510"/>
      <c r="D182" s="2178" t="s">
        <v>1302</v>
      </c>
      <c r="E182" s="2144" t="s">
        <v>1309</v>
      </c>
      <c r="F182" s="2135" t="s">
        <v>1304</v>
      </c>
      <c r="G182" s="521" t="s">
        <v>1310</v>
      </c>
      <c r="H182" s="521">
        <v>6</v>
      </c>
      <c r="I182" s="2174" t="e">
        <f t="shared" si="42"/>
        <v>#N/A</v>
      </c>
      <c r="J182" s="2174">
        <v>1700</v>
      </c>
      <c r="K182" s="2174">
        <v>1483</v>
      </c>
      <c r="L182" s="2174">
        <v>1333</v>
      </c>
      <c r="M182" s="2174">
        <v>1361</v>
      </c>
      <c r="N182" s="2174">
        <v>1258</v>
      </c>
      <c r="O182" s="2174">
        <v>1063</v>
      </c>
      <c r="P182" s="2174">
        <v>857</v>
      </c>
      <c r="Q182" s="2174">
        <v>625</v>
      </c>
      <c r="R182" s="510"/>
      <c r="S182" s="510"/>
    </row>
    <row r="183" spans="3:27">
      <c r="C183" s="510"/>
      <c r="D183" s="2179"/>
      <c r="E183" s="2163"/>
      <c r="F183" s="2135" t="s">
        <v>1306</v>
      </c>
      <c r="G183" s="521" t="s">
        <v>1311</v>
      </c>
      <c r="H183" s="510">
        <v>7</v>
      </c>
      <c r="I183" s="2174" t="e">
        <f t="shared" si="42"/>
        <v>#N/A</v>
      </c>
      <c r="J183" s="2174">
        <v>1348</v>
      </c>
      <c r="K183" s="2174">
        <v>1182</v>
      </c>
      <c r="L183" s="2174">
        <v>1066</v>
      </c>
      <c r="M183" s="2174">
        <v>1088</v>
      </c>
      <c r="N183" s="2174">
        <v>1009</v>
      </c>
      <c r="O183" s="2174">
        <v>858</v>
      </c>
      <c r="P183" s="2174">
        <v>700</v>
      </c>
      <c r="Q183" s="2174">
        <v>521</v>
      </c>
      <c r="R183" s="510"/>
      <c r="S183" s="510"/>
    </row>
    <row r="184" spans="3:27">
      <c r="C184" s="510"/>
      <c r="D184" s="2136"/>
      <c r="E184" s="2136"/>
      <c r="F184" s="521" t="s">
        <v>185</v>
      </c>
      <c r="G184" s="521" t="s">
        <v>1312</v>
      </c>
      <c r="H184" s="521">
        <v>8</v>
      </c>
      <c r="I184" s="2174" t="e">
        <f t="shared" si="42"/>
        <v>#N/A</v>
      </c>
      <c r="J184" s="2174">
        <v>1374</v>
      </c>
      <c r="K184" s="2174">
        <v>1287</v>
      </c>
      <c r="L184" s="2174">
        <v>1223</v>
      </c>
      <c r="M184" s="2174">
        <v>1266</v>
      </c>
      <c r="N184" s="2174">
        <v>1190</v>
      </c>
      <c r="O184" s="2174">
        <v>1163</v>
      </c>
      <c r="P184" s="2174">
        <v>1012</v>
      </c>
      <c r="Q184" s="2174">
        <v>888</v>
      </c>
      <c r="R184" s="510"/>
      <c r="S184" s="510"/>
    </row>
    <row r="185" spans="3:27">
      <c r="C185" s="510"/>
      <c r="D185" s="2144" t="s">
        <v>1313</v>
      </c>
      <c r="E185" s="2144" t="s">
        <v>1303</v>
      </c>
      <c r="F185" s="521" t="s">
        <v>1304</v>
      </c>
      <c r="G185" s="521" t="s">
        <v>1314</v>
      </c>
      <c r="H185" s="521">
        <v>9</v>
      </c>
      <c r="I185" s="2174" t="e">
        <f t="shared" si="42"/>
        <v>#N/A</v>
      </c>
      <c r="J185" s="2174">
        <v>1592</v>
      </c>
      <c r="K185" s="2174">
        <v>1489</v>
      </c>
      <c r="L185" s="2174">
        <v>1413</v>
      </c>
      <c r="M185" s="2174">
        <v>1464</v>
      </c>
      <c r="N185" s="2174">
        <v>1374</v>
      </c>
      <c r="O185" s="2174">
        <v>1343</v>
      </c>
      <c r="P185" s="2174">
        <v>1164</v>
      </c>
      <c r="Q185" s="2174">
        <v>1017</v>
      </c>
      <c r="R185" s="510"/>
      <c r="S185" s="510"/>
    </row>
    <row r="186" spans="3:27">
      <c r="C186" s="510"/>
      <c r="D186" s="2144"/>
      <c r="E186" s="2144"/>
      <c r="F186" s="521" t="s">
        <v>1306</v>
      </c>
      <c r="G186" s="521" t="s">
        <v>1315</v>
      </c>
      <c r="H186" s="510">
        <v>10</v>
      </c>
      <c r="I186" s="2174" t="e">
        <f t="shared" si="42"/>
        <v>#N/A</v>
      </c>
      <c r="J186" s="2174">
        <v>1265</v>
      </c>
      <c r="K186" s="2174">
        <v>1186</v>
      </c>
      <c r="L186" s="2174">
        <v>1128</v>
      </c>
      <c r="M186" s="2174">
        <v>1167</v>
      </c>
      <c r="N186" s="2174">
        <v>1098</v>
      </c>
      <c r="O186" s="2174">
        <v>1074</v>
      </c>
      <c r="P186" s="2174">
        <v>936</v>
      </c>
      <c r="Q186" s="2174">
        <v>823</v>
      </c>
      <c r="R186" s="510"/>
      <c r="S186" s="510"/>
    </row>
    <row r="187" spans="3:27">
      <c r="C187" s="510"/>
      <c r="D187" s="2177"/>
      <c r="E187" s="2136"/>
      <c r="F187" s="2135" t="s">
        <v>185</v>
      </c>
      <c r="G187" s="521" t="s">
        <v>1316</v>
      </c>
      <c r="H187" s="521">
        <v>11</v>
      </c>
      <c r="I187" s="2174" t="e">
        <f t="shared" si="42"/>
        <v>#N/A</v>
      </c>
      <c r="J187" s="2174">
        <v>1356</v>
      </c>
      <c r="K187" s="2174">
        <v>1271</v>
      </c>
      <c r="L187" s="2174">
        <v>1189</v>
      </c>
      <c r="M187" s="2174">
        <v>1199</v>
      </c>
      <c r="N187" s="2174">
        <v>1119</v>
      </c>
      <c r="O187" s="2174">
        <v>990</v>
      </c>
      <c r="P187" s="2174">
        <v>789</v>
      </c>
      <c r="Q187" s="2174">
        <v>556</v>
      </c>
      <c r="R187" s="510"/>
      <c r="S187" s="510"/>
    </row>
    <row r="188" spans="3:27">
      <c r="C188" s="510"/>
      <c r="D188" s="2178" t="s">
        <v>1313</v>
      </c>
      <c r="E188" s="2144" t="s">
        <v>1309</v>
      </c>
      <c r="F188" s="2135" t="s">
        <v>1304</v>
      </c>
      <c r="G188" s="521" t="s">
        <v>1317</v>
      </c>
      <c r="H188" s="521">
        <v>12</v>
      </c>
      <c r="I188" s="2174" t="e">
        <f t="shared" si="42"/>
        <v>#N/A</v>
      </c>
      <c r="J188" s="2174">
        <v>1571</v>
      </c>
      <c r="K188" s="2174">
        <v>1470</v>
      </c>
      <c r="L188" s="2174">
        <v>1373</v>
      </c>
      <c r="M188" s="2174">
        <v>1385</v>
      </c>
      <c r="N188" s="2174">
        <v>1290</v>
      </c>
      <c r="O188" s="2174">
        <v>1137</v>
      </c>
      <c r="P188" s="2174">
        <v>900</v>
      </c>
      <c r="Q188" s="2174">
        <v>625</v>
      </c>
      <c r="R188" s="510"/>
      <c r="S188" s="510"/>
    </row>
    <row r="189" spans="3:27">
      <c r="C189" s="510"/>
      <c r="D189" s="2179"/>
      <c r="E189" s="2163"/>
      <c r="F189" s="2135" t="s">
        <v>1306</v>
      </c>
      <c r="G189" s="521" t="s">
        <v>1318</v>
      </c>
      <c r="H189" s="510">
        <v>13</v>
      </c>
      <c r="I189" s="2174" t="e">
        <f t="shared" si="42"/>
        <v>#N/A</v>
      </c>
      <c r="J189" s="2174">
        <v>1249</v>
      </c>
      <c r="K189" s="2174">
        <v>1172</v>
      </c>
      <c r="L189" s="2174">
        <v>1097</v>
      </c>
      <c r="M189" s="2174">
        <v>1106</v>
      </c>
      <c r="N189" s="2174">
        <v>1033</v>
      </c>
      <c r="O189" s="2174">
        <v>916</v>
      </c>
      <c r="P189" s="2174">
        <v>733</v>
      </c>
      <c r="Q189" s="2174">
        <v>521</v>
      </c>
      <c r="R189" s="510"/>
      <c r="S189" s="510"/>
    </row>
    <row r="190" spans="3:27">
      <c r="C190" s="510"/>
      <c r="D190" s="2136"/>
      <c r="E190" s="2180"/>
      <c r="F190" s="521" t="s">
        <v>185</v>
      </c>
      <c r="G190" s="521" t="s">
        <v>1319</v>
      </c>
      <c r="H190" s="521">
        <v>14</v>
      </c>
      <c r="I190" s="2174" t="e">
        <f t="shared" si="42"/>
        <v>#N/A</v>
      </c>
      <c r="J190" s="2174">
        <v>1024</v>
      </c>
      <c r="K190" s="2174">
        <v>966</v>
      </c>
      <c r="L190" s="2174">
        <v>916</v>
      </c>
      <c r="M190" s="2174">
        <v>941</v>
      </c>
      <c r="N190" s="2174">
        <v>856</v>
      </c>
      <c r="O190" s="2174">
        <v>901</v>
      </c>
      <c r="P190" s="2174">
        <v>869</v>
      </c>
      <c r="Q190" s="2174">
        <v>888</v>
      </c>
      <c r="R190" s="510"/>
      <c r="S190" s="510"/>
    </row>
    <row r="191" spans="3:27">
      <c r="C191" s="510"/>
      <c r="D191" s="2144" t="s">
        <v>1320</v>
      </c>
      <c r="E191" s="2181" t="s">
        <v>1303</v>
      </c>
      <c r="F191" s="521" t="s">
        <v>1304</v>
      </c>
      <c r="G191" s="521" t="s">
        <v>1321</v>
      </c>
      <c r="H191" s="521">
        <v>15</v>
      </c>
      <c r="I191" s="2174" t="e">
        <f t="shared" si="42"/>
        <v>#N/A</v>
      </c>
      <c r="J191" s="2174">
        <v>1178</v>
      </c>
      <c r="K191" s="2174">
        <v>1110</v>
      </c>
      <c r="L191" s="2174">
        <v>1050</v>
      </c>
      <c r="M191" s="2174">
        <v>1080</v>
      </c>
      <c r="N191" s="2174">
        <v>97</v>
      </c>
      <c r="O191" s="2174">
        <v>1033</v>
      </c>
      <c r="P191" s="2174">
        <v>995</v>
      </c>
      <c r="Q191" s="2174">
        <v>1017</v>
      </c>
      <c r="R191" s="510"/>
      <c r="S191" s="510"/>
    </row>
    <row r="192" spans="3:27">
      <c r="C192" s="510"/>
      <c r="D192" s="2144"/>
      <c r="E192" s="2181"/>
      <c r="F192" s="521" t="s">
        <v>1306</v>
      </c>
      <c r="G192" s="521" t="s">
        <v>1322</v>
      </c>
      <c r="H192" s="510">
        <v>16</v>
      </c>
      <c r="I192" s="2174" t="e">
        <f t="shared" si="42"/>
        <v>#N/A</v>
      </c>
      <c r="J192" s="2174">
        <v>947</v>
      </c>
      <c r="K192" s="2174">
        <v>894</v>
      </c>
      <c r="L192" s="2174">
        <v>849</v>
      </c>
      <c r="M192" s="2174">
        <v>871</v>
      </c>
      <c r="N192" s="2174">
        <v>794</v>
      </c>
      <c r="O192" s="2174">
        <v>835</v>
      </c>
      <c r="P192" s="2174">
        <v>806</v>
      </c>
      <c r="Q192" s="2174">
        <v>823</v>
      </c>
      <c r="R192" s="510"/>
      <c r="S192" s="510"/>
    </row>
    <row r="193" spans="3:25">
      <c r="C193" s="510"/>
      <c r="D193" s="2177"/>
      <c r="E193" s="2136"/>
      <c r="F193" s="2135" t="s">
        <v>185</v>
      </c>
      <c r="G193" s="521" t="s">
        <v>1323</v>
      </c>
      <c r="H193" s="521">
        <v>17</v>
      </c>
      <c r="I193" s="2174" t="e">
        <f t="shared" si="42"/>
        <v>#N/A</v>
      </c>
      <c r="J193" s="2174">
        <v>1006</v>
      </c>
      <c r="K193" s="2174">
        <v>950</v>
      </c>
      <c r="L193" s="2174">
        <v>882</v>
      </c>
      <c r="M193" s="2174">
        <v>874</v>
      </c>
      <c r="N193" s="2174">
        <v>784</v>
      </c>
      <c r="O193" s="2174">
        <v>727</v>
      </c>
      <c r="P193" s="2174">
        <v>646</v>
      </c>
      <c r="Q193" s="2174">
        <v>556</v>
      </c>
      <c r="R193" s="510"/>
      <c r="S193" s="510"/>
    </row>
    <row r="194" spans="3:25">
      <c r="C194" s="510"/>
      <c r="D194" s="2178" t="s">
        <v>1320</v>
      </c>
      <c r="E194" s="2144" t="s">
        <v>1309</v>
      </c>
      <c r="F194" s="2135" t="s">
        <v>1304</v>
      </c>
      <c r="G194" s="521" t="s">
        <v>1324</v>
      </c>
      <c r="H194" s="521">
        <v>18</v>
      </c>
      <c r="I194" s="2174" t="e">
        <f t="shared" si="42"/>
        <v>#N/A</v>
      </c>
      <c r="J194" s="2174">
        <v>1157</v>
      </c>
      <c r="K194" s="2174">
        <v>1091</v>
      </c>
      <c r="L194" s="2174">
        <v>1010</v>
      </c>
      <c r="M194" s="2174">
        <v>1001</v>
      </c>
      <c r="N194" s="2174">
        <v>895</v>
      </c>
      <c r="O194" s="2174">
        <v>828</v>
      </c>
      <c r="P194" s="2174">
        <v>731</v>
      </c>
      <c r="Q194" s="2174">
        <v>625</v>
      </c>
      <c r="R194" s="510"/>
      <c r="S194" s="510"/>
    </row>
    <row r="195" spans="3:25">
      <c r="C195" s="510"/>
      <c r="D195" s="2179"/>
      <c r="E195" s="2163"/>
      <c r="F195" s="2135" t="s">
        <v>1306</v>
      </c>
      <c r="G195" s="521" t="s">
        <v>1325</v>
      </c>
      <c r="H195" s="521">
        <v>19</v>
      </c>
      <c r="I195" s="2174" t="e">
        <f>HLOOKUP($I$177,$J$177:$Q$195,H195)</f>
        <v>#N/A</v>
      </c>
      <c r="J195" s="2174">
        <v>931</v>
      </c>
      <c r="K195" s="2174">
        <v>880</v>
      </c>
      <c r="L195" s="2174">
        <v>818</v>
      </c>
      <c r="M195" s="2174">
        <v>811</v>
      </c>
      <c r="N195" s="2174">
        <v>729</v>
      </c>
      <c r="O195" s="2174">
        <v>677</v>
      </c>
      <c r="P195" s="2174">
        <v>603</v>
      </c>
      <c r="Q195" s="2174">
        <v>521</v>
      </c>
      <c r="R195" s="510"/>
      <c r="S195" s="510"/>
    </row>
    <row r="196" spans="3:25" hidden="1">
      <c r="C196" s="510" t="s">
        <v>1784</v>
      </c>
      <c r="D196" s="2182" t="str">
        <f>計画書_後!F65</f>
        <v>－</v>
      </c>
      <c r="E196" s="2182" t="str">
        <f>計画書_後!K65</f>
        <v>－</v>
      </c>
      <c r="F196" s="510" t="str">
        <f>計画書_後!N61</f>
        <v>算定プログラムによる評価</v>
      </c>
      <c r="G196" s="2183" t="str">
        <f>IFERROR(D196&amp;E196&amp;計画書_後!N61,"-")</f>
        <v>－－算定プログラムによる評価</v>
      </c>
      <c r="H196" s="2183" t="str">
        <f>IFERROR(VLOOKUP(G196,G178:H195,2,0),"-")</f>
        <v>-</v>
      </c>
      <c r="I196" s="2184" t="e">
        <f>IF(H196="-",HLOOKUP($I$177,$T$177:$AA$179,2,FALSE),VLOOKUP(H196,$H$178:$I$195,2))</f>
        <v>#N/A</v>
      </c>
      <c r="J196" t="s">
        <v>1783</v>
      </c>
      <c r="K196" s="2182" t="str">
        <f>計画書_前!F65</f>
        <v>－</v>
      </c>
      <c r="L196" s="2182" t="str">
        <f>計画書_前!K65</f>
        <v>－</v>
      </c>
      <c r="M196" s="510" t="str">
        <f>計画書_前!N61</f>
        <v>算定プログラムによる評価</v>
      </c>
      <c r="N196" s="2183" t="str">
        <f>IFERROR(K196&amp;L196&amp;計画書_前!N61,"-")</f>
        <v>－－算定プログラムによる評価</v>
      </c>
      <c r="O196" s="2183" t="str">
        <f>IFERROR(VLOOKUP(N196,G178:H195,2,0),"-")</f>
        <v>-</v>
      </c>
      <c r="P196" s="2184" t="e">
        <f>IF(O196="-",HLOOKUP($I$177,$T$177:$AA$179,2,FALSE),VLOOKUP(O196,$H$178:$I$195,2))</f>
        <v>#N/A</v>
      </c>
      <c r="S196" s="510" t="s">
        <v>1782</v>
      </c>
      <c r="T196" s="2182" t="e">
        <f>#REF!</f>
        <v>#REF!</v>
      </c>
      <c r="U196" s="2182" t="e">
        <f>#REF!</f>
        <v>#REF!</v>
      </c>
      <c r="V196" s="510" t="e">
        <f>#REF!</f>
        <v>#REF!</v>
      </c>
      <c r="W196" s="2183" t="str">
        <f>IFERROR(T196&amp;U196&amp;#REF!,"-")</f>
        <v>-</v>
      </c>
      <c r="X196" s="2183" t="str">
        <f>IFERROR(VLOOKUP(W196,G178:H195,2,0),"-")</f>
        <v>-</v>
      </c>
      <c r="Y196" s="2184" t="e">
        <f>IF(X196="-",HLOOKUP($I$177,$T$177:$AA$179,2,FALSE),VLOOKUP(X196,$H$178:$I$195,2))</f>
        <v>#N/A</v>
      </c>
    </row>
    <row r="197" spans="3:25" hidden="1">
      <c r="C197" s="510"/>
      <c r="D197" s="510"/>
      <c r="E197" s="510"/>
      <c r="F197" s="510"/>
      <c r="G197" s="510" t="str">
        <f>D196&amp;E196&amp;0</f>
        <v>－－0</v>
      </c>
      <c r="H197" s="2183" t="str">
        <f>IFERROR(VLOOKUP(G197,G178:H195,2,0),"-")</f>
        <v>-</v>
      </c>
      <c r="I197" s="2184" t="e">
        <f>IF(H197="-",HLOOKUP($I$177,$T$177:$AA$179,3,FALSE),VLOOKUP(H197,$H$178:$I$195,2))</f>
        <v>#N/A</v>
      </c>
      <c r="K197" s="510"/>
      <c r="L197" s="510"/>
      <c r="M197" s="510"/>
      <c r="N197" s="510" t="str">
        <f>K196&amp;L196&amp;0</f>
        <v>－－0</v>
      </c>
      <c r="O197" s="2183" t="str">
        <f>IFERROR(VLOOKUP(N197,G178:H195,2,0),"-")</f>
        <v>-</v>
      </c>
      <c r="P197" s="2184" t="e">
        <f>IF(O197="-",HLOOKUP($I$177,$T$177:$AA$179,3,FALSE),VLOOKUP(O197,$H$178:$I$195,2))</f>
        <v>#N/A</v>
      </c>
      <c r="S197" s="510"/>
      <c r="T197" s="510"/>
      <c r="U197" s="510"/>
      <c r="V197" s="510"/>
      <c r="W197" s="510" t="e">
        <f>T196&amp;U196&amp;0</f>
        <v>#REF!</v>
      </c>
      <c r="X197" s="2183" t="str">
        <f>IFERROR(VLOOKUP(W197,G178:H195,2,0),"-")</f>
        <v>-</v>
      </c>
      <c r="Y197" s="2184" t="e">
        <f>IF(X197="-",HLOOKUP($I$177,$T$177:$AA$179,3,FALSE),VLOOKUP(X197,$H$178:$I$195,2))</f>
        <v>#N/A</v>
      </c>
    </row>
    <row r="198" spans="3:25">
      <c r="C198" s="510"/>
      <c r="D198" s="1482"/>
      <c r="E198" s="1459"/>
      <c r="F198" s="1459"/>
      <c r="G198" s="1459"/>
      <c r="H198" s="1459"/>
      <c r="I198" s="1990"/>
      <c r="J198" s="1533"/>
      <c r="K198" s="1459"/>
      <c r="L198" s="1459"/>
      <c r="M198" s="1459"/>
      <c r="N198" s="1459"/>
      <c r="O198" s="1459"/>
      <c r="P198" s="1459"/>
      <c r="Q198" s="1459"/>
      <c r="R198" s="510"/>
      <c r="S198" s="510"/>
    </row>
    <row r="199" spans="3:25">
      <c r="C199" s="1543" t="s">
        <v>249</v>
      </c>
      <c r="D199" s="1459"/>
      <c r="E199" s="1459"/>
      <c r="F199" s="1459"/>
      <c r="G199" s="1459"/>
      <c r="H199" s="1459"/>
      <c r="I199" s="1459"/>
      <c r="J199" s="1459"/>
      <c r="K199" s="1459"/>
      <c r="L199" s="1459"/>
      <c r="M199" s="1459"/>
      <c r="N199" s="1459"/>
      <c r="O199" s="1459"/>
      <c r="P199" s="1459"/>
      <c r="Q199" s="1459"/>
    </row>
    <row r="200" spans="3:25">
      <c r="C200" s="1544"/>
      <c r="D200" s="1459"/>
      <c r="E200" s="1459"/>
      <c r="F200" s="1459"/>
      <c r="G200" s="1459"/>
      <c r="H200" s="1459"/>
      <c r="I200" s="1459"/>
      <c r="J200" s="1459"/>
      <c r="K200" s="1459"/>
      <c r="L200" s="1459"/>
      <c r="M200" s="1459"/>
      <c r="N200" s="1459"/>
      <c r="O200" s="1459"/>
      <c r="P200" s="1459"/>
      <c r="Q200" s="1459"/>
    </row>
    <row r="201" spans="3:25">
      <c r="C201" s="1487" t="s">
        <v>250</v>
      </c>
      <c r="D201" s="1459"/>
      <c r="E201" s="1459"/>
      <c r="F201" s="1459"/>
      <c r="G201" s="1459"/>
      <c r="H201" s="1459"/>
      <c r="I201" s="1489" t="s">
        <v>498</v>
      </c>
      <c r="J201" s="1485"/>
      <c r="K201" s="1490"/>
      <c r="L201" s="1489" t="s">
        <v>499</v>
      </c>
      <c r="M201" s="1485"/>
      <c r="N201" s="1490"/>
      <c r="O201" s="1489" t="s">
        <v>500</v>
      </c>
      <c r="P201" s="1485"/>
      <c r="Q201" s="1490"/>
    </row>
    <row r="202" spans="3:25">
      <c r="C202" s="1459"/>
      <c r="D202" s="1545" t="s">
        <v>251</v>
      </c>
      <c r="E202" s="1459"/>
      <c r="F202" s="1459"/>
      <c r="G202" s="1521"/>
      <c r="H202" s="1521"/>
      <c r="I202" s="1496" t="s">
        <v>252</v>
      </c>
      <c r="J202" s="1496" t="s">
        <v>253</v>
      </c>
      <c r="K202" s="1496" t="s">
        <v>254</v>
      </c>
      <c r="L202" s="1496" t="s">
        <v>252</v>
      </c>
      <c r="M202" s="1496" t="s">
        <v>253</v>
      </c>
      <c r="N202" s="1496" t="s">
        <v>254</v>
      </c>
      <c r="O202" s="1496" t="s">
        <v>252</v>
      </c>
      <c r="P202" s="1496" t="s">
        <v>253</v>
      </c>
      <c r="Q202" s="1496" t="s">
        <v>254</v>
      </c>
    </row>
    <row r="203" spans="3:25">
      <c r="C203" s="1459"/>
      <c r="D203" s="1459"/>
      <c r="E203" s="1491" t="s">
        <v>255</v>
      </c>
      <c r="F203" s="1539"/>
      <c r="G203" s="1521">
        <v>1</v>
      </c>
      <c r="H203" s="1521"/>
      <c r="I203" s="1546">
        <v>60</v>
      </c>
      <c r="J203" s="1546">
        <v>60</v>
      </c>
      <c r="K203" s="1546">
        <v>60</v>
      </c>
      <c r="L203" s="1546">
        <v>60</v>
      </c>
      <c r="M203" s="1546">
        <v>60</v>
      </c>
      <c r="N203" s="1546">
        <v>60</v>
      </c>
      <c r="O203" s="1546">
        <v>60</v>
      </c>
      <c r="P203" s="1546">
        <v>60</v>
      </c>
      <c r="Q203" s="1546">
        <v>60</v>
      </c>
    </row>
    <row r="204" spans="3:25">
      <c r="C204" s="1459"/>
      <c r="D204" s="1459"/>
      <c r="E204" s="1491" t="s">
        <v>541</v>
      </c>
      <c r="F204" s="1539"/>
      <c r="G204" s="1521">
        <v>2</v>
      </c>
      <c r="H204" s="1521"/>
      <c r="I204" s="1546">
        <v>60</v>
      </c>
      <c r="J204" s="1546">
        <v>60</v>
      </c>
      <c r="K204" s="1546">
        <v>60</v>
      </c>
      <c r="L204" s="1546">
        <v>60</v>
      </c>
      <c r="M204" s="1546">
        <v>60</v>
      </c>
      <c r="N204" s="1546">
        <v>60</v>
      </c>
      <c r="O204" s="1546">
        <v>60</v>
      </c>
      <c r="P204" s="1546">
        <v>60</v>
      </c>
      <c r="Q204" s="1546">
        <v>60</v>
      </c>
    </row>
    <row r="205" spans="3:25">
      <c r="C205" s="1459"/>
      <c r="D205" s="1459"/>
      <c r="E205" s="1491" t="s">
        <v>543</v>
      </c>
      <c r="F205" s="1539"/>
      <c r="G205" s="1521">
        <v>3</v>
      </c>
      <c r="H205" s="1521"/>
      <c r="I205" s="1546">
        <v>30</v>
      </c>
      <c r="J205" s="1546">
        <v>30</v>
      </c>
      <c r="K205" s="1546">
        <v>30</v>
      </c>
      <c r="L205" s="1546">
        <v>30</v>
      </c>
      <c r="M205" s="1546">
        <v>30</v>
      </c>
      <c r="N205" s="1546">
        <v>30</v>
      </c>
      <c r="O205" s="1546">
        <v>30</v>
      </c>
      <c r="P205" s="1546">
        <v>30</v>
      </c>
      <c r="Q205" s="1546">
        <v>30</v>
      </c>
    </row>
    <row r="206" spans="3:25">
      <c r="C206" s="1459"/>
      <c r="D206" s="1459"/>
      <c r="E206" s="1491" t="s">
        <v>545</v>
      </c>
      <c r="F206" s="1539"/>
      <c r="G206" s="1521">
        <v>4</v>
      </c>
      <c r="H206" s="1521"/>
      <c r="I206" s="1546">
        <v>30</v>
      </c>
      <c r="J206" s="1546">
        <v>30</v>
      </c>
      <c r="K206" s="1546">
        <v>30</v>
      </c>
      <c r="L206" s="1546">
        <v>30</v>
      </c>
      <c r="M206" s="1546">
        <v>30</v>
      </c>
      <c r="N206" s="1546">
        <v>30</v>
      </c>
      <c r="O206" s="1546">
        <v>30</v>
      </c>
      <c r="P206" s="1546">
        <v>30</v>
      </c>
      <c r="Q206" s="1546">
        <v>30</v>
      </c>
    </row>
    <row r="207" spans="3:25">
      <c r="C207" s="1459"/>
      <c r="D207" s="1459"/>
      <c r="E207" s="1491" t="s">
        <v>861</v>
      </c>
      <c r="F207" s="1539"/>
      <c r="G207" s="1521">
        <v>5</v>
      </c>
      <c r="H207" s="1521"/>
      <c r="I207" s="1546">
        <v>60</v>
      </c>
      <c r="J207" s="1546">
        <v>60</v>
      </c>
      <c r="K207" s="1546">
        <v>60</v>
      </c>
      <c r="L207" s="1546">
        <v>60</v>
      </c>
      <c r="M207" s="1546">
        <v>60</v>
      </c>
      <c r="N207" s="1546">
        <v>60</v>
      </c>
      <c r="O207" s="1546">
        <v>60</v>
      </c>
      <c r="P207" s="1546">
        <v>60</v>
      </c>
      <c r="Q207" s="1546">
        <v>60</v>
      </c>
    </row>
    <row r="208" spans="3:25">
      <c r="C208" s="1459"/>
      <c r="D208" s="1459"/>
      <c r="E208" s="1491" t="s">
        <v>555</v>
      </c>
      <c r="F208" s="1539"/>
      <c r="G208" s="1521">
        <v>6</v>
      </c>
      <c r="H208" s="1521"/>
      <c r="I208" s="1546">
        <v>30</v>
      </c>
      <c r="J208" s="1546">
        <v>30</v>
      </c>
      <c r="K208" s="1546">
        <v>30</v>
      </c>
      <c r="L208" s="1546">
        <v>30</v>
      </c>
      <c r="M208" s="1546">
        <v>30</v>
      </c>
      <c r="N208" s="1546">
        <v>30</v>
      </c>
      <c r="O208" s="1546">
        <v>30</v>
      </c>
      <c r="P208" s="1546">
        <v>30</v>
      </c>
      <c r="Q208" s="1546">
        <v>30</v>
      </c>
    </row>
    <row r="209" spans="3:17">
      <c r="C209" s="1459"/>
      <c r="D209" s="1459"/>
      <c r="E209" s="1491" t="s">
        <v>549</v>
      </c>
      <c r="F209" s="1539"/>
      <c r="G209" s="1521">
        <v>7</v>
      </c>
      <c r="H209" s="1521"/>
      <c r="I209" s="1546">
        <v>60</v>
      </c>
      <c r="J209" s="1546">
        <v>60</v>
      </c>
      <c r="K209" s="1546">
        <v>60</v>
      </c>
      <c r="L209" s="1546">
        <v>60</v>
      </c>
      <c r="M209" s="1546">
        <v>60</v>
      </c>
      <c r="N209" s="1546">
        <v>60</v>
      </c>
      <c r="O209" s="1546">
        <v>60</v>
      </c>
      <c r="P209" s="1546">
        <v>60</v>
      </c>
      <c r="Q209" s="1546">
        <v>60</v>
      </c>
    </row>
    <row r="210" spans="3:17">
      <c r="C210" s="1459"/>
      <c r="D210" s="1459"/>
      <c r="E210" s="1491" t="s">
        <v>862</v>
      </c>
      <c r="F210" s="1539"/>
      <c r="G210" s="1521">
        <v>8</v>
      </c>
      <c r="H210" s="1521"/>
      <c r="I210" s="1546">
        <v>60</v>
      </c>
      <c r="J210" s="1546">
        <v>60</v>
      </c>
      <c r="K210" s="1546">
        <v>60</v>
      </c>
      <c r="L210" s="1546">
        <v>60</v>
      </c>
      <c r="M210" s="1546">
        <v>60</v>
      </c>
      <c r="N210" s="1546">
        <v>60</v>
      </c>
      <c r="O210" s="1546">
        <v>60</v>
      </c>
      <c r="P210" s="1546">
        <v>60</v>
      </c>
      <c r="Q210" s="1546">
        <v>60</v>
      </c>
    </row>
    <row r="211" spans="3:17">
      <c r="C211" s="1459"/>
      <c r="D211" s="1459"/>
      <c r="E211" s="1491" t="s">
        <v>553</v>
      </c>
      <c r="F211" s="1539"/>
      <c r="G211" s="1521">
        <v>9</v>
      </c>
      <c r="H211" s="1521"/>
      <c r="I211" s="1546">
        <v>30</v>
      </c>
      <c r="J211" s="1546">
        <v>60</v>
      </c>
      <c r="K211" s="1546">
        <v>90</v>
      </c>
      <c r="L211" s="1546">
        <v>30</v>
      </c>
      <c r="M211" s="1546">
        <v>60</v>
      </c>
      <c r="N211" s="1546">
        <v>90</v>
      </c>
      <c r="O211" s="1546">
        <v>30</v>
      </c>
      <c r="P211" s="1546">
        <v>60</v>
      </c>
      <c r="Q211" s="1546">
        <v>90</v>
      </c>
    </row>
    <row r="212" spans="3:17">
      <c r="C212" s="1487"/>
      <c r="D212" s="1487"/>
      <c r="E212" s="1459"/>
      <c r="F212" s="1459"/>
      <c r="G212" s="1459"/>
      <c r="H212" s="1459"/>
      <c r="I212" s="1458"/>
      <c r="J212" s="1458"/>
      <c r="K212" s="1458"/>
      <c r="L212" s="1458"/>
      <c r="M212" s="1458"/>
      <c r="N212" s="1458"/>
      <c r="O212" s="1458"/>
      <c r="P212" s="1458"/>
      <c r="Q212" s="1458"/>
    </row>
    <row r="213" spans="3:17">
      <c r="C213" s="1487" t="s">
        <v>127</v>
      </c>
      <c r="D213" s="1487"/>
      <c r="E213" s="1459"/>
      <c r="F213" s="1459"/>
      <c r="G213" s="1459"/>
      <c r="H213" s="1459"/>
      <c r="I213" s="517" t="s">
        <v>256</v>
      </c>
      <c r="J213" s="1305" t="s">
        <v>257</v>
      </c>
      <c r="K213" s="1305" t="s">
        <v>258</v>
      </c>
      <c r="L213" s="517" t="s">
        <v>256</v>
      </c>
      <c r="M213" s="1305" t="s">
        <v>257</v>
      </c>
      <c r="N213" s="1305" t="s">
        <v>258</v>
      </c>
      <c r="O213" s="517" t="s">
        <v>256</v>
      </c>
      <c r="P213" s="1305" t="s">
        <v>257</v>
      </c>
      <c r="Q213" s="1305" t="s">
        <v>258</v>
      </c>
    </row>
    <row r="214" spans="3:17">
      <c r="C214" s="1459"/>
      <c r="D214" s="1459" t="s">
        <v>204</v>
      </c>
      <c r="E214" s="1459" t="s">
        <v>128</v>
      </c>
      <c r="F214" s="1459" t="s">
        <v>205</v>
      </c>
      <c r="G214" s="1459"/>
      <c r="H214" s="1459"/>
      <c r="I214" s="1547">
        <v>0.56699999999999995</v>
      </c>
      <c r="J214" s="1547">
        <v>0</v>
      </c>
      <c r="K214" s="1547">
        <v>0</v>
      </c>
      <c r="L214" s="1547">
        <v>0.77200000000000002</v>
      </c>
      <c r="M214" s="1547">
        <v>0</v>
      </c>
      <c r="N214" s="1547">
        <v>0</v>
      </c>
      <c r="O214" s="1547">
        <v>0.69599999999999995</v>
      </c>
      <c r="P214" s="1547">
        <v>0</v>
      </c>
      <c r="Q214" s="1547">
        <v>0</v>
      </c>
    </row>
    <row r="215" spans="3:17">
      <c r="C215" s="1459"/>
      <c r="D215" s="1459"/>
      <c r="E215" s="1459" t="s">
        <v>130</v>
      </c>
      <c r="F215" s="1459" t="s">
        <v>205</v>
      </c>
      <c r="G215" s="1459"/>
      <c r="H215" s="1459"/>
      <c r="I215" s="1547">
        <v>0</v>
      </c>
      <c r="J215" s="1547">
        <v>0</v>
      </c>
      <c r="K215" s="1547">
        <v>0.56699999999999995</v>
      </c>
      <c r="L215" s="1547">
        <v>0</v>
      </c>
      <c r="M215" s="1547">
        <v>0</v>
      </c>
      <c r="N215" s="1547">
        <v>0.77200000000000002</v>
      </c>
      <c r="O215" s="1547">
        <v>0</v>
      </c>
      <c r="P215" s="1547">
        <v>0</v>
      </c>
      <c r="Q215" s="1547">
        <v>0.69599999999999995</v>
      </c>
    </row>
    <row r="216" spans="3:17">
      <c r="C216" s="1459"/>
      <c r="D216" s="1459"/>
      <c r="E216" s="1459" t="s">
        <v>131</v>
      </c>
      <c r="F216" s="1459" t="s">
        <v>132</v>
      </c>
      <c r="G216" s="1459"/>
      <c r="H216" s="1459"/>
      <c r="I216" s="1547">
        <v>0.13600000000000001</v>
      </c>
      <c r="J216" s="1547">
        <v>0</v>
      </c>
      <c r="K216" s="1547">
        <v>0.13600000000000001</v>
      </c>
      <c r="L216" s="1547">
        <v>3.7999999999999999E-2</v>
      </c>
      <c r="M216" s="1547">
        <v>0</v>
      </c>
      <c r="N216" s="1547">
        <v>3.7999999999999999E-2</v>
      </c>
      <c r="O216" s="1547">
        <v>0.1</v>
      </c>
      <c r="P216" s="1547">
        <v>0</v>
      </c>
      <c r="Q216" s="1547">
        <v>0.1</v>
      </c>
    </row>
    <row r="217" spans="3:17">
      <c r="C217" s="1548"/>
      <c r="D217" s="1548"/>
      <c r="E217" s="1548" t="s">
        <v>133</v>
      </c>
      <c r="F217" s="1548" t="s">
        <v>132</v>
      </c>
      <c r="G217" s="1548"/>
      <c r="H217" s="1548"/>
      <c r="I217" s="1547"/>
      <c r="J217" s="1547">
        <v>0</v>
      </c>
      <c r="K217" s="1547">
        <v>0</v>
      </c>
      <c r="L217" s="1547"/>
      <c r="M217" s="1547">
        <v>0</v>
      </c>
      <c r="N217" s="1547">
        <v>0</v>
      </c>
      <c r="O217" s="1547"/>
      <c r="P217" s="1547">
        <v>0</v>
      </c>
      <c r="Q217" s="1547">
        <v>0</v>
      </c>
    </row>
    <row r="218" spans="3:17">
      <c r="C218" s="1459"/>
      <c r="D218" s="1459"/>
      <c r="E218" s="1459" t="s">
        <v>134</v>
      </c>
      <c r="F218" s="1459" t="s">
        <v>132</v>
      </c>
      <c r="G218" s="1459"/>
      <c r="H218" s="1459"/>
      <c r="I218" s="1547">
        <v>7.0000000000000007E-2</v>
      </c>
      <c r="J218" s="1547">
        <v>0</v>
      </c>
      <c r="K218" s="1547">
        <v>7.0000000000000007E-2</v>
      </c>
      <c r="L218" s="1547">
        <v>0.10299999999999999</v>
      </c>
      <c r="M218" s="1547">
        <v>0</v>
      </c>
      <c r="N218" s="1547">
        <v>0.10299999999999999</v>
      </c>
      <c r="O218" s="1547">
        <v>7.8E-2</v>
      </c>
      <c r="P218" s="1547">
        <v>0</v>
      </c>
      <c r="Q218" s="1547">
        <v>7.8E-2</v>
      </c>
    </row>
    <row r="219" spans="3:17">
      <c r="C219" s="1459"/>
      <c r="D219" s="1459"/>
      <c r="E219" s="1459" t="s">
        <v>135</v>
      </c>
      <c r="F219" s="1459" t="s">
        <v>132</v>
      </c>
      <c r="G219" s="1459"/>
      <c r="H219" s="1459"/>
      <c r="I219" s="1547">
        <v>5.0000000000000001E-3</v>
      </c>
      <c r="J219" s="1547">
        <v>0</v>
      </c>
      <c r="K219" s="1547">
        <v>5.0000000000000001E-3</v>
      </c>
      <c r="L219" s="1547">
        <v>1.2999999999999999E-2</v>
      </c>
      <c r="M219" s="1547">
        <v>0</v>
      </c>
      <c r="N219" s="1547">
        <v>1.26E-2</v>
      </c>
      <c r="O219" s="1547">
        <v>8.0000000000000002E-3</v>
      </c>
      <c r="P219" s="1547">
        <v>0</v>
      </c>
      <c r="Q219" s="1547">
        <v>8.0000000000000002E-3</v>
      </c>
    </row>
    <row r="220" spans="3:17">
      <c r="C220" s="1459"/>
      <c r="D220" s="1459" t="s">
        <v>206</v>
      </c>
      <c r="E220" s="1459" t="s">
        <v>128</v>
      </c>
      <c r="F220" s="1459" t="s">
        <v>205</v>
      </c>
      <c r="G220" s="1459"/>
      <c r="H220" s="1459"/>
      <c r="I220" s="1547">
        <v>0.35199999999999998</v>
      </c>
      <c r="J220" s="1547">
        <v>0</v>
      </c>
      <c r="K220" s="1547">
        <v>0</v>
      </c>
      <c r="L220" s="1547">
        <v>0.86499999999999999</v>
      </c>
      <c r="M220" s="1547">
        <v>0</v>
      </c>
      <c r="N220" s="1547">
        <v>0</v>
      </c>
      <c r="O220" s="1547">
        <v>0.95799999999999996</v>
      </c>
      <c r="P220" s="1547">
        <v>0</v>
      </c>
      <c r="Q220" s="1547">
        <v>0</v>
      </c>
    </row>
    <row r="221" spans="3:17">
      <c r="C221" s="1459"/>
      <c r="D221" s="1459"/>
      <c r="E221" s="1459" t="s">
        <v>130</v>
      </c>
      <c r="F221" s="1459" t="s">
        <v>205</v>
      </c>
      <c r="G221" s="1459"/>
      <c r="H221" s="1459"/>
      <c r="I221" s="1547">
        <v>0</v>
      </c>
      <c r="J221" s="1547">
        <v>0</v>
      </c>
      <c r="K221" s="1547">
        <v>0.35199999999999998</v>
      </c>
      <c r="L221" s="1547">
        <v>0</v>
      </c>
      <c r="M221" s="1547">
        <v>0</v>
      </c>
      <c r="N221" s="1547">
        <v>0.86499999999999999</v>
      </c>
      <c r="O221" s="1547">
        <v>0</v>
      </c>
      <c r="P221" s="1547">
        <v>0</v>
      </c>
      <c r="Q221" s="1547">
        <v>0.95799999999999996</v>
      </c>
    </row>
    <row r="222" spans="3:17">
      <c r="C222" s="1459"/>
      <c r="D222" s="1459"/>
      <c r="E222" s="1459" t="s">
        <v>131</v>
      </c>
      <c r="F222" s="1459" t="s">
        <v>132</v>
      </c>
      <c r="G222" s="1459"/>
      <c r="H222" s="1459"/>
      <c r="I222" s="1547">
        <v>0.105</v>
      </c>
      <c r="J222" s="1547">
        <v>0</v>
      </c>
      <c r="K222" s="1547">
        <v>0.105</v>
      </c>
      <c r="L222" s="1547">
        <v>5.0000000000000001E-3</v>
      </c>
      <c r="M222" s="1547">
        <v>0</v>
      </c>
      <c r="N222" s="1547">
        <v>5.0000000000000001E-3</v>
      </c>
      <c r="O222" s="1547">
        <v>7.8E-2</v>
      </c>
      <c r="P222" s="1547">
        <v>0</v>
      </c>
      <c r="Q222" s="1547">
        <v>7.8E-2</v>
      </c>
    </row>
    <row r="223" spans="3:17">
      <c r="C223" s="1548"/>
      <c r="D223" s="1548"/>
      <c r="E223" s="1548" t="s">
        <v>133</v>
      </c>
      <c r="F223" s="1548" t="s">
        <v>132</v>
      </c>
      <c r="G223" s="1548"/>
      <c r="H223" s="1548"/>
      <c r="I223" s="1547"/>
      <c r="J223" s="1547">
        <v>0</v>
      </c>
      <c r="K223" s="1547">
        <v>0</v>
      </c>
      <c r="L223" s="1547"/>
      <c r="M223" s="1547">
        <v>0</v>
      </c>
      <c r="N223" s="1547">
        <v>0</v>
      </c>
      <c r="O223" s="1547"/>
      <c r="P223" s="1547">
        <v>0</v>
      </c>
      <c r="Q223" s="1547">
        <v>0</v>
      </c>
    </row>
    <row r="224" spans="3:17">
      <c r="C224" s="1459"/>
      <c r="D224" s="1459"/>
      <c r="E224" s="1459" t="s">
        <v>134</v>
      </c>
      <c r="F224" s="1459" t="s">
        <v>132</v>
      </c>
      <c r="G224" s="1459"/>
      <c r="H224" s="1459"/>
      <c r="I224" s="1547">
        <v>4.4999999999999998E-2</v>
      </c>
      <c r="J224" s="1547">
        <v>0</v>
      </c>
      <c r="K224" s="1547">
        <v>4.4999999999999998E-2</v>
      </c>
      <c r="L224" s="1549">
        <v>0.112</v>
      </c>
      <c r="M224" s="1547">
        <v>0</v>
      </c>
      <c r="N224" s="1549">
        <v>0.112</v>
      </c>
      <c r="O224" s="1547">
        <v>0.11</v>
      </c>
      <c r="P224" s="1547">
        <v>0</v>
      </c>
      <c r="Q224" s="1547">
        <v>0.11</v>
      </c>
    </row>
    <row r="225" spans="3:17">
      <c r="C225" s="1459"/>
      <c r="D225" s="1459"/>
      <c r="E225" s="1459" t="s">
        <v>135</v>
      </c>
      <c r="F225" s="1459" t="s">
        <v>132</v>
      </c>
      <c r="G225" s="1459"/>
      <c r="H225" s="1459"/>
      <c r="I225" s="1547">
        <v>2E-3</v>
      </c>
      <c r="J225" s="1547">
        <v>0</v>
      </c>
      <c r="K225" s="1547">
        <v>2.3999999999999998E-3</v>
      </c>
      <c r="L225" s="1549">
        <v>1.4999999999999999E-2</v>
      </c>
      <c r="M225" s="1547">
        <v>0</v>
      </c>
      <c r="N225" s="1549">
        <v>1.47E-2</v>
      </c>
      <c r="O225" s="1547">
        <v>1.2E-2</v>
      </c>
      <c r="P225" s="1547">
        <v>0</v>
      </c>
      <c r="Q225" s="1547">
        <v>1.167E-2</v>
      </c>
    </row>
    <row r="226" spans="3:17">
      <c r="C226" s="1459"/>
      <c r="D226" s="1459" t="s">
        <v>207</v>
      </c>
      <c r="E226" s="1459" t="s">
        <v>128</v>
      </c>
      <c r="F226" s="1459" t="s">
        <v>208</v>
      </c>
      <c r="G226" s="1459"/>
      <c r="H226" s="1459"/>
      <c r="I226" s="1547">
        <v>0.34200000000000003</v>
      </c>
      <c r="J226" s="1547">
        <v>0</v>
      </c>
      <c r="K226" s="1547">
        <v>0</v>
      </c>
      <c r="L226" s="1549">
        <v>0.88800000000000001</v>
      </c>
      <c r="M226" s="1547">
        <v>0</v>
      </c>
      <c r="N226" s="1549">
        <v>0</v>
      </c>
      <c r="O226" s="1547">
        <v>0.307</v>
      </c>
      <c r="P226" s="1547">
        <v>0</v>
      </c>
      <c r="Q226" s="1547">
        <v>0</v>
      </c>
    </row>
    <row r="227" spans="3:17">
      <c r="C227" s="1459"/>
      <c r="D227" s="1459"/>
      <c r="E227" s="1459" t="s">
        <v>130</v>
      </c>
      <c r="F227" s="1459" t="s">
        <v>205</v>
      </c>
      <c r="G227" s="1459"/>
      <c r="H227" s="1459"/>
      <c r="I227" s="1547">
        <v>0</v>
      </c>
      <c r="J227" s="1547">
        <v>0</v>
      </c>
      <c r="K227" s="1547">
        <v>0.34200000000000003</v>
      </c>
      <c r="L227" s="1549">
        <v>0</v>
      </c>
      <c r="M227" s="1547">
        <v>0</v>
      </c>
      <c r="N227" s="1549">
        <v>0.88800000000000001</v>
      </c>
      <c r="O227" s="1547">
        <v>0</v>
      </c>
      <c r="P227" s="1547">
        <v>0</v>
      </c>
      <c r="Q227" s="1547">
        <v>0.307</v>
      </c>
    </row>
    <row r="228" spans="3:17">
      <c r="C228" s="1459"/>
      <c r="D228" s="1459"/>
      <c r="E228" s="1459" t="s">
        <v>131</v>
      </c>
      <c r="F228" s="1459" t="s">
        <v>132</v>
      </c>
      <c r="G228" s="1459"/>
      <c r="H228" s="1459"/>
      <c r="I228" s="1547">
        <v>7.1999999999999995E-2</v>
      </c>
      <c r="J228" s="1547">
        <v>0</v>
      </c>
      <c r="K228" s="1547">
        <v>7.1999999999999995E-2</v>
      </c>
      <c r="L228" s="1549">
        <v>1.7000000000000001E-2</v>
      </c>
      <c r="M228" s="1547">
        <v>0</v>
      </c>
      <c r="N228" s="1549">
        <v>1.7000000000000001E-2</v>
      </c>
      <c r="O228" s="1547">
        <v>7.0999999999999994E-2</v>
      </c>
      <c r="P228" s="1547">
        <v>0</v>
      </c>
      <c r="Q228" s="1547">
        <v>7.0999999999999994E-2</v>
      </c>
    </row>
    <row r="229" spans="3:17">
      <c r="C229" s="1548"/>
      <c r="D229" s="1548"/>
      <c r="E229" s="1548" t="s">
        <v>133</v>
      </c>
      <c r="F229" s="1548" t="s">
        <v>132</v>
      </c>
      <c r="G229" s="1548"/>
      <c r="H229" s="1548"/>
      <c r="I229" s="1547"/>
      <c r="J229" s="1547">
        <v>0</v>
      </c>
      <c r="K229" s="1547">
        <v>0</v>
      </c>
      <c r="L229" s="1549"/>
      <c r="M229" s="1547">
        <v>0</v>
      </c>
      <c r="N229" s="1549">
        <v>0</v>
      </c>
      <c r="O229" s="1547"/>
      <c r="P229" s="1547">
        <v>0</v>
      </c>
      <c r="Q229" s="1547">
        <v>0</v>
      </c>
    </row>
    <row r="230" spans="3:17">
      <c r="C230" s="1459"/>
      <c r="D230" s="1459"/>
      <c r="E230" s="1459" t="s">
        <v>134</v>
      </c>
      <c r="F230" s="1459" t="s">
        <v>132</v>
      </c>
      <c r="G230" s="1459"/>
      <c r="H230" s="1459"/>
      <c r="I230" s="1547">
        <v>2.4E-2</v>
      </c>
      <c r="J230" s="1547">
        <v>0</v>
      </c>
      <c r="K230" s="1547">
        <v>2.4E-2</v>
      </c>
      <c r="L230" s="1549">
        <v>0.11799999999999999</v>
      </c>
      <c r="M230" s="1547">
        <v>0</v>
      </c>
      <c r="N230" s="1549">
        <v>0.11799999999999999</v>
      </c>
      <c r="O230" s="1547">
        <v>5.2999999999999999E-2</v>
      </c>
      <c r="P230" s="1547">
        <v>0</v>
      </c>
      <c r="Q230" s="1547">
        <v>5.2999999999999999E-2</v>
      </c>
    </row>
    <row r="231" spans="3:17">
      <c r="C231" s="1459"/>
      <c r="D231" s="1459"/>
      <c r="E231" s="1459" t="s">
        <v>135</v>
      </c>
      <c r="F231" s="1459" t="s">
        <v>132</v>
      </c>
      <c r="G231" s="1459"/>
      <c r="H231" s="1459"/>
      <c r="I231" s="1547">
        <v>2E-3</v>
      </c>
      <c r="J231" s="1547">
        <v>0</v>
      </c>
      <c r="K231" s="1547">
        <v>1.8600000000000001E-3</v>
      </c>
      <c r="L231" s="1549">
        <v>1.4999999999999999E-2</v>
      </c>
      <c r="M231" s="1547">
        <v>0</v>
      </c>
      <c r="N231" s="1549">
        <v>1.4800000000000001E-2</v>
      </c>
      <c r="O231" s="1547">
        <v>5.0000000000000001E-3</v>
      </c>
      <c r="P231" s="1547">
        <v>0</v>
      </c>
      <c r="Q231" s="1547">
        <v>4.8300000000000001E-3</v>
      </c>
    </row>
    <row r="232" spans="3:17">
      <c r="C232" s="1459"/>
      <c r="D232" s="1459" t="s">
        <v>209</v>
      </c>
      <c r="E232" s="1459" t="s">
        <v>128</v>
      </c>
      <c r="F232" s="1459" t="s">
        <v>205</v>
      </c>
      <c r="G232" s="1459"/>
      <c r="H232" s="1459"/>
      <c r="I232" s="1547">
        <v>0.34200000000000003</v>
      </c>
      <c r="J232" s="1547">
        <v>0</v>
      </c>
      <c r="K232" s="1547">
        <v>0</v>
      </c>
      <c r="L232" s="1549">
        <v>0.88800000000000001</v>
      </c>
      <c r="M232" s="1547">
        <v>0</v>
      </c>
      <c r="N232" s="1549">
        <v>0</v>
      </c>
      <c r="O232" s="1547">
        <v>0.307</v>
      </c>
      <c r="P232" s="1547">
        <v>0</v>
      </c>
      <c r="Q232" s="1547">
        <v>0</v>
      </c>
    </row>
    <row r="233" spans="3:17">
      <c r="C233" s="1459"/>
      <c r="D233" s="1459"/>
      <c r="E233" s="1459" t="s">
        <v>130</v>
      </c>
      <c r="F233" s="1459" t="s">
        <v>205</v>
      </c>
      <c r="G233" s="1459"/>
      <c r="H233" s="1459"/>
      <c r="I233" s="1547">
        <v>0</v>
      </c>
      <c r="J233" s="1547">
        <v>0</v>
      </c>
      <c r="K233" s="1547">
        <v>0.34200000000000003</v>
      </c>
      <c r="L233" s="1549">
        <v>0</v>
      </c>
      <c r="M233" s="1547">
        <v>0</v>
      </c>
      <c r="N233" s="1549">
        <v>0.88800000000000001</v>
      </c>
      <c r="O233" s="1547">
        <v>0</v>
      </c>
      <c r="P233" s="1547">
        <v>0</v>
      </c>
      <c r="Q233" s="1547">
        <v>0.307</v>
      </c>
    </row>
    <row r="234" spans="3:17">
      <c r="C234" s="1459"/>
      <c r="D234" s="1459"/>
      <c r="E234" s="1459" t="s">
        <v>131</v>
      </c>
      <c r="F234" s="1459" t="s">
        <v>132</v>
      </c>
      <c r="G234" s="1459"/>
      <c r="H234" s="1459"/>
      <c r="I234" s="1547">
        <v>7.1999999999999995E-2</v>
      </c>
      <c r="J234" s="1547">
        <v>0</v>
      </c>
      <c r="K234" s="1547">
        <v>7.1999999999999995E-2</v>
      </c>
      <c r="L234" s="1549">
        <v>1.7000000000000001E-2</v>
      </c>
      <c r="M234" s="1547">
        <v>0</v>
      </c>
      <c r="N234" s="1549">
        <v>1.7000000000000001E-2</v>
      </c>
      <c r="O234" s="1547">
        <v>7.0999999999999994E-2</v>
      </c>
      <c r="P234" s="1547">
        <v>0</v>
      </c>
      <c r="Q234" s="1547">
        <v>7.0999999999999994E-2</v>
      </c>
    </row>
    <row r="235" spans="3:17">
      <c r="C235" s="1548"/>
      <c r="D235" s="1548"/>
      <c r="E235" s="1548" t="s">
        <v>133</v>
      </c>
      <c r="F235" s="1548" t="s">
        <v>132</v>
      </c>
      <c r="G235" s="1548"/>
      <c r="H235" s="1548"/>
      <c r="I235" s="1547"/>
      <c r="J235" s="1547">
        <v>0</v>
      </c>
      <c r="K235" s="1547">
        <v>0</v>
      </c>
      <c r="L235" s="1549"/>
      <c r="M235" s="1547">
        <v>0</v>
      </c>
      <c r="N235" s="1549">
        <v>0</v>
      </c>
      <c r="O235" s="1547"/>
      <c r="P235" s="1547">
        <v>0</v>
      </c>
      <c r="Q235" s="1547">
        <v>0</v>
      </c>
    </row>
    <row r="236" spans="3:17">
      <c r="C236" s="1459"/>
      <c r="D236" s="1459"/>
      <c r="E236" s="1459" t="s">
        <v>134</v>
      </c>
      <c r="F236" s="1459" t="s">
        <v>132</v>
      </c>
      <c r="G236" s="1459"/>
      <c r="H236" s="1459"/>
      <c r="I236" s="1547">
        <v>2.4E-2</v>
      </c>
      <c r="J236" s="1547">
        <v>0</v>
      </c>
      <c r="K236" s="1547">
        <v>2.4E-2</v>
      </c>
      <c r="L236" s="1549">
        <v>0.11799999999999999</v>
      </c>
      <c r="M236" s="1547">
        <v>0</v>
      </c>
      <c r="N236" s="1549">
        <v>0.11799999999999999</v>
      </c>
      <c r="O236" s="1547">
        <v>5.2999999999999999E-2</v>
      </c>
      <c r="P236" s="1547">
        <v>0</v>
      </c>
      <c r="Q236" s="1547">
        <v>5.2999999999999999E-2</v>
      </c>
    </row>
    <row r="237" spans="3:17">
      <c r="C237" s="1459"/>
      <c r="D237" s="1459"/>
      <c r="E237" s="1459" t="s">
        <v>135</v>
      </c>
      <c r="F237" s="1459" t="s">
        <v>132</v>
      </c>
      <c r="G237" s="1459"/>
      <c r="H237" s="1459"/>
      <c r="I237" s="1547">
        <v>2E-3</v>
      </c>
      <c r="J237" s="1547">
        <v>0</v>
      </c>
      <c r="K237" s="1547">
        <v>1.8600000000000001E-3</v>
      </c>
      <c r="L237" s="1549">
        <v>1.4999999999999999E-2</v>
      </c>
      <c r="M237" s="1547">
        <v>0</v>
      </c>
      <c r="N237" s="1549">
        <v>1.4800000000000001E-2</v>
      </c>
      <c r="O237" s="1547">
        <v>5.0000000000000001E-3</v>
      </c>
      <c r="P237" s="1547">
        <v>0</v>
      </c>
      <c r="Q237" s="1547">
        <v>4.8300000000000001E-3</v>
      </c>
    </row>
    <row r="238" spans="3:17">
      <c r="C238" s="1459"/>
      <c r="D238" s="1459" t="s">
        <v>210</v>
      </c>
      <c r="E238" s="1459" t="s">
        <v>128</v>
      </c>
      <c r="F238" s="1459" t="s">
        <v>205</v>
      </c>
      <c r="G238" s="1459"/>
      <c r="H238" s="1459"/>
      <c r="I238" s="1547">
        <v>0.34499999999999997</v>
      </c>
      <c r="J238" s="1547">
        <v>0</v>
      </c>
      <c r="K238" s="1547">
        <v>0</v>
      </c>
      <c r="L238" s="1547">
        <v>0.88800000000000001</v>
      </c>
      <c r="M238" s="1547">
        <v>0</v>
      </c>
      <c r="N238" s="1547">
        <v>0</v>
      </c>
      <c r="O238" s="1547">
        <v>0.86199999999999999</v>
      </c>
      <c r="P238" s="1547">
        <v>0</v>
      </c>
      <c r="Q238" s="1547">
        <v>0</v>
      </c>
    </row>
    <row r="239" spans="3:17">
      <c r="C239" s="1459"/>
      <c r="D239" s="1459"/>
      <c r="E239" s="1459" t="s">
        <v>130</v>
      </c>
      <c r="F239" s="1459" t="s">
        <v>205</v>
      </c>
      <c r="G239" s="1459"/>
      <c r="H239" s="1459"/>
      <c r="I239" s="1547">
        <v>0</v>
      </c>
      <c r="J239" s="1547">
        <v>0</v>
      </c>
      <c r="K239" s="1547">
        <v>0.34499999999999997</v>
      </c>
      <c r="L239" s="1547">
        <v>0</v>
      </c>
      <c r="M239" s="1547">
        <v>0</v>
      </c>
      <c r="N239" s="1547">
        <v>0.88800000000000001</v>
      </c>
      <c r="O239" s="1547">
        <v>0</v>
      </c>
      <c r="P239" s="1547">
        <v>0</v>
      </c>
      <c r="Q239" s="1547">
        <v>0.86199999999999999</v>
      </c>
    </row>
    <row r="240" spans="3:17">
      <c r="C240" s="1459"/>
      <c r="D240" s="1459"/>
      <c r="E240" s="1459" t="s">
        <v>131</v>
      </c>
      <c r="F240" s="1459" t="s">
        <v>132</v>
      </c>
      <c r="G240" s="1459"/>
      <c r="H240" s="1459"/>
      <c r="I240" s="1547">
        <v>0.13900000000000001</v>
      </c>
      <c r="J240" s="1547">
        <v>0</v>
      </c>
      <c r="K240" s="1547">
        <v>0.13900000000000001</v>
      </c>
      <c r="L240" s="1547">
        <v>1.7000000000000001E-2</v>
      </c>
      <c r="M240" s="1547">
        <v>0</v>
      </c>
      <c r="N240" s="1547">
        <v>1.7000000000000001E-2</v>
      </c>
      <c r="O240" s="1547">
        <v>5.8999999999999997E-2</v>
      </c>
      <c r="P240" s="1547">
        <v>0</v>
      </c>
      <c r="Q240" s="1547">
        <v>5.8999999999999997E-2</v>
      </c>
    </row>
    <row r="241" spans="3:17">
      <c r="C241" s="1548"/>
      <c r="D241" s="1548"/>
      <c r="E241" s="1548" t="s">
        <v>133</v>
      </c>
      <c r="F241" s="1548" t="s">
        <v>132</v>
      </c>
      <c r="G241" s="1548"/>
      <c r="H241" s="1548"/>
      <c r="I241" s="1547"/>
      <c r="J241" s="1547">
        <v>0</v>
      </c>
      <c r="K241" s="1547">
        <v>0</v>
      </c>
      <c r="L241" s="1547"/>
      <c r="M241" s="1547">
        <v>0</v>
      </c>
      <c r="N241" s="1547">
        <v>0</v>
      </c>
      <c r="O241" s="1547"/>
      <c r="P241" s="1547">
        <v>0</v>
      </c>
      <c r="Q241" s="1547">
        <v>0</v>
      </c>
    </row>
    <row r="242" spans="3:17">
      <c r="C242" s="1459"/>
      <c r="D242" s="1459"/>
      <c r="E242" s="1459" t="s">
        <v>134</v>
      </c>
      <c r="F242" s="1459" t="s">
        <v>132</v>
      </c>
      <c r="G242" s="1459"/>
      <c r="H242" s="1459"/>
      <c r="I242" s="1547">
        <v>0.04</v>
      </c>
      <c r="J242" s="1547">
        <v>0</v>
      </c>
      <c r="K242" s="1547">
        <v>0.04</v>
      </c>
      <c r="L242" s="1547">
        <v>0.11799999999999999</v>
      </c>
      <c r="M242" s="1547">
        <v>0</v>
      </c>
      <c r="N242" s="1547">
        <v>0.11799999999999999</v>
      </c>
      <c r="O242" s="1547">
        <v>0.1</v>
      </c>
      <c r="P242" s="1547">
        <v>0</v>
      </c>
      <c r="Q242" s="1547">
        <v>0.1</v>
      </c>
    </row>
    <row r="243" spans="3:17">
      <c r="C243" s="1459"/>
      <c r="D243" s="1459"/>
      <c r="E243" s="1459" t="s">
        <v>135</v>
      </c>
      <c r="F243" s="1459" t="s">
        <v>132</v>
      </c>
      <c r="G243" s="1459"/>
      <c r="H243" s="1459"/>
      <c r="I243" s="1547">
        <v>4.0000000000000001E-3</v>
      </c>
      <c r="J243" s="1547">
        <v>0</v>
      </c>
      <c r="K243" s="1547">
        <v>4.3499999999999997E-3</v>
      </c>
      <c r="L243" s="1547">
        <v>1.4999999999999999E-2</v>
      </c>
      <c r="M243" s="1547">
        <v>0</v>
      </c>
      <c r="N243" s="1547">
        <v>1.4800000000000001E-2</v>
      </c>
      <c r="O243" s="1547">
        <v>1.2E-2</v>
      </c>
      <c r="P243" s="1547">
        <v>0</v>
      </c>
      <c r="Q243" s="1547">
        <v>1.227E-2</v>
      </c>
    </row>
    <row r="244" spans="3:17">
      <c r="C244" s="1459"/>
      <c r="D244" s="1459" t="s">
        <v>555</v>
      </c>
      <c r="E244" s="1459" t="s">
        <v>128</v>
      </c>
      <c r="F244" s="1459" t="s">
        <v>205</v>
      </c>
      <c r="G244" s="1459"/>
      <c r="H244" s="1459"/>
      <c r="I244" s="1547">
        <v>0.35399999999999998</v>
      </c>
      <c r="J244" s="1547">
        <v>0</v>
      </c>
      <c r="K244" s="1547">
        <v>0</v>
      </c>
      <c r="L244" s="1547">
        <v>0.77</v>
      </c>
      <c r="M244" s="1547">
        <v>0</v>
      </c>
      <c r="N244" s="1547">
        <v>0</v>
      </c>
      <c r="O244" s="1547">
        <v>0.66900000000000004</v>
      </c>
      <c r="P244" s="1547">
        <v>0</v>
      </c>
      <c r="Q244" s="1547">
        <v>0</v>
      </c>
    </row>
    <row r="245" spans="3:17">
      <c r="C245" s="1459"/>
      <c r="D245" s="1459"/>
      <c r="E245" s="1459" t="s">
        <v>130</v>
      </c>
      <c r="F245" s="1459" t="s">
        <v>205</v>
      </c>
      <c r="G245" s="1459"/>
      <c r="H245" s="1459"/>
      <c r="I245" s="1547">
        <v>0</v>
      </c>
      <c r="J245" s="1547">
        <v>0</v>
      </c>
      <c r="K245" s="1547">
        <v>0.35399999999999998</v>
      </c>
      <c r="L245" s="1547">
        <v>0</v>
      </c>
      <c r="M245" s="1547">
        <v>0</v>
      </c>
      <c r="N245" s="1547">
        <v>0.77</v>
      </c>
      <c r="O245" s="1547">
        <v>0</v>
      </c>
      <c r="P245" s="1547">
        <v>0</v>
      </c>
      <c r="Q245" s="1547">
        <v>0.66900000000000004</v>
      </c>
    </row>
    <row r="246" spans="3:17">
      <c r="C246" s="1459"/>
      <c r="D246" s="1459"/>
      <c r="E246" s="1459" t="s">
        <v>131</v>
      </c>
      <c r="F246" s="1459" t="s">
        <v>132</v>
      </c>
      <c r="G246" s="1459"/>
      <c r="H246" s="1459"/>
      <c r="I246" s="1547">
        <v>8.7999999999999995E-2</v>
      </c>
      <c r="J246" s="1547">
        <v>0</v>
      </c>
      <c r="K246" s="1547">
        <v>8.7999999999999995E-2</v>
      </c>
      <c r="L246" s="1547">
        <v>0.01</v>
      </c>
      <c r="M246" s="1547">
        <v>0</v>
      </c>
      <c r="N246" s="1547">
        <v>0.01</v>
      </c>
      <c r="O246" s="1547">
        <v>7.6999999999999999E-2</v>
      </c>
      <c r="P246" s="1547">
        <v>0</v>
      </c>
      <c r="Q246" s="1547">
        <v>7.6999999999999999E-2</v>
      </c>
    </row>
    <row r="247" spans="3:17">
      <c r="C247" s="1548"/>
      <c r="D247" s="1548"/>
      <c r="E247" s="1548" t="s">
        <v>133</v>
      </c>
      <c r="F247" s="1548" t="s">
        <v>132</v>
      </c>
      <c r="G247" s="1548"/>
      <c r="H247" s="1548"/>
      <c r="I247" s="1547"/>
      <c r="J247" s="1547">
        <v>0</v>
      </c>
      <c r="K247" s="1547">
        <v>0</v>
      </c>
      <c r="L247" s="1547"/>
      <c r="M247" s="1547">
        <v>0</v>
      </c>
      <c r="N247" s="1547">
        <v>0</v>
      </c>
      <c r="O247" s="1547"/>
      <c r="P247" s="1547">
        <v>0</v>
      </c>
      <c r="Q247" s="1547">
        <v>0</v>
      </c>
    </row>
    <row r="248" spans="3:17">
      <c r="C248" s="1459"/>
      <c r="D248" s="1459"/>
      <c r="E248" s="1459" t="s">
        <v>134</v>
      </c>
      <c r="F248" s="1459" t="s">
        <v>132</v>
      </c>
      <c r="G248" s="1459"/>
      <c r="H248" s="1459"/>
      <c r="I248" s="1547">
        <v>3.1E-2</v>
      </c>
      <c r="J248" s="1547">
        <v>0</v>
      </c>
      <c r="K248" s="1547">
        <v>3.1E-2</v>
      </c>
      <c r="L248" s="1547">
        <v>0.108</v>
      </c>
      <c r="M248" s="1547">
        <v>0</v>
      </c>
      <c r="N248" s="1547">
        <v>0.108</v>
      </c>
      <c r="O248" s="1547">
        <v>0.08</v>
      </c>
      <c r="P248" s="1547">
        <v>0</v>
      </c>
      <c r="Q248" s="1547">
        <v>0.08</v>
      </c>
    </row>
    <row r="249" spans="3:17">
      <c r="C249" s="1459"/>
      <c r="D249" s="1459"/>
      <c r="E249" s="1459" t="s">
        <v>135</v>
      </c>
      <c r="F249" s="1459" t="s">
        <v>132</v>
      </c>
      <c r="G249" s="1459"/>
      <c r="H249" s="1459"/>
      <c r="I249" s="1547">
        <v>2E-3</v>
      </c>
      <c r="J249" s="1547">
        <v>0</v>
      </c>
      <c r="K249" s="1547">
        <v>2.0999999999999999E-3</v>
      </c>
      <c r="L249" s="1547">
        <v>8.9999999999999993E-3</v>
      </c>
      <c r="M249" s="1547">
        <v>0</v>
      </c>
      <c r="N249" s="1547">
        <v>9.1500000000000001E-3</v>
      </c>
      <c r="O249" s="1547">
        <v>7.0000000000000001E-3</v>
      </c>
      <c r="P249" s="1547">
        <v>0</v>
      </c>
      <c r="Q249" s="1547">
        <v>6.6899999999999998E-3</v>
      </c>
    </row>
    <row r="250" spans="3:17">
      <c r="C250" s="1459"/>
      <c r="D250" s="1459" t="s">
        <v>211</v>
      </c>
      <c r="E250" s="1459" t="s">
        <v>128</v>
      </c>
      <c r="F250" s="1459" t="s">
        <v>205</v>
      </c>
      <c r="G250" s="1459"/>
      <c r="H250" s="1459"/>
      <c r="I250" s="1547">
        <v>0.317</v>
      </c>
      <c r="J250" s="1547">
        <v>0</v>
      </c>
      <c r="K250" s="1547">
        <v>0</v>
      </c>
      <c r="L250" s="1547">
        <v>0.76600000000000001</v>
      </c>
      <c r="M250" s="1547">
        <v>0</v>
      </c>
      <c r="N250" s="1547">
        <v>0</v>
      </c>
      <c r="O250" s="1547">
        <v>0.81200000000000006</v>
      </c>
      <c r="P250" s="1547">
        <v>0</v>
      </c>
      <c r="Q250" s="1547">
        <v>0</v>
      </c>
    </row>
    <row r="251" spans="3:17">
      <c r="C251" s="1459"/>
      <c r="D251" s="1459"/>
      <c r="E251" s="1459" t="s">
        <v>130</v>
      </c>
      <c r="F251" s="1459" t="s">
        <v>205</v>
      </c>
      <c r="G251" s="1459"/>
      <c r="H251" s="1459"/>
      <c r="I251" s="1547">
        <v>0</v>
      </c>
      <c r="J251" s="1547">
        <v>0</v>
      </c>
      <c r="K251" s="1547">
        <v>0.317</v>
      </c>
      <c r="L251" s="1547">
        <v>0</v>
      </c>
      <c r="M251" s="1547">
        <v>0</v>
      </c>
      <c r="N251" s="1547">
        <v>0.76600000000000001</v>
      </c>
      <c r="O251" s="1547">
        <v>0</v>
      </c>
      <c r="P251" s="1547">
        <v>0</v>
      </c>
      <c r="Q251" s="1547">
        <v>0.81200000000000006</v>
      </c>
    </row>
    <row r="252" spans="3:17">
      <c r="C252" s="1459"/>
      <c r="D252" s="1459"/>
      <c r="E252" s="1459" t="s">
        <v>131</v>
      </c>
      <c r="F252" s="1459" t="s">
        <v>132</v>
      </c>
      <c r="G252" s="1459"/>
      <c r="H252" s="1459"/>
      <c r="I252" s="1547">
        <v>7.3999999999999996E-2</v>
      </c>
      <c r="J252" s="1547">
        <v>0</v>
      </c>
      <c r="K252" s="1547">
        <v>7.3999999999999996E-2</v>
      </c>
      <c r="L252" s="1547">
        <v>1.2E-2</v>
      </c>
      <c r="M252" s="1547">
        <v>0</v>
      </c>
      <c r="N252" s="1547">
        <v>1.2E-2</v>
      </c>
      <c r="O252" s="1547">
        <v>0.66</v>
      </c>
      <c r="P252" s="1547">
        <v>0</v>
      </c>
      <c r="Q252" s="1547">
        <v>6.6000000000000003E-2</v>
      </c>
    </row>
    <row r="253" spans="3:17">
      <c r="C253" s="1548"/>
      <c r="D253" s="1548"/>
      <c r="E253" s="1548" t="s">
        <v>133</v>
      </c>
      <c r="F253" s="1548" t="s">
        <v>132</v>
      </c>
      <c r="G253" s="1548"/>
      <c r="H253" s="1548"/>
      <c r="I253" s="1547"/>
      <c r="J253" s="1547">
        <v>0</v>
      </c>
      <c r="K253" s="1547">
        <v>0</v>
      </c>
      <c r="L253" s="1547"/>
      <c r="M253" s="1547">
        <v>0</v>
      </c>
      <c r="N253" s="1547">
        <v>0</v>
      </c>
      <c r="O253" s="1547"/>
      <c r="P253" s="1547">
        <v>0</v>
      </c>
      <c r="Q253" s="1547">
        <v>0</v>
      </c>
    </row>
    <row r="254" spans="3:17">
      <c r="C254" s="1459"/>
      <c r="D254" s="1459"/>
      <c r="E254" s="1459" t="s">
        <v>134</v>
      </c>
      <c r="F254" s="1459" t="s">
        <v>132</v>
      </c>
      <c r="G254" s="1459"/>
      <c r="H254" s="1459"/>
      <c r="I254" s="1547">
        <v>3.4000000000000002E-2</v>
      </c>
      <c r="J254" s="1547">
        <v>0</v>
      </c>
      <c r="K254" s="1547">
        <v>3.4000000000000002E-2</v>
      </c>
      <c r="L254" s="1547">
        <v>9.6000000000000002E-2</v>
      </c>
      <c r="M254" s="1547">
        <v>0</v>
      </c>
      <c r="N254" s="1547">
        <v>9.6000000000000002E-2</v>
      </c>
      <c r="O254" s="1547">
        <v>8.8999999999999996E-2</v>
      </c>
      <c r="P254" s="1547">
        <v>0</v>
      </c>
      <c r="Q254" s="1547">
        <v>8.8999999999999996E-2</v>
      </c>
    </row>
    <row r="255" spans="3:17">
      <c r="C255" s="1459"/>
      <c r="D255" s="1459"/>
      <c r="E255" s="1459" t="s">
        <v>135</v>
      </c>
      <c r="F255" s="1459" t="s">
        <v>132</v>
      </c>
      <c r="G255" s="1459"/>
      <c r="H255" s="1459"/>
      <c r="I255" s="1547">
        <v>2E-3</v>
      </c>
      <c r="J255" s="1547">
        <v>0</v>
      </c>
      <c r="K255" s="1547">
        <v>2E-3</v>
      </c>
      <c r="L255" s="1547">
        <v>1.2999999999999999E-2</v>
      </c>
      <c r="M255" s="1547">
        <v>0</v>
      </c>
      <c r="N255" s="1547">
        <v>1.2999999999999999E-2</v>
      </c>
      <c r="O255" s="1547">
        <v>0.01</v>
      </c>
      <c r="P255" s="1547">
        <v>0</v>
      </c>
      <c r="Q255" s="1547">
        <v>9.6900000000000007E-3</v>
      </c>
    </row>
    <row r="256" spans="3:17">
      <c r="C256" s="1459"/>
      <c r="D256" s="1459" t="s">
        <v>551</v>
      </c>
      <c r="E256" s="1459" t="s">
        <v>128</v>
      </c>
      <c r="F256" s="1459" t="s">
        <v>205</v>
      </c>
      <c r="G256" s="1459"/>
      <c r="H256" s="1459"/>
      <c r="I256" s="1547">
        <v>0.436</v>
      </c>
      <c r="J256" s="1547">
        <v>0</v>
      </c>
      <c r="K256" s="1547">
        <v>0</v>
      </c>
      <c r="L256" s="1547">
        <v>0.999</v>
      </c>
      <c r="M256" s="1547">
        <v>0</v>
      </c>
      <c r="N256" s="1547">
        <v>0</v>
      </c>
      <c r="O256" s="1547">
        <v>0.81599999999999995</v>
      </c>
      <c r="P256" s="1547">
        <v>0</v>
      </c>
      <c r="Q256" s="1547">
        <v>0</v>
      </c>
    </row>
    <row r="257" spans="3:17">
      <c r="C257" s="1459"/>
      <c r="D257" s="1459"/>
      <c r="E257" s="1459" t="s">
        <v>130</v>
      </c>
      <c r="F257" s="1459" t="s">
        <v>205</v>
      </c>
      <c r="G257" s="1459"/>
      <c r="H257" s="1459"/>
      <c r="I257" s="1547">
        <v>0</v>
      </c>
      <c r="J257" s="1547">
        <v>0</v>
      </c>
      <c r="K257" s="1547">
        <v>0.436</v>
      </c>
      <c r="L257" s="1547">
        <v>0</v>
      </c>
      <c r="M257" s="1547">
        <v>0</v>
      </c>
      <c r="N257" s="1547">
        <v>0.999</v>
      </c>
      <c r="O257" s="1547">
        <v>0</v>
      </c>
      <c r="P257" s="1547">
        <v>0</v>
      </c>
      <c r="Q257" s="1547">
        <v>0.81599999999999995</v>
      </c>
    </row>
    <row r="258" spans="3:17">
      <c r="C258" s="1459"/>
      <c r="D258" s="1459"/>
      <c r="E258" s="1459" t="s">
        <v>131</v>
      </c>
      <c r="F258" s="1459" t="s">
        <v>132</v>
      </c>
      <c r="G258" s="1459"/>
      <c r="H258" s="1459"/>
      <c r="I258" s="1547">
        <v>0.10299999999999999</v>
      </c>
      <c r="J258" s="1547">
        <v>0</v>
      </c>
      <c r="K258" s="1547">
        <v>0.10299999999999999</v>
      </c>
      <c r="L258" s="1547">
        <v>4.0000000000000001E-3</v>
      </c>
      <c r="M258" s="1547">
        <v>0</v>
      </c>
      <c r="N258" s="1547">
        <v>4.0000000000000001E-3</v>
      </c>
      <c r="O258" s="1547">
        <v>8.4000000000000005E-2</v>
      </c>
      <c r="P258" s="1547">
        <v>0</v>
      </c>
      <c r="Q258" s="1547">
        <v>8.4000000000000005E-2</v>
      </c>
    </row>
    <row r="259" spans="3:17">
      <c r="C259" s="1548"/>
      <c r="D259" s="1548"/>
      <c r="E259" s="1548" t="s">
        <v>133</v>
      </c>
      <c r="F259" s="1548" t="s">
        <v>132</v>
      </c>
      <c r="G259" s="1548"/>
      <c r="H259" s="1548"/>
      <c r="I259" s="1547"/>
      <c r="J259" s="1547">
        <v>0</v>
      </c>
      <c r="K259" s="1547">
        <v>0</v>
      </c>
      <c r="L259" s="1547"/>
      <c r="M259" s="1547">
        <v>0</v>
      </c>
      <c r="N259" s="1547">
        <v>0</v>
      </c>
      <c r="O259" s="1547"/>
      <c r="P259" s="1547">
        <v>0</v>
      </c>
      <c r="Q259" s="1547">
        <v>0</v>
      </c>
    </row>
    <row r="260" spans="3:17">
      <c r="C260" s="1459"/>
      <c r="D260" s="1459"/>
      <c r="E260" s="1459" t="s">
        <v>134</v>
      </c>
      <c r="F260" s="1459" t="s">
        <v>132</v>
      </c>
      <c r="G260" s="1459"/>
      <c r="H260" s="1459"/>
      <c r="I260" s="1547">
        <v>3.4000000000000002E-2</v>
      </c>
      <c r="J260" s="1547">
        <v>0</v>
      </c>
      <c r="K260" s="1547">
        <v>3.4000000000000002E-2</v>
      </c>
      <c r="L260" s="1547">
        <v>0.111</v>
      </c>
      <c r="M260" s="1547">
        <v>0</v>
      </c>
      <c r="N260" s="1547">
        <v>0.111</v>
      </c>
      <c r="O260" s="1547">
        <v>9.2999999999999999E-2</v>
      </c>
      <c r="P260" s="1547">
        <v>0</v>
      </c>
      <c r="Q260" s="1547">
        <v>9.2999999999999999E-2</v>
      </c>
    </row>
    <row r="261" spans="3:17">
      <c r="C261" s="1459"/>
      <c r="D261" s="1459"/>
      <c r="E261" s="1459" t="s">
        <v>135</v>
      </c>
      <c r="F261" s="1459" t="s">
        <v>132</v>
      </c>
      <c r="G261" s="1459"/>
      <c r="H261" s="1459"/>
      <c r="I261" s="1547">
        <v>5.0000000000000001E-3</v>
      </c>
      <c r="J261" s="1547">
        <v>0</v>
      </c>
      <c r="K261" s="1547">
        <v>4.7099999999999998E-3</v>
      </c>
      <c r="L261" s="1547">
        <v>1.4E-2</v>
      </c>
      <c r="M261" s="1547">
        <v>0</v>
      </c>
      <c r="N261" s="1547">
        <v>1.434E-2</v>
      </c>
      <c r="O261" s="1547">
        <v>1.2E-2</v>
      </c>
      <c r="P261" s="1547">
        <v>0</v>
      </c>
      <c r="Q261" s="1547">
        <v>1.248E-2</v>
      </c>
    </row>
    <row r="262" spans="3:17">
      <c r="C262" s="1459"/>
      <c r="D262" s="1459" t="s">
        <v>858</v>
      </c>
      <c r="E262" s="1459" t="s">
        <v>128</v>
      </c>
      <c r="F262" s="1459" t="s">
        <v>205</v>
      </c>
      <c r="G262" s="1459"/>
      <c r="H262" s="1459"/>
      <c r="I262" s="1547">
        <v>0.32300000000000001</v>
      </c>
      <c r="J262" s="1547">
        <v>0</v>
      </c>
      <c r="K262" s="1547">
        <v>0</v>
      </c>
      <c r="L262" s="1547">
        <v>0.73399999999999999</v>
      </c>
      <c r="M262" s="1547">
        <v>0</v>
      </c>
      <c r="N262" s="1547">
        <v>0</v>
      </c>
      <c r="O262" s="1547">
        <v>0.75</v>
      </c>
      <c r="P262" s="1547">
        <v>0</v>
      </c>
      <c r="Q262" s="1547">
        <v>0</v>
      </c>
    </row>
    <row r="263" spans="3:17">
      <c r="C263" s="1459"/>
      <c r="D263" s="1459"/>
      <c r="E263" s="1459" t="s">
        <v>130</v>
      </c>
      <c r="F263" s="1459" t="s">
        <v>205</v>
      </c>
      <c r="G263" s="1459"/>
      <c r="H263" s="1459"/>
      <c r="I263" s="1547">
        <v>0</v>
      </c>
      <c r="J263" s="1547">
        <v>0</v>
      </c>
      <c r="K263" s="1547">
        <v>0.32300000000000001</v>
      </c>
      <c r="L263" s="1547">
        <v>0</v>
      </c>
      <c r="M263" s="1547">
        <v>0</v>
      </c>
      <c r="N263" s="1547">
        <v>0.73399999999999999</v>
      </c>
      <c r="O263" s="1547">
        <v>0</v>
      </c>
      <c r="P263" s="1547">
        <v>0</v>
      </c>
      <c r="Q263" s="1547">
        <v>0.75</v>
      </c>
    </row>
    <row r="264" spans="3:17">
      <c r="C264" s="1459"/>
      <c r="D264" s="1459"/>
      <c r="E264" s="1459" t="s">
        <v>131</v>
      </c>
      <c r="F264" s="1459" t="s">
        <v>132</v>
      </c>
      <c r="G264" s="1459"/>
      <c r="H264" s="1459"/>
      <c r="I264" s="1547">
        <v>4.8000000000000001E-2</v>
      </c>
      <c r="J264" s="1547">
        <v>0</v>
      </c>
      <c r="K264" s="1547">
        <v>4.8000000000000001E-2</v>
      </c>
      <c r="L264" s="1547">
        <v>1.2E-2</v>
      </c>
      <c r="M264" s="1547">
        <v>0</v>
      </c>
      <c r="N264" s="1547">
        <v>1.2E-2</v>
      </c>
      <c r="O264" s="1547">
        <v>5.1999999999999998E-2</v>
      </c>
      <c r="P264" s="1547">
        <v>0</v>
      </c>
      <c r="Q264" s="1547">
        <v>5.1999999999999998E-2</v>
      </c>
    </row>
    <row r="265" spans="3:17">
      <c r="C265" s="1548"/>
      <c r="D265" s="1548"/>
      <c r="E265" s="1548" t="s">
        <v>133</v>
      </c>
      <c r="F265" s="1548" t="s">
        <v>132</v>
      </c>
      <c r="G265" s="1548"/>
      <c r="H265" s="1548"/>
      <c r="I265" s="1547"/>
      <c r="J265" s="1547">
        <v>0</v>
      </c>
      <c r="K265" s="1547">
        <v>0</v>
      </c>
      <c r="L265" s="1547"/>
      <c r="M265" s="1547">
        <v>0</v>
      </c>
      <c r="N265" s="1547">
        <v>0</v>
      </c>
      <c r="O265" s="1547"/>
      <c r="P265" s="1547">
        <v>0</v>
      </c>
      <c r="Q265" s="1547">
        <v>0</v>
      </c>
    </row>
    <row r="266" spans="3:17">
      <c r="C266" s="1459"/>
      <c r="D266" s="1459"/>
      <c r="E266" s="1459" t="s">
        <v>134</v>
      </c>
      <c r="F266" s="1459" t="s">
        <v>132</v>
      </c>
      <c r="G266" s="1459"/>
      <c r="H266" s="1459"/>
      <c r="I266" s="1547">
        <v>1.9E-2</v>
      </c>
      <c r="J266" s="1547">
        <v>0</v>
      </c>
      <c r="K266" s="1547">
        <v>1.9E-2</v>
      </c>
      <c r="L266" s="1547">
        <v>0.1</v>
      </c>
      <c r="M266" s="1547">
        <v>0</v>
      </c>
      <c r="N266" s="1547">
        <v>0.1</v>
      </c>
      <c r="O266" s="1547">
        <v>0.13600000000000001</v>
      </c>
      <c r="P266" s="1547">
        <v>0</v>
      </c>
      <c r="Q266" s="1547">
        <v>0.13600000000000001</v>
      </c>
    </row>
    <row r="267" spans="3:17">
      <c r="C267" s="1459"/>
      <c r="D267" s="1459"/>
      <c r="E267" s="1459" t="s">
        <v>135</v>
      </c>
      <c r="F267" s="1459" t="s">
        <v>132</v>
      </c>
      <c r="G267" s="1459"/>
      <c r="H267" s="1459"/>
      <c r="I267" s="1547">
        <v>2E-3</v>
      </c>
      <c r="J267" s="1547">
        <v>0</v>
      </c>
      <c r="K267" s="1547">
        <v>1.98E-3</v>
      </c>
      <c r="L267" s="1547">
        <v>1.2999999999999999E-2</v>
      </c>
      <c r="M267" s="1547">
        <v>0</v>
      </c>
      <c r="N267" s="1547">
        <v>1.329E-2</v>
      </c>
      <c r="O267" s="1547">
        <v>0.125</v>
      </c>
      <c r="P267" s="1547">
        <v>0</v>
      </c>
      <c r="Q267" s="1547">
        <v>0.12509999999999999</v>
      </c>
    </row>
    <row r="268" spans="3:17">
      <c r="C268" s="1487" t="s">
        <v>259</v>
      </c>
      <c r="D268" s="1487"/>
      <c r="E268" s="1459"/>
      <c r="F268" s="1459"/>
      <c r="G268" s="1459"/>
      <c r="H268" s="1459"/>
      <c r="I268" s="1459"/>
      <c r="J268" s="1458"/>
      <c r="K268" s="1458"/>
      <c r="L268" s="1458"/>
      <c r="M268" s="1458"/>
      <c r="N268" s="1458"/>
      <c r="O268" s="1458"/>
      <c r="P268" s="1458"/>
      <c r="Q268" s="1458"/>
    </row>
    <row r="269" spans="3:17">
      <c r="C269" s="1459"/>
      <c r="D269" s="1487" t="s">
        <v>617</v>
      </c>
      <c r="E269" s="1459"/>
      <c r="F269" s="1459"/>
      <c r="G269" s="1459"/>
      <c r="H269" s="1459"/>
      <c r="I269" s="1542">
        <v>25</v>
      </c>
      <c r="J269" s="1458" t="s">
        <v>1007</v>
      </c>
      <c r="K269" s="1458"/>
      <c r="L269" s="1458"/>
      <c r="M269" s="1458"/>
      <c r="N269" s="1458"/>
      <c r="O269" s="1458"/>
      <c r="P269" s="1458"/>
      <c r="Q269" s="1458"/>
    </row>
    <row r="270" spans="3:17" hidden="1">
      <c r="C270" s="1459"/>
      <c r="D270" s="1497" t="s">
        <v>156</v>
      </c>
      <c r="E270" s="1459"/>
      <c r="F270" s="1459"/>
      <c r="G270" s="1459"/>
      <c r="H270" s="1459"/>
      <c r="I270" s="1542"/>
      <c r="J270" s="1458"/>
      <c r="K270" s="1458"/>
      <c r="L270" s="1458"/>
      <c r="M270" s="1458"/>
      <c r="N270" s="1458"/>
      <c r="O270" s="1458"/>
      <c r="P270" s="1458"/>
      <c r="Q270" s="1458"/>
    </row>
    <row r="271" spans="3:17">
      <c r="C271" s="1459"/>
      <c r="D271" s="1487" t="s">
        <v>616</v>
      </c>
      <c r="E271" s="1459"/>
      <c r="F271" s="1487"/>
      <c r="G271" s="1459"/>
      <c r="H271" s="1459"/>
      <c r="I271" s="1542">
        <v>18</v>
      </c>
      <c r="J271" s="1458" t="s">
        <v>1007</v>
      </c>
      <c r="K271" s="1458"/>
      <c r="L271" s="1458"/>
      <c r="M271" s="1458"/>
      <c r="N271" s="1458"/>
      <c r="O271" s="1458"/>
      <c r="P271" s="1458"/>
      <c r="Q271" s="1458"/>
    </row>
    <row r="272" spans="3:17">
      <c r="C272" s="1459"/>
      <c r="D272" s="1487" t="s">
        <v>157</v>
      </c>
      <c r="E272" s="1459"/>
      <c r="F272" s="1487"/>
      <c r="G272" s="1459"/>
      <c r="H272" s="1459"/>
      <c r="I272" s="1542">
        <v>15</v>
      </c>
      <c r="J272" s="1458" t="s">
        <v>1007</v>
      </c>
      <c r="K272" s="1458"/>
      <c r="L272" s="1458"/>
      <c r="M272" s="1458"/>
      <c r="N272" s="1458"/>
      <c r="O272" s="1458"/>
      <c r="P272" s="1458"/>
      <c r="Q272" s="1458"/>
    </row>
    <row r="273" spans="3:17">
      <c r="C273" s="1459"/>
      <c r="D273" s="1487"/>
      <c r="E273" s="1459"/>
      <c r="F273" s="1459"/>
      <c r="G273" s="1459"/>
      <c r="H273" s="1459"/>
      <c r="I273" s="1459"/>
      <c r="J273" s="1459"/>
      <c r="K273" s="1458"/>
      <c r="L273" s="1458"/>
      <c r="M273" s="1458"/>
      <c r="N273" s="1458"/>
      <c r="O273" s="1458"/>
      <c r="P273" s="1458"/>
      <c r="Q273" s="1458"/>
    </row>
    <row r="274" spans="3:17">
      <c r="C274" s="1459" t="s">
        <v>260</v>
      </c>
      <c r="D274" s="1459"/>
      <c r="E274" s="1459"/>
      <c r="F274" s="1459"/>
      <c r="G274" s="1459"/>
      <c r="H274" s="1459"/>
      <c r="I274" s="1459"/>
      <c r="J274" s="1459"/>
      <c r="K274" s="1459"/>
      <c r="L274" s="1459"/>
      <c r="M274" s="1459"/>
      <c r="N274" s="1459"/>
      <c r="O274" s="1459"/>
      <c r="P274" s="1459"/>
      <c r="Q274" s="1459"/>
    </row>
    <row r="275" spans="3:17">
      <c r="C275" s="1459"/>
      <c r="D275" s="1459" t="s">
        <v>617</v>
      </c>
      <c r="E275" s="1459"/>
      <c r="F275" s="1459"/>
      <c r="G275" s="1459"/>
      <c r="H275" s="1459"/>
      <c r="I275" s="1541">
        <v>0.01</v>
      </c>
      <c r="J275" s="1459" t="s">
        <v>261</v>
      </c>
      <c r="K275" s="1459"/>
      <c r="L275" s="1459"/>
      <c r="M275" s="1459"/>
      <c r="N275" s="1459"/>
      <c r="O275" s="1459"/>
      <c r="P275" s="1459"/>
      <c r="Q275" s="1459"/>
    </row>
    <row r="276" spans="3:17">
      <c r="C276" s="1459"/>
      <c r="D276" s="1459" t="s">
        <v>616</v>
      </c>
      <c r="E276" s="1459"/>
      <c r="F276" s="1459"/>
      <c r="G276" s="1459"/>
      <c r="H276" s="1459"/>
      <c r="I276" s="1541">
        <v>0.01</v>
      </c>
      <c r="J276" s="1459" t="s">
        <v>261</v>
      </c>
      <c r="K276" s="1459"/>
      <c r="L276" s="1459"/>
      <c r="M276" s="1459"/>
      <c r="N276" s="1459"/>
      <c r="O276" s="1459"/>
      <c r="P276" s="1459"/>
      <c r="Q276" s="1459"/>
    </row>
    <row r="277" spans="3:17">
      <c r="C277" s="1459"/>
      <c r="D277" s="1459" t="s">
        <v>157</v>
      </c>
      <c r="E277" s="1459"/>
      <c r="F277" s="1459"/>
      <c r="G277" s="1459"/>
      <c r="H277" s="1459"/>
      <c r="I277" s="1541">
        <v>0.02</v>
      </c>
      <c r="J277" s="1459" t="s">
        <v>261</v>
      </c>
      <c r="K277" s="1459"/>
      <c r="L277" s="1459"/>
      <c r="M277" s="1459"/>
      <c r="N277" s="1459"/>
      <c r="O277" s="1459"/>
      <c r="P277" s="1459"/>
      <c r="Q277" s="1459"/>
    </row>
    <row r="278" spans="3:17"/>
    <row r="279" spans="3:17" ht="9" hidden="1" customHeight="1"/>
    <row r="280" spans="3:17" hidden="1"/>
    <row r="281" spans="3:17"/>
    <row r="282" spans="3:17"/>
    <row r="283" spans="3:17"/>
    <row r="284" spans="3:17"/>
    <row r="285" spans="3:17"/>
    <row r="286" spans="3:17"/>
    <row r="287" spans="3:17"/>
    <row r="288" spans="3:17"/>
    <row r="289"/>
    <row r="290"/>
    <row r="291"/>
    <row r="292"/>
    <row r="293"/>
    <row r="294"/>
    <row r="295"/>
    <row r="296"/>
    <row r="297"/>
    <row r="298"/>
    <row r="299"/>
    <row r="300"/>
    <row r="301"/>
    <row r="302"/>
  </sheetData>
  <sheetProtection password="8D30" sheet="1" objects="1" scenarios="1"/>
  <phoneticPr fontId="20"/>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2" orientation="portrait" verticalDpi="300" r:id="rId1"/>
  <headerFooter alignWithMargins="0">
    <oddHeader>&amp;L&amp;F&amp;R&amp;A</oddHeader>
    <oddFooter>&amp;C&amp;P/&amp;N</oddFooter>
  </headerFooter>
  <rowBreaks count="2" manualBreakCount="2">
    <brk id="146" max="17" man="1"/>
    <brk id="198" max="1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0C0C0"/>
    <pageSetUpPr autoPageBreaks="0"/>
  </sheetPr>
  <dimension ref="A1:BY181"/>
  <sheetViews>
    <sheetView showGridLines="0" zoomScaleNormal="100" zoomScaleSheetLayoutView="100" workbookViewId="0">
      <selection activeCell="D1" sqref="D1"/>
    </sheetView>
  </sheetViews>
  <sheetFormatPr defaultColWidth="0" defaultRowHeight="13.5" zeroHeight="1"/>
  <cols>
    <col min="1" max="1" width="2.25" customWidth="1"/>
    <col min="2" max="2" width="5.625" style="1550" customWidth="1"/>
    <col min="3" max="3" width="24.875" style="1551" customWidth="1"/>
    <col min="4" max="4" width="9" style="1696" customWidth="1"/>
    <col min="5" max="5" width="9" style="1552" customWidth="1"/>
    <col min="6" max="6" width="1.625" customWidth="1"/>
    <col min="7" max="12" width="9" style="1552" customWidth="1"/>
    <col min="13" max="13" width="2" customWidth="1"/>
    <col min="14" max="15" width="9" style="1696" customWidth="1"/>
    <col min="16" max="19" width="9" style="1552" customWidth="1"/>
    <col min="20" max="20" width="1.875" style="1552" customWidth="1"/>
    <col min="21" max="22" width="9" style="1552" customWidth="1"/>
    <col min="23" max="23" width="1.5" style="1552" customWidth="1"/>
    <col min="24" max="25" width="9" style="1552" customWidth="1"/>
    <col min="26" max="26" width="1.5" style="1553" customWidth="1"/>
    <col min="27" max="27" width="6.625" style="1554" customWidth="1"/>
    <col min="28" max="28" width="7.125" style="1554" hidden="1" customWidth="1"/>
    <col min="29" max="29" width="24.875" style="1555" customWidth="1"/>
    <col min="30" max="42" width="6.625" style="1556" customWidth="1"/>
    <col min="43" max="43" width="1.625" style="1557" customWidth="1"/>
    <col min="44" max="45" width="6.625" style="1558" hidden="1" customWidth="1"/>
    <col min="46" max="46" width="24.875" style="1558" hidden="1" customWidth="1"/>
    <col min="47" max="59" width="6.625" style="1558" hidden="1" customWidth="1"/>
    <col min="60" max="60" width="1.375" hidden="1" customWidth="1"/>
    <col min="61" max="62" width="6.625" style="1558" hidden="1" customWidth="1"/>
    <col min="63" max="63" width="24.875" style="1558" hidden="1" customWidth="1"/>
    <col min="64" max="76" width="6.625" style="1558" hidden="1" customWidth="1"/>
    <col min="77" max="77" width="0" hidden="1" customWidth="1"/>
    <col min="78" max="16384" width="1.375" style="1558" hidden="1"/>
  </cols>
  <sheetData>
    <row r="1" spans="1:77">
      <c r="AR1" s="1747"/>
      <c r="AS1" s="1747"/>
      <c r="AT1" s="1747"/>
      <c r="AU1" s="1747"/>
      <c r="AV1" s="1747"/>
      <c r="AW1" s="1747"/>
      <c r="AX1" s="1747"/>
      <c r="AY1" s="1747"/>
      <c r="AZ1" s="1747"/>
      <c r="BA1" s="1747"/>
      <c r="BB1" s="1747"/>
      <c r="BC1" s="1747"/>
      <c r="BD1" s="1747"/>
      <c r="BE1" s="1747"/>
      <c r="BF1" s="1747"/>
      <c r="BG1" s="1747"/>
      <c r="BI1" s="1747"/>
      <c r="BJ1" s="1747"/>
      <c r="BK1" s="1747"/>
      <c r="BL1" s="1747"/>
      <c r="BM1" s="1747"/>
      <c r="BN1" s="1747"/>
      <c r="BO1" s="1747"/>
      <c r="BP1" s="1747"/>
      <c r="BQ1" s="1747"/>
      <c r="BR1" s="1747"/>
      <c r="BS1" s="1747"/>
      <c r="BT1" s="1747"/>
      <c r="BU1" s="1747"/>
      <c r="BV1" s="1747"/>
      <c r="BW1" s="1747"/>
      <c r="BX1" s="1747"/>
    </row>
    <row r="2" spans="1:77" s="1567" customFormat="1" ht="17.25">
      <c r="A2"/>
      <c r="B2" s="1697" t="s">
        <v>262</v>
      </c>
      <c r="C2" s="1559"/>
      <c r="D2" s="1698"/>
      <c r="E2" s="1560"/>
      <c r="F2"/>
      <c r="G2" s="1699"/>
      <c r="H2" s="1699"/>
      <c r="I2" s="1560"/>
      <c r="J2" s="1560"/>
      <c r="K2" s="1560"/>
      <c r="L2" s="1560"/>
      <c r="M2"/>
      <c r="N2" s="1698"/>
      <c r="O2" s="1698"/>
      <c r="P2" s="1699"/>
      <c r="Q2" s="1699"/>
      <c r="R2" s="1560"/>
      <c r="S2" s="1560"/>
      <c r="T2" s="1560"/>
      <c r="U2" s="1560"/>
      <c r="V2" s="1560"/>
      <c r="W2" s="1560"/>
      <c r="X2" s="1560"/>
      <c r="Y2" s="1560"/>
      <c r="Z2" s="1561"/>
      <c r="AA2" s="1562" t="s">
        <v>400</v>
      </c>
      <c r="AB2" s="1563"/>
      <c r="AC2" s="1564"/>
      <c r="AD2" s="1564"/>
      <c r="AE2" s="1565"/>
      <c r="AF2" s="1565"/>
      <c r="AG2" s="1565"/>
      <c r="AH2" s="1565"/>
      <c r="AI2" s="1565"/>
      <c r="AJ2" s="1565"/>
      <c r="AK2" s="1565"/>
      <c r="AL2" s="1565"/>
      <c r="AM2" s="1565"/>
      <c r="AN2" s="1565"/>
      <c r="AO2" s="1565"/>
      <c r="AP2" s="1565"/>
      <c r="AQ2" s="1566"/>
      <c r="AR2" s="1564"/>
      <c r="AS2" s="1564"/>
      <c r="AT2" s="1564"/>
      <c r="AU2" s="1564"/>
      <c r="AV2" s="1564"/>
      <c r="AW2" s="1564"/>
      <c r="AX2" s="1564"/>
      <c r="AY2" s="1564"/>
      <c r="AZ2" s="1564"/>
      <c r="BA2" s="1564"/>
      <c r="BB2" s="1564"/>
      <c r="BC2" s="1564"/>
      <c r="BD2" s="1564"/>
      <c r="BE2" s="1564"/>
      <c r="BF2" s="1564"/>
      <c r="BG2" s="1564"/>
      <c r="BH2"/>
      <c r="BI2" s="1564"/>
      <c r="BJ2" s="1564"/>
      <c r="BK2" s="1564"/>
      <c r="BL2" s="1564"/>
      <c r="BM2" s="1564"/>
      <c r="BN2" s="1564"/>
      <c r="BO2" s="1564"/>
      <c r="BP2" s="1564"/>
      <c r="BQ2" s="1564"/>
      <c r="BR2" s="1564"/>
      <c r="BS2" s="1564"/>
      <c r="BT2" s="1564"/>
      <c r="BU2" s="1564"/>
      <c r="BV2" s="1564"/>
      <c r="BW2" s="1564"/>
      <c r="BX2" s="1564"/>
      <c r="BY2"/>
    </row>
    <row r="3" spans="1:77" s="1567" customFormat="1" ht="17.25">
      <c r="A3"/>
      <c r="B3" s="1697"/>
      <c r="C3" s="1559"/>
      <c r="D3" s="1698"/>
      <c r="E3" s="1560"/>
      <c r="F3"/>
      <c r="G3" s="1699"/>
      <c r="H3" s="1699"/>
      <c r="I3" s="1560"/>
      <c r="J3" s="1560"/>
      <c r="K3" s="1560"/>
      <c r="L3" s="1560"/>
      <c r="M3"/>
      <c r="N3" s="1698"/>
      <c r="O3" s="1698"/>
      <c r="P3" s="1699"/>
      <c r="Q3" s="1699"/>
      <c r="R3" s="1560"/>
      <c r="S3" s="1560"/>
      <c r="T3" s="1560"/>
      <c r="U3" s="1560"/>
      <c r="V3" s="1560"/>
      <c r="X3" s="1560"/>
      <c r="Y3" s="1560"/>
      <c r="Z3" s="1561"/>
      <c r="AA3" s="1748">
        <v>2</v>
      </c>
      <c r="AB3" s="1564"/>
      <c r="AC3" s="1997" t="s">
        <v>847</v>
      </c>
      <c r="AD3" s="1998">
        <v>2</v>
      </c>
      <c r="AE3" s="1565"/>
      <c r="AF3" s="1565"/>
      <c r="AG3" s="1565"/>
      <c r="AH3" s="1565"/>
      <c r="AI3" s="1565"/>
      <c r="AJ3" s="1565"/>
      <c r="AK3" s="1565"/>
      <c r="AL3" s="1565"/>
      <c r="AM3" s="1565"/>
      <c r="AN3" s="1565"/>
      <c r="AO3" s="1565"/>
      <c r="AP3" s="1565"/>
      <c r="AQ3" s="1566"/>
      <c r="AR3" s="1563" t="s">
        <v>401</v>
      </c>
      <c r="AS3" s="1564"/>
      <c r="AT3" s="1568"/>
      <c r="AU3" s="1565"/>
      <c r="AV3" s="1565"/>
      <c r="AW3" s="1565"/>
      <c r="AX3" s="1565"/>
      <c r="AY3" s="1565"/>
      <c r="AZ3" s="1565"/>
      <c r="BA3" s="1565"/>
      <c r="BB3" s="1565"/>
      <c r="BC3" s="1565"/>
      <c r="BD3" s="1565"/>
      <c r="BE3" s="1565"/>
      <c r="BF3" s="1565"/>
      <c r="BG3" s="1565"/>
      <c r="BH3"/>
      <c r="BI3" s="1563" t="s">
        <v>402</v>
      </c>
      <c r="BJ3" s="1564"/>
      <c r="BK3" s="1568"/>
      <c r="BL3" s="1565"/>
      <c r="BM3" s="1565"/>
      <c r="BN3" s="1565"/>
      <c r="BO3" s="1565"/>
      <c r="BP3" s="1565"/>
      <c r="BQ3" s="1565"/>
      <c r="BR3" s="1565"/>
      <c r="BS3" s="1565"/>
      <c r="BT3" s="1565"/>
      <c r="BU3" s="1565"/>
      <c r="BV3" s="1565"/>
      <c r="BW3" s="1565"/>
      <c r="BX3" s="1565"/>
      <c r="BY3"/>
    </row>
    <row r="4" spans="1:77" s="1567" customFormat="1" ht="4.5" customHeight="1">
      <c r="A4"/>
      <c r="B4" s="1697"/>
      <c r="C4" s="1559"/>
      <c r="D4" s="1698"/>
      <c r="E4" s="1560"/>
      <c r="F4"/>
      <c r="G4" s="1699"/>
      <c r="H4" s="1699"/>
      <c r="I4" s="1560"/>
      <c r="J4" s="1560"/>
      <c r="K4" s="1560"/>
      <c r="L4" s="1560"/>
      <c r="M4"/>
      <c r="N4" s="1698"/>
      <c r="O4" s="1698"/>
      <c r="P4" s="1699"/>
      <c r="Q4" s="1699"/>
      <c r="R4" s="1560"/>
      <c r="S4" s="1560"/>
      <c r="T4" s="1560"/>
      <c r="U4" s="1560"/>
      <c r="V4" s="1560"/>
      <c r="W4" s="1560"/>
      <c r="X4" s="1560"/>
      <c r="Y4" s="1560"/>
      <c r="Z4" s="1561"/>
      <c r="AA4" s="1563"/>
      <c r="AB4" s="1563"/>
      <c r="AC4" s="1568"/>
      <c r="AD4" s="1565"/>
      <c r="AE4" s="1565"/>
      <c r="AF4" s="1565"/>
      <c r="AG4" s="1565"/>
      <c r="AH4" s="1565"/>
      <c r="AI4" s="1565"/>
      <c r="AJ4" s="1565"/>
      <c r="AK4" s="1565"/>
      <c r="AL4" s="1565"/>
      <c r="AM4" s="1565"/>
      <c r="AN4" s="1565"/>
      <c r="AO4" s="1565"/>
      <c r="AP4" s="1565"/>
      <c r="AQ4" s="1566"/>
      <c r="AR4" s="1563"/>
      <c r="AS4" s="1563"/>
      <c r="AT4" s="1568"/>
      <c r="AU4" s="1565"/>
      <c r="AV4" s="1565"/>
      <c r="AW4" s="1565"/>
      <c r="AX4" s="1565"/>
      <c r="AY4" s="1565"/>
      <c r="AZ4" s="1565"/>
      <c r="BA4" s="1565"/>
      <c r="BB4" s="1565"/>
      <c r="BC4" s="1565"/>
      <c r="BD4" s="1565"/>
      <c r="BE4" s="1565"/>
      <c r="BF4" s="1565"/>
      <c r="BG4" s="1565"/>
      <c r="BH4"/>
      <c r="BI4" s="1563"/>
      <c r="BJ4" s="1563"/>
      <c r="BK4" s="1568"/>
      <c r="BL4" s="1565"/>
      <c r="BM4" s="1565"/>
      <c r="BN4" s="1565"/>
      <c r="BO4" s="1565"/>
      <c r="BP4" s="1565"/>
      <c r="BQ4" s="1565"/>
      <c r="BR4" s="1565"/>
      <c r="BS4" s="1565"/>
      <c r="BT4" s="1565"/>
      <c r="BU4" s="1565"/>
      <c r="BV4" s="1565"/>
      <c r="BW4" s="1565"/>
      <c r="BX4" s="1565"/>
      <c r="BY4"/>
    </row>
    <row r="5" spans="1:77" ht="13.5" customHeight="1">
      <c r="B5" s="2932"/>
      <c r="C5" s="2933"/>
      <c r="D5" s="1700" t="s">
        <v>388</v>
      </c>
      <c r="E5" s="2023"/>
      <c r="G5" s="2024" t="s">
        <v>390</v>
      </c>
      <c r="H5" s="2025"/>
      <c r="I5" s="2026" t="s">
        <v>389</v>
      </c>
      <c r="J5" s="2027"/>
      <c r="K5" s="1569" t="s">
        <v>405</v>
      </c>
      <c r="L5" s="1570"/>
      <c r="N5" s="2439" t="s">
        <v>403</v>
      </c>
      <c r="O5" s="1700"/>
      <c r="P5" s="1701" t="s">
        <v>404</v>
      </c>
      <c r="Q5" s="1702"/>
      <c r="R5" s="1569" t="s">
        <v>406</v>
      </c>
      <c r="S5" s="1570"/>
      <c r="T5" s="1560"/>
      <c r="U5" s="1569" t="s">
        <v>392</v>
      </c>
      <c r="V5" s="1570"/>
      <c r="W5" s="1560"/>
      <c r="X5" s="1569" t="s">
        <v>396</v>
      </c>
      <c r="Y5" s="1570"/>
      <c r="Z5" s="1571"/>
      <c r="AA5" s="1572"/>
      <c r="AB5" s="1572"/>
      <c r="AC5" s="1572"/>
      <c r="AD5" s="1573" t="s">
        <v>407</v>
      </c>
      <c r="AE5" s="1574"/>
      <c r="AF5" s="1574"/>
      <c r="AG5" s="1574"/>
      <c r="AH5" s="1574"/>
      <c r="AI5" s="1574"/>
      <c r="AJ5" s="1574"/>
      <c r="AK5" s="1574"/>
      <c r="AL5" s="1574"/>
      <c r="AM5" s="1574" t="s">
        <v>941</v>
      </c>
      <c r="AN5" s="1573" t="s">
        <v>408</v>
      </c>
      <c r="AO5" s="1574"/>
      <c r="AP5" s="1575"/>
      <c r="AQ5" s="1576"/>
      <c r="AR5" s="1572"/>
      <c r="AS5" s="1572"/>
      <c r="AT5" s="1572"/>
      <c r="AU5" s="1573" t="s">
        <v>266</v>
      </c>
      <c r="AV5" s="1574"/>
      <c r="AW5" s="1574"/>
      <c r="AX5" s="1574"/>
      <c r="AY5" s="1574"/>
      <c r="AZ5" s="1574"/>
      <c r="BA5" s="1574"/>
      <c r="BB5" s="1574"/>
      <c r="BC5" s="1574"/>
      <c r="BD5" s="1574" t="s">
        <v>941</v>
      </c>
      <c r="BE5" s="1573" t="s">
        <v>267</v>
      </c>
      <c r="BF5" s="1574"/>
      <c r="BG5" s="1575"/>
      <c r="BI5" s="1572"/>
      <c r="BJ5" s="1572"/>
      <c r="BK5" s="1572"/>
      <c r="BL5" s="1573" t="s">
        <v>266</v>
      </c>
      <c r="BM5" s="1574"/>
      <c r="BN5" s="1574"/>
      <c r="BO5" s="1574"/>
      <c r="BP5" s="1574"/>
      <c r="BQ5" s="1574"/>
      <c r="BR5" s="1574"/>
      <c r="BS5" s="1574"/>
      <c r="BT5" s="1574"/>
      <c r="BU5" s="1574" t="s">
        <v>941</v>
      </c>
      <c r="BV5" s="1573" t="s">
        <v>267</v>
      </c>
      <c r="BW5" s="1574"/>
      <c r="BX5" s="1575"/>
    </row>
    <row r="6" spans="1:77" ht="13.5" customHeight="1">
      <c r="B6" s="2934"/>
      <c r="C6" s="2935"/>
      <c r="D6" s="2034" t="s">
        <v>268</v>
      </c>
      <c r="E6" s="2034" t="s">
        <v>269</v>
      </c>
      <c r="G6" s="2034" t="s">
        <v>268</v>
      </c>
      <c r="H6" s="2034" t="s">
        <v>269</v>
      </c>
      <c r="I6" s="2034" t="s">
        <v>268</v>
      </c>
      <c r="J6" s="2034" t="s">
        <v>269</v>
      </c>
      <c r="K6" s="1578" t="s">
        <v>393</v>
      </c>
      <c r="L6" s="1578" t="s">
        <v>394</v>
      </c>
      <c r="N6" s="1578" t="s">
        <v>393</v>
      </c>
      <c r="O6" s="1578" t="s">
        <v>394</v>
      </c>
      <c r="P6" s="1578" t="s">
        <v>393</v>
      </c>
      <c r="Q6" s="1578" t="s">
        <v>394</v>
      </c>
      <c r="R6" s="1578" t="s">
        <v>393</v>
      </c>
      <c r="S6" s="1578" t="s">
        <v>394</v>
      </c>
      <c r="T6" s="1560"/>
      <c r="U6" s="1578" t="s">
        <v>393</v>
      </c>
      <c r="V6" s="1578" t="s">
        <v>394</v>
      </c>
      <c r="W6" s="1560"/>
      <c r="X6" s="1578" t="s">
        <v>393</v>
      </c>
      <c r="Y6" s="1578" t="s">
        <v>394</v>
      </c>
      <c r="Z6" s="1579"/>
      <c r="AA6" s="1572"/>
      <c r="AB6" s="1572" t="s">
        <v>409</v>
      </c>
      <c r="AC6" s="1572" t="s">
        <v>410</v>
      </c>
      <c r="AD6" s="1580" t="s">
        <v>539</v>
      </c>
      <c r="AE6" s="1580" t="s">
        <v>541</v>
      </c>
      <c r="AF6" s="1580" t="s">
        <v>543</v>
      </c>
      <c r="AG6" s="1580" t="s">
        <v>545</v>
      </c>
      <c r="AH6" s="1580" t="s">
        <v>549</v>
      </c>
      <c r="AI6" s="1580" t="s">
        <v>862</v>
      </c>
      <c r="AJ6" s="1580" t="s">
        <v>553</v>
      </c>
      <c r="AK6" s="1581" t="s">
        <v>195</v>
      </c>
      <c r="AL6" s="1580" t="s">
        <v>196</v>
      </c>
      <c r="AM6" s="1582" t="s">
        <v>541</v>
      </c>
      <c r="AN6" s="1582" t="s">
        <v>270</v>
      </c>
      <c r="AO6" s="1580" t="s">
        <v>271</v>
      </c>
      <c r="AP6" s="1580" t="s">
        <v>272</v>
      </c>
      <c r="AQ6" s="1583"/>
      <c r="AR6" s="1572"/>
      <c r="AS6" s="1572" t="s">
        <v>110</v>
      </c>
      <c r="AT6" s="1572" t="s">
        <v>462</v>
      </c>
      <c r="AU6" s="1580" t="s">
        <v>539</v>
      </c>
      <c r="AV6" s="1580" t="s">
        <v>541</v>
      </c>
      <c r="AW6" s="1580" t="s">
        <v>543</v>
      </c>
      <c r="AX6" s="1580" t="s">
        <v>545</v>
      </c>
      <c r="AY6" s="1580" t="s">
        <v>549</v>
      </c>
      <c r="AZ6" s="1580" t="s">
        <v>862</v>
      </c>
      <c r="BA6" s="1580" t="s">
        <v>553</v>
      </c>
      <c r="BB6" s="1581" t="s">
        <v>861</v>
      </c>
      <c r="BC6" s="1580" t="s">
        <v>555</v>
      </c>
      <c r="BD6" s="1582" t="s">
        <v>541</v>
      </c>
      <c r="BE6" s="1582" t="s">
        <v>270</v>
      </c>
      <c r="BF6" s="1580" t="s">
        <v>271</v>
      </c>
      <c r="BG6" s="1580" t="s">
        <v>272</v>
      </c>
      <c r="BI6" s="1572"/>
      <c r="BJ6" s="1572" t="s">
        <v>110</v>
      </c>
      <c r="BK6" s="1572" t="s">
        <v>462</v>
      </c>
      <c r="BL6" s="1580" t="s">
        <v>539</v>
      </c>
      <c r="BM6" s="1580" t="s">
        <v>541</v>
      </c>
      <c r="BN6" s="1580" t="s">
        <v>543</v>
      </c>
      <c r="BO6" s="1580" t="s">
        <v>545</v>
      </c>
      <c r="BP6" s="1580" t="s">
        <v>549</v>
      </c>
      <c r="BQ6" s="1580" t="s">
        <v>862</v>
      </c>
      <c r="BR6" s="1580" t="s">
        <v>553</v>
      </c>
      <c r="BS6" s="1581" t="s">
        <v>861</v>
      </c>
      <c r="BT6" s="1580" t="s">
        <v>555</v>
      </c>
      <c r="BU6" s="1582" t="s">
        <v>541</v>
      </c>
      <c r="BV6" s="1582" t="s">
        <v>270</v>
      </c>
      <c r="BW6" s="1580" t="s">
        <v>271</v>
      </c>
      <c r="BX6" s="1580" t="s">
        <v>272</v>
      </c>
    </row>
    <row r="7" spans="1:77" ht="13.5" customHeight="1">
      <c r="B7" s="1703"/>
      <c r="C7" s="1584" t="s">
        <v>397</v>
      </c>
      <c r="D7" s="2041">
        <f>1-E7</f>
        <v>1</v>
      </c>
      <c r="E7" s="2042">
        <f>(AD8*X7)+(AE8*Y7)+(AF8*Z7)</f>
        <v>0</v>
      </c>
      <c r="G7" s="2042"/>
      <c r="H7" s="2042"/>
      <c r="I7" s="2042"/>
      <c r="J7" s="2042"/>
      <c r="K7" s="1578"/>
      <c r="L7" s="1578"/>
      <c r="N7" s="2440"/>
      <c r="O7" s="1704"/>
      <c r="P7" s="1578"/>
      <c r="Q7" s="1578"/>
      <c r="R7" s="1578"/>
      <c r="S7" s="1578"/>
      <c r="T7" s="1560"/>
      <c r="U7" s="2442"/>
      <c r="V7" s="1749"/>
      <c r="W7" s="1560"/>
      <c r="X7" s="1578"/>
      <c r="Y7" s="1578"/>
      <c r="Z7" s="1579"/>
      <c r="AA7" s="1572"/>
      <c r="AB7" s="1572" t="s">
        <v>411</v>
      </c>
      <c r="AC7" s="1572" t="s">
        <v>397</v>
      </c>
      <c r="AD7" s="1585">
        <f>メイン!$V$47/メイン!$V$67</f>
        <v>0.7</v>
      </c>
      <c r="AE7" s="1585">
        <f>(メイン!J49+メイン!J52+メイン!J53)/メイン!$H$19</f>
        <v>0</v>
      </c>
      <c r="AF7" s="1585">
        <f>メイン!$V$54/メイン!$V$67</f>
        <v>0.3</v>
      </c>
      <c r="AG7" s="1585">
        <f>メイン!$V$56/メイン!$V$67</f>
        <v>0</v>
      </c>
      <c r="AH7" s="1585">
        <f>メイン!$V$60/メイン!$V$67</f>
        <v>0</v>
      </c>
      <c r="AI7" s="1585">
        <f>メイン!$V$61/メイン!$V$67</f>
        <v>0</v>
      </c>
      <c r="AJ7" s="1585">
        <f>メイン!$V$62/メイン!$V$67</f>
        <v>0</v>
      </c>
      <c r="AK7" s="1585">
        <f>メイン!$V$57/メイン!$V$67</f>
        <v>0</v>
      </c>
      <c r="AL7" s="1585">
        <f>メイン!$V$63/メイン!$V$67</f>
        <v>0</v>
      </c>
      <c r="AM7" s="1585">
        <f>(メイン!J50+メイン!J51)/メイン!$H$19</f>
        <v>0</v>
      </c>
      <c r="AN7" s="1585">
        <f>$AH$7</f>
        <v>0</v>
      </c>
      <c r="AO7" s="1585">
        <f>$AI$7</f>
        <v>0</v>
      </c>
      <c r="AP7" s="1585">
        <f>$AJ$7</f>
        <v>0</v>
      </c>
      <c r="AQ7" s="1583"/>
      <c r="AR7" s="1572"/>
      <c r="AS7" s="1572"/>
      <c r="AT7" s="1572"/>
      <c r="AU7" s="1750"/>
      <c r="AV7" s="1750"/>
      <c r="AW7" s="1750"/>
      <c r="AX7" s="1750"/>
      <c r="AY7" s="1750"/>
      <c r="AZ7" s="1750"/>
      <c r="BA7" s="1750"/>
      <c r="BB7" s="1751"/>
      <c r="BC7" s="1750"/>
      <c r="BD7" s="1750"/>
      <c r="BE7" s="1750"/>
      <c r="BF7" s="1750"/>
      <c r="BG7" s="1750"/>
      <c r="BI7" s="1572"/>
      <c r="BJ7" s="1572"/>
      <c r="BK7" s="1572"/>
      <c r="BL7" s="1750"/>
      <c r="BM7" s="1750"/>
      <c r="BN7" s="1750"/>
      <c r="BO7" s="1750"/>
      <c r="BP7" s="1750"/>
      <c r="BQ7" s="1750"/>
      <c r="BR7" s="1750"/>
      <c r="BS7" s="1751"/>
      <c r="BT7" s="1750"/>
      <c r="BU7" s="1750"/>
      <c r="BV7" s="1750"/>
      <c r="BW7" s="1750"/>
      <c r="BX7" s="1750"/>
    </row>
    <row r="8" spans="1:77" s="1596" customFormat="1" ht="13.5" customHeight="1">
      <c r="A8"/>
      <c r="B8" s="1586">
        <f t="shared" ref="B8:B39" si="0">AA8</f>
        <v>0</v>
      </c>
      <c r="C8" s="1588" t="str">
        <f t="shared" ref="C8:C39" si="1">AC8</f>
        <v>住居宿泊・共用部面積比率</v>
      </c>
      <c r="D8" s="2047"/>
      <c r="E8" s="2048"/>
      <c r="F8"/>
      <c r="G8" s="2048"/>
      <c r="H8" s="2048"/>
      <c r="I8" s="2048">
        <f>G9+G61+G109</f>
        <v>1</v>
      </c>
      <c r="J8" s="2048">
        <f>H9+H61+H109</f>
        <v>0</v>
      </c>
      <c r="K8" s="1589"/>
      <c r="L8" s="1589"/>
      <c r="M8"/>
      <c r="N8" s="2441"/>
      <c r="O8" s="1705"/>
      <c r="P8" s="1589">
        <f>R9+R61+R109</f>
        <v>1</v>
      </c>
      <c r="Q8" s="1589">
        <f>S9+S61+S109</f>
        <v>0</v>
      </c>
      <c r="R8" s="1589"/>
      <c r="S8" s="1589"/>
      <c r="T8" s="1560"/>
      <c r="U8" s="2443"/>
      <c r="V8" s="1752"/>
      <c r="W8" s="1560"/>
      <c r="X8" s="1589"/>
      <c r="Y8" s="1589"/>
      <c r="Z8" s="1590"/>
      <c r="AA8" s="1591"/>
      <c r="AB8" s="1591" t="s">
        <v>276</v>
      </c>
      <c r="AC8" s="1591" t="s">
        <v>412</v>
      </c>
      <c r="AD8" s="1592"/>
      <c r="AE8" s="1592"/>
      <c r="AF8" s="1592"/>
      <c r="AG8" s="1592"/>
      <c r="AH8" s="1592">
        <f>1-$AN$8</f>
        <v>1</v>
      </c>
      <c r="AI8" s="1592">
        <f>1-$AO$8</f>
        <v>1</v>
      </c>
      <c r="AJ8" s="1592">
        <f>1-$AP$8</f>
        <v>1</v>
      </c>
      <c r="AK8" s="1593"/>
      <c r="AL8" s="1592"/>
      <c r="AM8" s="1869"/>
      <c r="AN8" s="1594">
        <f>メイン!$J$68</f>
        <v>0</v>
      </c>
      <c r="AO8" s="1594">
        <f>メイン!$J$69</f>
        <v>0</v>
      </c>
      <c r="AP8" s="1594">
        <f>メイン!$J$70</f>
        <v>0</v>
      </c>
      <c r="AQ8" s="1595"/>
      <c r="AR8" s="1591" t="s">
        <v>398</v>
      </c>
      <c r="AS8" s="1591"/>
      <c r="AT8" s="1588" t="s">
        <v>413</v>
      </c>
      <c r="AU8" s="1727"/>
      <c r="AV8" s="1727"/>
      <c r="AW8" s="1727"/>
      <c r="AX8" s="1727"/>
      <c r="AY8" s="1727"/>
      <c r="AZ8" s="1727"/>
      <c r="BA8" s="1727"/>
      <c r="BB8" s="1728"/>
      <c r="BC8" s="1727"/>
      <c r="BD8" s="1871"/>
      <c r="BE8" s="1729"/>
      <c r="BF8" s="1730"/>
      <c r="BG8" s="1730"/>
      <c r="BH8"/>
      <c r="BI8" s="1591" t="s">
        <v>398</v>
      </c>
      <c r="BJ8" s="1591"/>
      <c r="BK8" s="1588" t="s">
        <v>413</v>
      </c>
      <c r="BL8" s="1727"/>
      <c r="BM8" s="1727"/>
      <c r="BN8" s="1727"/>
      <c r="BO8" s="1727"/>
      <c r="BP8" s="1727"/>
      <c r="BQ8" s="1727"/>
      <c r="BR8" s="1727"/>
      <c r="BS8" s="1728"/>
      <c r="BT8" s="1727"/>
      <c r="BU8" s="1871"/>
      <c r="BV8" s="1729"/>
      <c r="BW8" s="1730"/>
      <c r="BX8" s="1730"/>
      <c r="BY8"/>
    </row>
    <row r="9" spans="1:77" s="1605" customFormat="1" ht="13.5" customHeight="1">
      <c r="A9"/>
      <c r="B9" s="1597" t="str">
        <f t="shared" si="0"/>
        <v>Q1</v>
      </c>
      <c r="C9" s="1598" t="str">
        <f t="shared" si="1"/>
        <v>室内環境</v>
      </c>
      <c r="D9" s="2056">
        <f>IF(I$8=0,0,G9/I$8)</f>
        <v>0.39999999999999997</v>
      </c>
      <c r="E9" s="2057">
        <f>IF(J$8=0,0,H9/J$8)</f>
        <v>0</v>
      </c>
      <c r="F9"/>
      <c r="G9" s="2057">
        <f t="shared" ref="G9:H40" si="2">K9*N9</f>
        <v>0.39999999999999997</v>
      </c>
      <c r="H9" s="2057">
        <f t="shared" si="2"/>
        <v>0</v>
      </c>
      <c r="I9" s="2057">
        <f>G10+G20+G34+G47</f>
        <v>1</v>
      </c>
      <c r="J9" s="2057">
        <f>H10+H20+H34+H47</f>
        <v>0</v>
      </c>
      <c r="K9" s="1600">
        <f>IF(スコア表示!X9=0,0,1)</f>
        <v>1</v>
      </c>
      <c r="L9" s="1600">
        <f>IF(スコア表示!AB9=0,0,1)</f>
        <v>1</v>
      </c>
      <c r="M9"/>
      <c r="N9" s="1706">
        <f>IF(P$8=0,0,R9/P$8)</f>
        <v>0.39999999999999997</v>
      </c>
      <c r="O9" s="1706">
        <f>IF(Q$8=0,0,S9/Q$8)</f>
        <v>0</v>
      </c>
      <c r="P9" s="1600">
        <f>R10+R20+R34+R47</f>
        <v>0.98424999999999985</v>
      </c>
      <c r="Q9" s="1600">
        <f>S10+S20+S34+S47</f>
        <v>0</v>
      </c>
      <c r="R9" s="1600">
        <f>IF(スコア入力!R9="EB",重み_対象外!D9,U9)</f>
        <v>0.39999999999999997</v>
      </c>
      <c r="S9" s="1600">
        <f>IF(スコア入力!Y9="EB",重み_対象外!E9,V9)</f>
        <v>0</v>
      </c>
      <c r="T9" s="1560"/>
      <c r="U9" s="1753">
        <f>X9</f>
        <v>0.39999999999999997</v>
      </c>
      <c r="V9" s="1753">
        <f>Y9</f>
        <v>0</v>
      </c>
      <c r="W9" s="1560"/>
      <c r="X9" s="1600">
        <f>SUMPRODUCT($AD$7:$AM$7,AD9:AM9)</f>
        <v>0.39999999999999997</v>
      </c>
      <c r="Y9" s="1600">
        <f>(AN$7*AN9)+(AO$7*AO9)+(AP$7*AP9)</f>
        <v>0</v>
      </c>
      <c r="Z9" s="1601"/>
      <c r="AA9" s="1602" t="str">
        <f t="shared" ref="AA9:AA40" si="3">IF($AA$3=1,AR9,BI9)</f>
        <v>Q1</v>
      </c>
      <c r="AB9" s="1602" t="str">
        <f t="shared" ref="AB9:AB40" si="4">IF($AA$3=1,AS9,BJ9)</f>
        <v xml:space="preserve"> Q</v>
      </c>
      <c r="AC9" s="1602" t="str">
        <f t="shared" ref="AC9:AC40" si="5">IF($AA$3=1,AT9,BK9)</f>
        <v>室内環境</v>
      </c>
      <c r="AD9" s="1754">
        <f t="shared" ref="AD9:AD40" si="6">IF($AA$3=1,AU9,BL9)</f>
        <v>0.4</v>
      </c>
      <c r="AE9" s="1754">
        <f t="shared" ref="AE9:AE40" si="7">IF($AA$3=1,AV9,BM9)</f>
        <v>0.4</v>
      </c>
      <c r="AF9" s="1754">
        <f t="shared" ref="AF9:AF40" si="8">IF($AA$3=1,AW9,BN9)</f>
        <v>0.4</v>
      </c>
      <c r="AG9" s="1754">
        <f t="shared" ref="AG9:AG40" si="9">IF($AA$3=1,AX9,BO9)</f>
        <v>0.4</v>
      </c>
      <c r="AH9" s="1754">
        <f t="shared" ref="AH9:AH40" si="10">IF($AA$3=1,AY9,BP9)</f>
        <v>0.4</v>
      </c>
      <c r="AI9" s="1754">
        <f t="shared" ref="AI9:AI40" si="11">IF($AA$3=1,AZ9,BQ9)</f>
        <v>0.4</v>
      </c>
      <c r="AJ9" s="1754">
        <f t="shared" ref="AJ9:AJ40" si="12">IF($AA$3=1,BA9,BR9)</f>
        <v>0.4</v>
      </c>
      <c r="AK9" s="1754">
        <f t="shared" ref="AK9:AK40" si="13">IF($AA$3=1,BB9,BS9)</f>
        <v>0.4</v>
      </c>
      <c r="AL9" s="1754">
        <f t="shared" ref="AL9:AM40" si="14">IF($AA$3=1,BC9,BT9)</f>
        <v>0.3</v>
      </c>
      <c r="AM9" s="1754">
        <f t="shared" si="14"/>
        <v>0.4</v>
      </c>
      <c r="AN9" s="1755">
        <f t="shared" ref="AN9:AN40" si="15">IF($AA$3=1,BE9,BV9)</f>
        <v>0</v>
      </c>
      <c r="AO9" s="1754">
        <f t="shared" ref="AO9:AO40" si="16">IF($AA$3=1,BF9,BW9)</f>
        <v>0</v>
      </c>
      <c r="AP9" s="1754">
        <f t="shared" ref="AP9:AP40" si="17">IF($AA$3=1,BG9,BX9)</f>
        <v>0</v>
      </c>
      <c r="AQ9" s="1604"/>
      <c r="AR9" s="1597" t="s">
        <v>1469</v>
      </c>
      <c r="AS9" s="2059" t="s">
        <v>276</v>
      </c>
      <c r="AT9" s="2058" t="s">
        <v>1470</v>
      </c>
      <c r="AU9" s="2060">
        <v>0.4</v>
      </c>
      <c r="AV9" s="2060">
        <v>0.4</v>
      </c>
      <c r="AW9" s="2060">
        <v>0.4</v>
      </c>
      <c r="AX9" s="2060">
        <v>0.4</v>
      </c>
      <c r="AY9" s="2060">
        <v>0.4</v>
      </c>
      <c r="AZ9" s="2060">
        <v>0.4</v>
      </c>
      <c r="BA9" s="2060">
        <v>0.4</v>
      </c>
      <c r="BB9" s="2060">
        <v>0.4</v>
      </c>
      <c r="BC9" s="2060">
        <v>0.3</v>
      </c>
      <c r="BD9" s="2060">
        <v>0.4</v>
      </c>
      <c r="BE9" s="2061"/>
      <c r="BF9" s="2060"/>
      <c r="BG9" s="2060"/>
      <c r="BH9"/>
      <c r="BI9" s="1597" t="s">
        <v>1469</v>
      </c>
      <c r="BJ9" s="2059" t="s">
        <v>276</v>
      </c>
      <c r="BK9" s="2058" t="s">
        <v>1470</v>
      </c>
      <c r="BL9" s="2060">
        <v>0.4</v>
      </c>
      <c r="BM9" s="2060">
        <v>0.4</v>
      </c>
      <c r="BN9" s="2060">
        <v>0.4</v>
      </c>
      <c r="BO9" s="2060">
        <v>0.4</v>
      </c>
      <c r="BP9" s="2060">
        <v>0.4</v>
      </c>
      <c r="BQ9" s="2060">
        <v>0.4</v>
      </c>
      <c r="BR9" s="2060">
        <v>0.4</v>
      </c>
      <c r="BS9" s="2060">
        <v>0.4</v>
      </c>
      <c r="BT9" s="2060">
        <v>0.3</v>
      </c>
      <c r="BU9" s="2060">
        <v>0.4</v>
      </c>
      <c r="BV9" s="2061"/>
      <c r="BW9" s="2060"/>
      <c r="BX9" s="2060"/>
      <c r="BY9"/>
    </row>
    <row r="10" spans="1:77" s="1605" customFormat="1" ht="13.5" customHeight="1">
      <c r="A10"/>
      <c r="B10" s="1606">
        <f t="shared" si="0"/>
        <v>1</v>
      </c>
      <c r="C10" s="1607" t="str">
        <f t="shared" si="1"/>
        <v>音環境</v>
      </c>
      <c r="D10" s="2062">
        <f>IF(I$9=0,0,G10/I$9)</f>
        <v>0.15240030480060959</v>
      </c>
      <c r="E10" s="1743">
        <f>IF(J$9=0,0,H10/J$9)</f>
        <v>0</v>
      </c>
      <c r="F10"/>
      <c r="G10" s="1743">
        <f t="shared" si="2"/>
        <v>0.15240030480060959</v>
      </c>
      <c r="H10" s="1743">
        <f t="shared" si="2"/>
        <v>0</v>
      </c>
      <c r="I10" s="2446">
        <f>G11+G14+G19</f>
        <v>1</v>
      </c>
      <c r="J10" s="2446">
        <f>H11+H14+H19</f>
        <v>0</v>
      </c>
      <c r="K10" s="2447">
        <f>IF(L10&gt;0,1,IF(スコア表示!X10=0,0,1))</f>
        <v>1</v>
      </c>
      <c r="L10" s="2447">
        <f>IF(スコア表示!AB10=0,0,1)</f>
        <v>0</v>
      </c>
      <c r="M10"/>
      <c r="N10" s="1707">
        <f>IF(P$9=0,0,R10/P$9)</f>
        <v>0.15240030480060959</v>
      </c>
      <c r="O10" s="1707">
        <f>IF(Q$9=0,0,S10/Q$9)</f>
        <v>0</v>
      </c>
      <c r="P10" s="1709">
        <f>SUM(R11:R19)</f>
        <v>0.14999999999999997</v>
      </c>
      <c r="Q10" s="1710">
        <f>SUM(S11:S19)</f>
        <v>0</v>
      </c>
      <c r="R10" s="1616">
        <f>IF(スコア入力!R10="EB",重み_対象外!D10,U10)</f>
        <v>0.14999999999999997</v>
      </c>
      <c r="S10" s="1616">
        <f>IF(スコア入力!Y10="EB",重み_対象外!E10,V10)</f>
        <v>0</v>
      </c>
      <c r="T10" s="1560"/>
      <c r="U10" s="1607">
        <f>SUM(U11:U19)</f>
        <v>0.14999999999999997</v>
      </c>
      <c r="V10" s="1607">
        <f>SUM(V11:V19)</f>
        <v>0</v>
      </c>
      <c r="W10" s="1560"/>
      <c r="X10" s="1609">
        <f t="shared" ref="X10:X73" si="18">SUMPRODUCT($AD$7:$AM$7,AD10:AM10)</f>
        <v>0.15</v>
      </c>
      <c r="Y10" s="1609">
        <v>1</v>
      </c>
      <c r="Z10" s="1601"/>
      <c r="AA10" s="1606">
        <f t="shared" si="3"/>
        <v>1</v>
      </c>
      <c r="AB10" s="1606" t="str">
        <f t="shared" si="4"/>
        <v xml:space="preserve"> Q1</v>
      </c>
      <c r="AC10" s="1606" t="str">
        <f t="shared" si="5"/>
        <v>音環境</v>
      </c>
      <c r="AD10" s="1756">
        <f t="shared" si="6"/>
        <v>0.15</v>
      </c>
      <c r="AE10" s="1756">
        <f t="shared" si="7"/>
        <v>0.15</v>
      </c>
      <c r="AF10" s="1756">
        <f t="shared" si="8"/>
        <v>0.15</v>
      </c>
      <c r="AG10" s="1756">
        <f t="shared" si="9"/>
        <v>0.15</v>
      </c>
      <c r="AH10" s="1756">
        <f t="shared" si="10"/>
        <v>0.15</v>
      </c>
      <c r="AI10" s="1756">
        <f t="shared" si="11"/>
        <v>0.15</v>
      </c>
      <c r="AJ10" s="1756">
        <f t="shared" si="12"/>
        <v>0.15</v>
      </c>
      <c r="AK10" s="1757">
        <f t="shared" si="13"/>
        <v>0.23</v>
      </c>
      <c r="AL10" s="1756">
        <f t="shared" si="14"/>
        <v>0.15</v>
      </c>
      <c r="AM10" s="1756">
        <f t="shared" si="14"/>
        <v>0.15</v>
      </c>
      <c r="AN10" s="1758">
        <f t="shared" si="15"/>
        <v>0</v>
      </c>
      <c r="AO10" s="1756">
        <f t="shared" si="16"/>
        <v>0</v>
      </c>
      <c r="AP10" s="1756">
        <f t="shared" si="17"/>
        <v>0</v>
      </c>
      <c r="AQ10" s="1612"/>
      <c r="AR10" s="1641">
        <v>1</v>
      </c>
      <c r="AS10" s="1744" t="s">
        <v>277</v>
      </c>
      <c r="AT10" s="1780" t="s">
        <v>1066</v>
      </c>
      <c r="AU10" s="1711">
        <v>0.15</v>
      </c>
      <c r="AV10" s="1711">
        <v>0.15</v>
      </c>
      <c r="AW10" s="1711">
        <v>0.15</v>
      </c>
      <c r="AX10" s="1711">
        <v>0.15</v>
      </c>
      <c r="AY10" s="1711">
        <v>0.15</v>
      </c>
      <c r="AZ10" s="1711">
        <v>0.15</v>
      </c>
      <c r="BA10" s="1711">
        <v>0.15</v>
      </c>
      <c r="BB10" s="1712">
        <v>0.23</v>
      </c>
      <c r="BC10" s="1711">
        <v>0.15</v>
      </c>
      <c r="BD10" s="1711">
        <v>0.15</v>
      </c>
      <c r="BE10" s="2063"/>
      <c r="BF10" s="1711"/>
      <c r="BG10" s="1711"/>
      <c r="BH10"/>
      <c r="BI10" s="1641">
        <v>1</v>
      </c>
      <c r="BJ10" s="1744" t="s">
        <v>277</v>
      </c>
      <c r="BK10" s="1780" t="s">
        <v>1066</v>
      </c>
      <c r="BL10" s="1711">
        <v>0.15</v>
      </c>
      <c r="BM10" s="1711">
        <v>0.15</v>
      </c>
      <c r="BN10" s="1711">
        <v>0.15</v>
      </c>
      <c r="BO10" s="1711">
        <v>0.15</v>
      </c>
      <c r="BP10" s="1711">
        <v>0.15</v>
      </c>
      <c r="BQ10" s="1711">
        <v>0.15</v>
      </c>
      <c r="BR10" s="1711">
        <v>0.15</v>
      </c>
      <c r="BS10" s="1712">
        <v>0.23</v>
      </c>
      <c r="BT10" s="1711">
        <v>0.15</v>
      </c>
      <c r="BU10" s="1711">
        <v>0.15</v>
      </c>
      <c r="BV10" s="2063"/>
      <c r="BW10" s="1711"/>
      <c r="BX10" s="1711"/>
      <c r="BY10"/>
    </row>
    <row r="11" spans="1:77" ht="13.5" customHeight="1">
      <c r="B11" s="1613">
        <f t="shared" si="0"/>
        <v>1.1000000000000001</v>
      </c>
      <c r="C11" s="1614" t="str">
        <f t="shared" si="1"/>
        <v>騒音</v>
      </c>
      <c r="D11" s="1716">
        <f>IF(I$10=0,0,G11/I$10)</f>
        <v>0.4</v>
      </c>
      <c r="E11" s="1716">
        <f>IF(J$10=0,0,H11/J$10)</f>
        <v>0</v>
      </c>
      <c r="G11" s="1691">
        <f t="shared" si="2"/>
        <v>0.4</v>
      </c>
      <c r="H11" s="1691">
        <f t="shared" si="2"/>
        <v>0</v>
      </c>
      <c r="I11" s="1721">
        <f>SUM(G12:G13)</f>
        <v>0</v>
      </c>
      <c r="J11" s="1721">
        <f>SUM(H12:H13)</f>
        <v>0</v>
      </c>
      <c r="K11" s="1708">
        <f>IF(スコア表示!X11=0,0,1)</f>
        <v>1</v>
      </c>
      <c r="L11" s="1708">
        <f>IF(スコア表示!AB11=0,0,1)</f>
        <v>0</v>
      </c>
      <c r="N11" s="1713">
        <f>IF(P$10=0,0,R11/P$10)</f>
        <v>0.4</v>
      </c>
      <c r="O11" s="1713">
        <f>IF(Q$10=0,0,S11/Q$10)</f>
        <v>0</v>
      </c>
      <c r="P11" s="1708"/>
      <c r="Q11" s="1708"/>
      <c r="R11" s="1616">
        <f>IF(スコア入力!R11="EB",重み_対象外!D11,U11)</f>
        <v>5.9999999999999991E-2</v>
      </c>
      <c r="S11" s="1616">
        <f>IF(スコア入力!Y11="EB",重み_対象外!E11,V11)</f>
        <v>0</v>
      </c>
      <c r="T11" s="1560"/>
      <c r="U11" s="1305">
        <f>X10*X11</f>
        <v>5.9999999999999991E-2</v>
      </c>
      <c r="V11" s="1305">
        <f>Y10*Y11</f>
        <v>0</v>
      </c>
      <c r="W11" s="1560"/>
      <c r="X11" s="1616">
        <f t="shared" ref="X11" si="19">SUMPRODUCT($AD$7:$AM$7,AD11:AM11)</f>
        <v>0.39999999999999997</v>
      </c>
      <c r="Y11" s="1616">
        <f t="shared" ref="Y11" si="20">(AN$7*AN11)+(AO$7*AO11)+(AP$7*AP11)</f>
        <v>0</v>
      </c>
      <c r="Z11" s="1571"/>
      <c r="AA11" s="1613">
        <f t="shared" si="3"/>
        <v>1.1000000000000001</v>
      </c>
      <c r="AB11" s="1613" t="str">
        <f t="shared" si="4"/>
        <v xml:space="preserve"> Q1 1</v>
      </c>
      <c r="AC11" s="1613" t="str">
        <f t="shared" si="5"/>
        <v>騒音</v>
      </c>
      <c r="AD11" s="1759">
        <f t="shared" si="6"/>
        <v>0.4</v>
      </c>
      <c r="AE11" s="1759">
        <f t="shared" si="7"/>
        <v>0.4</v>
      </c>
      <c r="AF11" s="1759">
        <f t="shared" si="8"/>
        <v>0.4</v>
      </c>
      <c r="AG11" s="1759">
        <f t="shared" si="9"/>
        <v>0.4</v>
      </c>
      <c r="AH11" s="1759">
        <f t="shared" si="10"/>
        <v>0.4</v>
      </c>
      <c r="AI11" s="1759">
        <f t="shared" si="11"/>
        <v>0.4</v>
      </c>
      <c r="AJ11" s="1759">
        <f t="shared" si="12"/>
        <v>0.5</v>
      </c>
      <c r="AK11" s="1759">
        <f t="shared" si="13"/>
        <v>0.4</v>
      </c>
      <c r="AL11" s="1759">
        <f t="shared" si="14"/>
        <v>0.4</v>
      </c>
      <c r="AM11" s="1759">
        <f t="shared" si="14"/>
        <v>0.4</v>
      </c>
      <c r="AN11" s="1760">
        <f t="shared" si="15"/>
        <v>0.4</v>
      </c>
      <c r="AO11" s="1759">
        <f t="shared" si="16"/>
        <v>0.4</v>
      </c>
      <c r="AP11" s="1759">
        <f t="shared" si="17"/>
        <v>0.5</v>
      </c>
      <c r="AQ11" s="1620"/>
      <c r="AR11" s="1647">
        <v>1.1000000000000001</v>
      </c>
      <c r="AS11" s="1693" t="s">
        <v>278</v>
      </c>
      <c r="AT11" s="2064" t="s">
        <v>1472</v>
      </c>
      <c r="AU11" s="1623">
        <v>0.4</v>
      </c>
      <c r="AV11" s="1623">
        <v>0.4</v>
      </c>
      <c r="AW11" s="1623">
        <v>0.4</v>
      </c>
      <c r="AX11" s="1623">
        <v>0.4</v>
      </c>
      <c r="AY11" s="1623">
        <v>0.4</v>
      </c>
      <c r="AZ11" s="1623">
        <v>0.4</v>
      </c>
      <c r="BA11" s="1623">
        <v>0.5</v>
      </c>
      <c r="BB11" s="1623">
        <v>0.4</v>
      </c>
      <c r="BC11" s="1623">
        <v>0.4</v>
      </c>
      <c r="BD11" s="1623">
        <v>0.4</v>
      </c>
      <c r="BE11" s="1623">
        <v>0.4</v>
      </c>
      <c r="BF11" s="1623">
        <v>0.4</v>
      </c>
      <c r="BG11" s="1623">
        <v>0.5</v>
      </c>
      <c r="BI11" s="1647">
        <v>1.1000000000000001</v>
      </c>
      <c r="BJ11" s="1693" t="s">
        <v>278</v>
      </c>
      <c r="BK11" s="2064" t="s">
        <v>1472</v>
      </c>
      <c r="BL11" s="1623">
        <v>0.4</v>
      </c>
      <c r="BM11" s="1623">
        <v>0.4</v>
      </c>
      <c r="BN11" s="1623">
        <v>0.4</v>
      </c>
      <c r="BO11" s="1623">
        <v>0.4</v>
      </c>
      <c r="BP11" s="1623">
        <v>0.4</v>
      </c>
      <c r="BQ11" s="1623">
        <v>0.4</v>
      </c>
      <c r="BR11" s="1623">
        <v>0.5</v>
      </c>
      <c r="BS11" s="1623">
        <v>0.4</v>
      </c>
      <c r="BT11" s="1623">
        <v>0.4</v>
      </c>
      <c r="BU11" s="1623">
        <v>0.4</v>
      </c>
      <c r="BV11" s="1623">
        <v>0.4</v>
      </c>
      <c r="BW11" s="1623">
        <v>0.4</v>
      </c>
      <c r="BX11" s="1623">
        <v>0.5</v>
      </c>
    </row>
    <row r="12" spans="1:77" ht="13.5" hidden="1" customHeight="1">
      <c r="B12" s="1653" t="str">
        <f t="shared" si="0"/>
        <v>1.1.1</v>
      </c>
      <c r="C12" s="1650" t="str">
        <f t="shared" si="1"/>
        <v>室内騒音レベル</v>
      </c>
      <c r="D12" s="1716">
        <f>IF(I$11=0,0,G12/I$11)</f>
        <v>0</v>
      </c>
      <c r="E12" s="1716">
        <f>IF(J$11=0,0,H12/J$11)</f>
        <v>0</v>
      </c>
      <c r="G12" s="1691">
        <f t="shared" si="2"/>
        <v>0</v>
      </c>
      <c r="H12" s="1691">
        <f t="shared" si="2"/>
        <v>0</v>
      </c>
      <c r="I12" s="1721"/>
      <c r="J12" s="1721"/>
      <c r="K12" s="1708">
        <f>IF(スコア表示!X12=0,0,1)</f>
        <v>0</v>
      </c>
      <c r="L12" s="1708">
        <f>IF(スコア表示!AB12=0,0,1)</f>
        <v>0</v>
      </c>
      <c r="N12" s="1713">
        <f>IF(P$11=0,0,R12/P$11)</f>
        <v>0</v>
      </c>
      <c r="O12" s="1713">
        <f>IF(Q$11=0,0,S12/Q$11)</f>
        <v>0</v>
      </c>
      <c r="P12" s="1708"/>
      <c r="Q12" s="1708"/>
      <c r="R12" s="1616">
        <f>IF(スコア入力!R12="EB",重み_対象外!D12,U12)</f>
        <v>0</v>
      </c>
      <c r="S12" s="1616">
        <f>IF(スコア入力!Y12="EB",重み_対象外!E12,V12)</f>
        <v>0</v>
      </c>
      <c r="T12" s="1560"/>
      <c r="U12" s="1614"/>
      <c r="V12" s="1614"/>
      <c r="W12" s="1560"/>
      <c r="X12" s="1616">
        <f t="shared" si="18"/>
        <v>0</v>
      </c>
      <c r="Y12" s="1616">
        <f t="shared" ref="Y12:Y73" si="21">(AN$7*AN12)+(AO$7*AO12)+(AP$7*AP12)</f>
        <v>0</v>
      </c>
      <c r="Z12" s="1571"/>
      <c r="AA12" s="1613" t="str">
        <f t="shared" si="3"/>
        <v>1.1.1</v>
      </c>
      <c r="AB12" s="1613" t="str">
        <f t="shared" si="4"/>
        <v xml:space="preserve"> Q1 1.1</v>
      </c>
      <c r="AC12" s="1613" t="str">
        <f t="shared" si="5"/>
        <v>室内騒音レベル</v>
      </c>
      <c r="AD12" s="1759">
        <f t="shared" si="6"/>
        <v>0</v>
      </c>
      <c r="AE12" s="1759">
        <f t="shared" si="7"/>
        <v>0</v>
      </c>
      <c r="AF12" s="1759">
        <f t="shared" si="8"/>
        <v>0</v>
      </c>
      <c r="AG12" s="1759">
        <f t="shared" si="9"/>
        <v>0</v>
      </c>
      <c r="AH12" s="1759">
        <f t="shared" si="10"/>
        <v>0</v>
      </c>
      <c r="AI12" s="1759">
        <f t="shared" si="11"/>
        <v>0</v>
      </c>
      <c r="AJ12" s="1759">
        <f t="shared" si="12"/>
        <v>0</v>
      </c>
      <c r="AK12" s="1759">
        <f t="shared" si="13"/>
        <v>0</v>
      </c>
      <c r="AL12" s="1759">
        <f t="shared" si="14"/>
        <v>0</v>
      </c>
      <c r="AM12" s="1759">
        <f t="shared" si="14"/>
        <v>0</v>
      </c>
      <c r="AN12" s="1760">
        <f t="shared" si="15"/>
        <v>0</v>
      </c>
      <c r="AO12" s="1759">
        <f t="shared" si="16"/>
        <v>0</v>
      </c>
      <c r="AP12" s="1759">
        <f t="shared" si="17"/>
        <v>0</v>
      </c>
      <c r="AQ12" s="1620"/>
      <c r="AR12" s="1647" t="s">
        <v>279</v>
      </c>
      <c r="AS12" s="1693" t="s">
        <v>280</v>
      </c>
      <c r="AT12" s="2064" t="s">
        <v>942</v>
      </c>
      <c r="AU12" s="1623"/>
      <c r="AV12" s="1623"/>
      <c r="AW12" s="1623"/>
      <c r="AX12" s="1623"/>
      <c r="AY12" s="1623"/>
      <c r="AZ12" s="1623"/>
      <c r="BA12" s="1623"/>
      <c r="BB12" s="1623"/>
      <c r="BC12" s="1623"/>
      <c r="BD12" s="1623"/>
      <c r="BE12" s="1625"/>
      <c r="BF12" s="1623"/>
      <c r="BG12" s="1623"/>
      <c r="BI12" s="1647" t="s">
        <v>279</v>
      </c>
      <c r="BJ12" s="1693" t="s">
        <v>280</v>
      </c>
      <c r="BK12" s="2064" t="s">
        <v>942</v>
      </c>
      <c r="BL12" s="1623"/>
      <c r="BM12" s="1623"/>
      <c r="BN12" s="1623"/>
      <c r="BO12" s="1623"/>
      <c r="BP12" s="1623"/>
      <c r="BQ12" s="1623"/>
      <c r="BR12" s="1623"/>
      <c r="BS12" s="1623"/>
      <c r="BT12" s="1623"/>
      <c r="BU12" s="1623"/>
      <c r="BV12" s="1625"/>
      <c r="BW12" s="1623"/>
      <c r="BX12" s="1623"/>
    </row>
    <row r="13" spans="1:77" ht="13.5" hidden="1" customHeight="1">
      <c r="B13" s="1653" t="str">
        <f t="shared" si="0"/>
        <v>1.1.2</v>
      </c>
      <c r="C13" s="1650" t="str">
        <f t="shared" si="1"/>
        <v>設備騒音対策</v>
      </c>
      <c r="D13" s="1716">
        <f>IF(I$11=0,0,G13/I$11)</f>
        <v>0</v>
      </c>
      <c r="E13" s="1716">
        <f>IF(J$11=0,0,H13/J$11)</f>
        <v>0</v>
      </c>
      <c r="G13" s="1691">
        <f t="shared" si="2"/>
        <v>0</v>
      </c>
      <c r="H13" s="1691">
        <f t="shared" si="2"/>
        <v>0</v>
      </c>
      <c r="I13" s="1721"/>
      <c r="J13" s="1721"/>
      <c r="K13" s="1708">
        <f>IF(スコア表示!X13=0,0,1)</f>
        <v>0</v>
      </c>
      <c r="L13" s="1708">
        <f>IF(スコア表示!AB13=0,0,1)</f>
        <v>0</v>
      </c>
      <c r="N13" s="1713">
        <f>IF(P$11=0,0,R13/P$11)</f>
        <v>0</v>
      </c>
      <c r="O13" s="1713">
        <f>IF(Q$11=0,0,S13/Q$11)</f>
        <v>0</v>
      </c>
      <c r="P13" s="1708"/>
      <c r="Q13" s="1708"/>
      <c r="R13" s="1616">
        <f>IF(スコア入力!R13="EB",重み_対象外!D13,U13)</f>
        <v>0</v>
      </c>
      <c r="S13" s="1616">
        <f>IF(スコア入力!Y13="EB",重み_対象外!E13,V13)</f>
        <v>0</v>
      </c>
      <c r="T13" s="1560"/>
      <c r="U13" s="1614"/>
      <c r="V13" s="1614"/>
      <c r="W13" s="1560"/>
      <c r="X13" s="1616">
        <f t="shared" si="18"/>
        <v>0</v>
      </c>
      <c r="Y13" s="1616">
        <f t="shared" si="21"/>
        <v>0</v>
      </c>
      <c r="Z13" s="1571"/>
      <c r="AA13" s="1613" t="str">
        <f t="shared" si="3"/>
        <v>1.1.2</v>
      </c>
      <c r="AB13" s="1613" t="str">
        <f t="shared" si="4"/>
        <v xml:space="preserve"> Q1 1.1</v>
      </c>
      <c r="AC13" s="1613" t="str">
        <f t="shared" si="5"/>
        <v>設備騒音対策</v>
      </c>
      <c r="AD13" s="1759">
        <f t="shared" si="6"/>
        <v>0</v>
      </c>
      <c r="AE13" s="1759">
        <f t="shared" si="7"/>
        <v>0</v>
      </c>
      <c r="AF13" s="1759">
        <f t="shared" si="8"/>
        <v>0</v>
      </c>
      <c r="AG13" s="1759">
        <f t="shared" si="9"/>
        <v>0</v>
      </c>
      <c r="AH13" s="1759">
        <f t="shared" si="10"/>
        <v>0</v>
      </c>
      <c r="AI13" s="1759">
        <f t="shared" si="11"/>
        <v>0</v>
      </c>
      <c r="AJ13" s="1759">
        <f t="shared" si="12"/>
        <v>0</v>
      </c>
      <c r="AK13" s="1759">
        <f t="shared" si="13"/>
        <v>0</v>
      </c>
      <c r="AL13" s="1759">
        <f t="shared" si="14"/>
        <v>0</v>
      </c>
      <c r="AM13" s="1759">
        <f t="shared" si="14"/>
        <v>0</v>
      </c>
      <c r="AN13" s="1760">
        <f t="shared" si="15"/>
        <v>0</v>
      </c>
      <c r="AO13" s="1759">
        <f t="shared" si="16"/>
        <v>0</v>
      </c>
      <c r="AP13" s="1759">
        <f t="shared" si="17"/>
        <v>0</v>
      </c>
      <c r="AQ13" s="1620"/>
      <c r="AR13" s="1647" t="s">
        <v>281</v>
      </c>
      <c r="AS13" s="1693" t="s">
        <v>280</v>
      </c>
      <c r="AT13" s="2064" t="s">
        <v>414</v>
      </c>
      <c r="AU13" s="1623"/>
      <c r="AV13" s="1623"/>
      <c r="AW13" s="1623"/>
      <c r="AX13" s="1623"/>
      <c r="AY13" s="1623"/>
      <c r="AZ13" s="1623"/>
      <c r="BA13" s="1623"/>
      <c r="BB13" s="1623"/>
      <c r="BC13" s="1623"/>
      <c r="BD13" s="1623"/>
      <c r="BE13" s="1625"/>
      <c r="BF13" s="1623"/>
      <c r="BG13" s="1623"/>
      <c r="BI13" s="1647" t="s">
        <v>281</v>
      </c>
      <c r="BJ13" s="1693" t="s">
        <v>280</v>
      </c>
      <c r="BK13" s="2064" t="s">
        <v>414</v>
      </c>
      <c r="BL13" s="1623"/>
      <c r="BM13" s="1623"/>
      <c r="BN13" s="1623"/>
      <c r="BO13" s="1623"/>
      <c r="BP13" s="1623"/>
      <c r="BQ13" s="1623"/>
      <c r="BR13" s="1623"/>
      <c r="BS13" s="1623"/>
      <c r="BT13" s="1623"/>
      <c r="BU13" s="1623"/>
      <c r="BV13" s="1625"/>
      <c r="BW13" s="1623"/>
      <c r="BX13" s="1623"/>
    </row>
    <row r="14" spans="1:77" ht="13.5" customHeight="1">
      <c r="B14" s="1621">
        <f t="shared" si="0"/>
        <v>1.2</v>
      </c>
      <c r="C14" s="516" t="str">
        <f t="shared" si="1"/>
        <v>遮音</v>
      </c>
      <c r="D14" s="1716">
        <f>IF(I$10=0,0,G14/I$10)</f>
        <v>0.39999999999999997</v>
      </c>
      <c r="E14" s="1716">
        <f>IF(J$10=0,0,H14/J$10)</f>
        <v>0</v>
      </c>
      <c r="G14" s="1691">
        <f t="shared" si="2"/>
        <v>0.39999999999999997</v>
      </c>
      <c r="H14" s="1691">
        <f t="shared" si="2"/>
        <v>0</v>
      </c>
      <c r="I14" s="1721">
        <f>SUM(G15:G18)</f>
        <v>1</v>
      </c>
      <c r="J14" s="1721">
        <f>SUM(H15:H18)</f>
        <v>0</v>
      </c>
      <c r="K14" s="1708">
        <f>IF(スコア表示!X14=0,0,1)</f>
        <v>1</v>
      </c>
      <c r="L14" s="1708">
        <f>IF(スコア表示!AB14=0,0,1)</f>
        <v>0</v>
      </c>
      <c r="N14" s="1713">
        <f>IF(P$10=0,0,P14/P$10)</f>
        <v>0.39999999999999997</v>
      </c>
      <c r="O14" s="1713">
        <f>IF(Q$10=0,0,Q14/Q$10)</f>
        <v>0</v>
      </c>
      <c r="P14" s="1708">
        <f>SUM(R15:R18)</f>
        <v>5.9999999999999984E-2</v>
      </c>
      <c r="Q14" s="1708">
        <f>SUM(S15:S18)</f>
        <v>0</v>
      </c>
      <c r="R14" s="1616">
        <f>IF(スコア入力!R14="EB",重み_対象外!D14,U14)</f>
        <v>0</v>
      </c>
      <c r="S14" s="1616">
        <f>IF(スコア入力!Y14="EB",重み_対象外!E14,V14)</f>
        <v>0</v>
      </c>
      <c r="T14" s="1560"/>
      <c r="U14" s="1305"/>
      <c r="V14" s="1305"/>
      <c r="W14" s="1560"/>
      <c r="X14" s="1616">
        <f t="shared" si="18"/>
        <v>0.39999999999999997</v>
      </c>
      <c r="Y14" s="1616">
        <f t="shared" si="21"/>
        <v>0</v>
      </c>
      <c r="Z14" s="1571"/>
      <c r="AA14" s="1613">
        <f t="shared" si="3"/>
        <v>1.2</v>
      </c>
      <c r="AB14" s="1613" t="str">
        <f t="shared" si="4"/>
        <v xml:space="preserve"> Q1 1</v>
      </c>
      <c r="AC14" s="1613" t="str">
        <f t="shared" si="5"/>
        <v>遮音</v>
      </c>
      <c r="AD14" s="1759">
        <f t="shared" si="6"/>
        <v>0.4</v>
      </c>
      <c r="AE14" s="1759">
        <f>IF($AA$3=1,AV14,BM14)</f>
        <v>0.4</v>
      </c>
      <c r="AF14" s="1759">
        <f t="shared" si="8"/>
        <v>0.4</v>
      </c>
      <c r="AG14" s="1759">
        <f t="shared" si="9"/>
        <v>0.4</v>
      </c>
      <c r="AH14" s="1759">
        <f t="shared" si="10"/>
        <v>0.4</v>
      </c>
      <c r="AI14" s="1759">
        <f t="shared" si="11"/>
        <v>0.4</v>
      </c>
      <c r="AJ14" s="1759">
        <f t="shared" si="12"/>
        <v>0.5</v>
      </c>
      <c r="AK14" s="1759">
        <f t="shared" si="13"/>
        <v>0.4</v>
      </c>
      <c r="AL14" s="1759">
        <f t="shared" si="14"/>
        <v>0.4</v>
      </c>
      <c r="AM14" s="1759">
        <f t="shared" si="14"/>
        <v>0.4</v>
      </c>
      <c r="AN14" s="1760">
        <f t="shared" si="15"/>
        <v>0.4</v>
      </c>
      <c r="AO14" s="1759">
        <f t="shared" si="16"/>
        <v>0.4</v>
      </c>
      <c r="AP14" s="1759">
        <f t="shared" si="17"/>
        <v>0.5</v>
      </c>
      <c r="AQ14" s="1620"/>
      <c r="AR14" s="1647">
        <v>1.2</v>
      </c>
      <c r="AS14" s="1693" t="s">
        <v>278</v>
      </c>
      <c r="AT14" s="1985" t="s">
        <v>415</v>
      </c>
      <c r="AU14" s="1623">
        <v>0.4</v>
      </c>
      <c r="AV14" s="1623">
        <v>0.4</v>
      </c>
      <c r="AW14" s="1623">
        <v>0.4</v>
      </c>
      <c r="AX14" s="1623">
        <v>0.4</v>
      </c>
      <c r="AY14" s="1623">
        <v>0.4</v>
      </c>
      <c r="AZ14" s="1623">
        <v>0.4</v>
      </c>
      <c r="BA14" s="1623">
        <v>0.5</v>
      </c>
      <c r="BB14" s="1623">
        <v>0.4</v>
      </c>
      <c r="BC14" s="1623">
        <v>0.4</v>
      </c>
      <c r="BD14" s="1623">
        <v>0.4</v>
      </c>
      <c r="BE14" s="1623">
        <v>0.4</v>
      </c>
      <c r="BF14" s="1623">
        <v>0.4</v>
      </c>
      <c r="BG14" s="1623">
        <v>0.5</v>
      </c>
      <c r="BI14" s="1647">
        <v>1.2</v>
      </c>
      <c r="BJ14" s="1693" t="s">
        <v>278</v>
      </c>
      <c r="BK14" s="1985" t="s">
        <v>415</v>
      </c>
      <c r="BL14" s="1623">
        <v>0.4</v>
      </c>
      <c r="BM14" s="1623">
        <v>0.4</v>
      </c>
      <c r="BN14" s="1623">
        <v>0.4</v>
      </c>
      <c r="BO14" s="1623">
        <v>0.4</v>
      </c>
      <c r="BP14" s="1623">
        <v>0.4</v>
      </c>
      <c r="BQ14" s="1623">
        <v>0.4</v>
      </c>
      <c r="BR14" s="1623">
        <v>0.5</v>
      </c>
      <c r="BS14" s="1623">
        <v>0.4</v>
      </c>
      <c r="BT14" s="1623">
        <v>0.4</v>
      </c>
      <c r="BU14" s="1623">
        <v>0.4</v>
      </c>
      <c r="BV14" s="1623">
        <v>0.4</v>
      </c>
      <c r="BW14" s="1623">
        <v>0.4</v>
      </c>
      <c r="BX14" s="1623">
        <v>0.5</v>
      </c>
    </row>
    <row r="15" spans="1:77" ht="13.5" customHeight="1">
      <c r="B15" s="1621" t="str">
        <f t="shared" si="0"/>
        <v>1.2.1</v>
      </c>
      <c r="C15" s="516" t="str">
        <f t="shared" si="1"/>
        <v>開口部遮音性能</v>
      </c>
      <c r="D15" s="1716">
        <f t="shared" ref="D15:E18" si="22">IF(I$14=0,0,G15/I$14)</f>
        <v>0.72</v>
      </c>
      <c r="E15" s="1716">
        <f>IF(J$14=0,0,H15/J$14)</f>
        <v>0</v>
      </c>
      <c r="G15" s="1691">
        <f t="shared" si="2"/>
        <v>0.72</v>
      </c>
      <c r="H15" s="1691">
        <f t="shared" si="2"/>
        <v>0</v>
      </c>
      <c r="I15" s="1721"/>
      <c r="J15" s="1721"/>
      <c r="K15" s="1708">
        <f>IF(スコア表示!X15=0,0,1)</f>
        <v>1</v>
      </c>
      <c r="L15" s="1708">
        <f>IF(スコア表示!AB15=0,0,1)</f>
        <v>0</v>
      </c>
      <c r="N15" s="1713">
        <f t="shared" ref="N15:O18" si="23">IF(P$14=0,0,R15/P$14)</f>
        <v>0.72</v>
      </c>
      <c r="O15" s="1713">
        <f t="shared" si="23"/>
        <v>0</v>
      </c>
      <c r="P15" s="1616"/>
      <c r="Q15" s="1616"/>
      <c r="R15" s="1616">
        <f>IF(スコア入力!R15="EB",重み_対象外!D15,U15)</f>
        <v>4.3199999999999988E-2</v>
      </c>
      <c r="S15" s="1616">
        <f>IF(スコア入力!Y15="EB",重み_対象外!E15,V15)</f>
        <v>0</v>
      </c>
      <c r="T15" s="1560"/>
      <c r="U15" s="1614">
        <f>X$10*X$14*X15</f>
        <v>4.3199999999999988E-2</v>
      </c>
      <c r="V15" s="1614">
        <f t="shared" ref="U15:V18" si="24">Y$10*Y$14*Y15</f>
        <v>0</v>
      </c>
      <c r="W15" s="1560"/>
      <c r="X15" s="1616">
        <f t="shared" si="18"/>
        <v>0.72</v>
      </c>
      <c r="Y15" s="1616">
        <f t="shared" si="21"/>
        <v>0</v>
      </c>
      <c r="Z15" s="1571"/>
      <c r="AA15" s="1613" t="str">
        <f t="shared" si="3"/>
        <v>1.2.1</v>
      </c>
      <c r="AB15" s="1613" t="str">
        <f t="shared" si="4"/>
        <v xml:space="preserve"> Q1 1.2</v>
      </c>
      <c r="AC15" s="1613" t="str">
        <f t="shared" si="5"/>
        <v>開口部遮音性能</v>
      </c>
      <c r="AD15" s="1759">
        <f t="shared" si="6"/>
        <v>0.6</v>
      </c>
      <c r="AE15" s="1759">
        <f t="shared" si="7"/>
        <v>0.3</v>
      </c>
      <c r="AF15" s="1759">
        <f t="shared" si="8"/>
        <v>1</v>
      </c>
      <c r="AG15" s="1759">
        <f t="shared" si="9"/>
        <v>0.6</v>
      </c>
      <c r="AH15" s="1759">
        <f t="shared" si="10"/>
        <v>0.4</v>
      </c>
      <c r="AI15" s="1759">
        <f t="shared" si="11"/>
        <v>1</v>
      </c>
      <c r="AJ15" s="1759">
        <f t="shared" si="12"/>
        <v>1</v>
      </c>
      <c r="AK15" s="1761">
        <f t="shared" si="13"/>
        <v>1</v>
      </c>
      <c r="AL15" s="1759">
        <f t="shared" si="14"/>
        <v>0.6</v>
      </c>
      <c r="AM15" s="1759">
        <f t="shared" si="14"/>
        <v>0.3</v>
      </c>
      <c r="AN15" s="1760">
        <f t="shared" si="15"/>
        <v>0.3</v>
      </c>
      <c r="AO15" s="1759">
        <f t="shared" si="16"/>
        <v>0.3</v>
      </c>
      <c r="AP15" s="1759">
        <f t="shared" si="17"/>
        <v>0.3</v>
      </c>
      <c r="AQ15" s="1620"/>
      <c r="AR15" s="1647" t="s">
        <v>1473</v>
      </c>
      <c r="AS15" s="1693" t="s">
        <v>282</v>
      </c>
      <c r="AT15" s="1985" t="s">
        <v>1474</v>
      </c>
      <c r="AU15" s="1623">
        <v>0.6</v>
      </c>
      <c r="AV15" s="1623">
        <v>0.3</v>
      </c>
      <c r="AW15" s="1623">
        <v>1</v>
      </c>
      <c r="AX15" s="1623">
        <v>0.6</v>
      </c>
      <c r="AY15" s="1623">
        <v>0.4</v>
      </c>
      <c r="AZ15" s="1623">
        <v>1</v>
      </c>
      <c r="BA15" s="1623">
        <v>1</v>
      </c>
      <c r="BB15" s="1623">
        <v>1</v>
      </c>
      <c r="BC15" s="1623">
        <v>0.6</v>
      </c>
      <c r="BD15" s="1623">
        <v>0.3</v>
      </c>
      <c r="BE15" s="1623">
        <v>0.3</v>
      </c>
      <c r="BF15" s="1623">
        <v>0.3</v>
      </c>
      <c r="BG15" s="1623">
        <v>0.3</v>
      </c>
      <c r="BI15" s="1647" t="s">
        <v>1473</v>
      </c>
      <c r="BJ15" s="1693" t="s">
        <v>282</v>
      </c>
      <c r="BK15" s="1985" t="s">
        <v>1474</v>
      </c>
      <c r="BL15" s="1623">
        <v>0.6</v>
      </c>
      <c r="BM15" s="1623">
        <v>0.3</v>
      </c>
      <c r="BN15" s="1623">
        <v>1</v>
      </c>
      <c r="BO15" s="1623">
        <v>0.6</v>
      </c>
      <c r="BP15" s="1623">
        <v>0.4</v>
      </c>
      <c r="BQ15" s="1623">
        <v>1</v>
      </c>
      <c r="BR15" s="1623">
        <v>1</v>
      </c>
      <c r="BS15" s="1623">
        <v>1</v>
      </c>
      <c r="BT15" s="1623">
        <v>0.6</v>
      </c>
      <c r="BU15" s="1623">
        <v>0.3</v>
      </c>
      <c r="BV15" s="1623">
        <v>0.3</v>
      </c>
      <c r="BW15" s="1623">
        <v>0.3</v>
      </c>
      <c r="BX15" s="1623">
        <v>0.3</v>
      </c>
    </row>
    <row r="16" spans="1:77" ht="13.5" customHeight="1">
      <c r="B16" s="1621" t="str">
        <f t="shared" si="0"/>
        <v>1.2.2</v>
      </c>
      <c r="C16" s="516" t="str">
        <f t="shared" si="1"/>
        <v>界壁遮音性能</v>
      </c>
      <c r="D16" s="1716">
        <f t="shared" si="22"/>
        <v>0.28000000000000003</v>
      </c>
      <c r="E16" s="1716">
        <f t="shared" si="22"/>
        <v>0</v>
      </c>
      <c r="G16" s="1691">
        <f t="shared" si="2"/>
        <v>0.28000000000000003</v>
      </c>
      <c r="H16" s="1691">
        <f t="shared" si="2"/>
        <v>0</v>
      </c>
      <c r="I16" s="1691"/>
      <c r="J16" s="1691"/>
      <c r="K16" s="1616">
        <f>IF(スコア表示!X16=0,0,1)</f>
        <v>1</v>
      </c>
      <c r="L16" s="1616">
        <f>IF(スコア表示!AB16=0,0,1)</f>
        <v>1</v>
      </c>
      <c r="N16" s="1713">
        <f t="shared" si="23"/>
        <v>0.28000000000000003</v>
      </c>
      <c r="O16" s="1713">
        <f t="shared" si="23"/>
        <v>0</v>
      </c>
      <c r="P16" s="1616"/>
      <c r="Q16" s="1616"/>
      <c r="R16" s="1616">
        <f>IF(スコア入力!R16="EB",重み_対象外!D16,U16)</f>
        <v>1.6799999999999995E-2</v>
      </c>
      <c r="S16" s="1616">
        <f>IF(スコア入力!Y16="EB",重み_対象外!E16,V16)</f>
        <v>0</v>
      </c>
      <c r="T16" s="1560"/>
      <c r="U16" s="1614">
        <f t="shared" si="24"/>
        <v>1.6799999999999995E-2</v>
      </c>
      <c r="V16" s="1614">
        <f t="shared" si="24"/>
        <v>0</v>
      </c>
      <c r="W16" s="1560"/>
      <c r="X16" s="1616">
        <f t="shared" si="18"/>
        <v>0.27999999999999997</v>
      </c>
      <c r="Y16" s="1616">
        <f t="shared" si="21"/>
        <v>0</v>
      </c>
      <c r="Z16" s="1571"/>
      <c r="AA16" s="1613" t="str">
        <f t="shared" si="3"/>
        <v>1.2.2</v>
      </c>
      <c r="AB16" s="1613" t="str">
        <f t="shared" si="4"/>
        <v xml:space="preserve"> Q1 1.2</v>
      </c>
      <c r="AC16" s="1613" t="str">
        <f t="shared" si="5"/>
        <v>界壁遮音性能</v>
      </c>
      <c r="AD16" s="1759">
        <f t="shared" si="6"/>
        <v>0.4</v>
      </c>
      <c r="AE16" s="1759">
        <f t="shared" si="7"/>
        <v>0.3</v>
      </c>
      <c r="AF16" s="1759">
        <f t="shared" si="8"/>
        <v>0</v>
      </c>
      <c r="AG16" s="1759">
        <f t="shared" si="9"/>
        <v>0.4</v>
      </c>
      <c r="AH16" s="1759">
        <f t="shared" si="10"/>
        <v>0.6</v>
      </c>
      <c r="AI16" s="1759">
        <f t="shared" si="11"/>
        <v>0</v>
      </c>
      <c r="AJ16" s="1759">
        <f t="shared" si="12"/>
        <v>0</v>
      </c>
      <c r="AK16" s="1761">
        <f t="shared" si="13"/>
        <v>0</v>
      </c>
      <c r="AL16" s="1759">
        <f t="shared" si="14"/>
        <v>0.4</v>
      </c>
      <c r="AM16" s="1759">
        <f t="shared" si="14"/>
        <v>0.3</v>
      </c>
      <c r="AN16" s="1760">
        <f t="shared" si="15"/>
        <v>0.3</v>
      </c>
      <c r="AO16" s="1759">
        <f t="shared" si="16"/>
        <v>0.3</v>
      </c>
      <c r="AP16" s="1759">
        <f t="shared" si="17"/>
        <v>0.3</v>
      </c>
      <c r="AQ16" s="1620"/>
      <c r="AR16" s="1647" t="s">
        <v>1475</v>
      </c>
      <c r="AS16" s="1693" t="s">
        <v>282</v>
      </c>
      <c r="AT16" s="1985" t="s">
        <v>641</v>
      </c>
      <c r="AU16" s="1623">
        <v>0.4</v>
      </c>
      <c r="AV16" s="1623">
        <v>0.3</v>
      </c>
      <c r="AW16" s="1623"/>
      <c r="AX16" s="1623">
        <v>0.4</v>
      </c>
      <c r="AY16" s="1623">
        <v>0.6</v>
      </c>
      <c r="AZ16" s="1623"/>
      <c r="BA16" s="1623"/>
      <c r="BB16" s="1623"/>
      <c r="BC16" s="1623">
        <v>0.4</v>
      </c>
      <c r="BD16" s="1623">
        <v>0.3</v>
      </c>
      <c r="BE16" s="1623">
        <v>0.3</v>
      </c>
      <c r="BF16" s="1623">
        <v>0.3</v>
      </c>
      <c r="BG16" s="1623">
        <v>0.3</v>
      </c>
      <c r="BI16" s="1647" t="s">
        <v>1475</v>
      </c>
      <c r="BJ16" s="1693" t="s">
        <v>282</v>
      </c>
      <c r="BK16" s="1985" t="s">
        <v>641</v>
      </c>
      <c r="BL16" s="1623">
        <v>0.4</v>
      </c>
      <c r="BM16" s="1623">
        <v>0.3</v>
      </c>
      <c r="BN16" s="1623"/>
      <c r="BO16" s="1623">
        <v>0.4</v>
      </c>
      <c r="BP16" s="1623">
        <v>0.6</v>
      </c>
      <c r="BQ16" s="1623"/>
      <c r="BR16" s="1623"/>
      <c r="BS16" s="1623"/>
      <c r="BT16" s="1623">
        <v>0.4</v>
      </c>
      <c r="BU16" s="1623">
        <v>0.3</v>
      </c>
      <c r="BV16" s="1623">
        <v>0.3</v>
      </c>
      <c r="BW16" s="1623">
        <v>0.3</v>
      </c>
      <c r="BX16" s="1623">
        <v>0.3</v>
      </c>
    </row>
    <row r="17" spans="1:77" ht="13.5" customHeight="1">
      <c r="B17" s="1621" t="str">
        <f t="shared" si="0"/>
        <v>1.2.3</v>
      </c>
      <c r="C17" s="516" t="str">
        <f t="shared" si="1"/>
        <v>界床遮音性能（軽量衝撃源）</v>
      </c>
      <c r="D17" s="1716">
        <f t="shared" si="22"/>
        <v>0</v>
      </c>
      <c r="E17" s="1716">
        <f t="shared" si="22"/>
        <v>0</v>
      </c>
      <c r="G17" s="1691">
        <f t="shared" si="2"/>
        <v>0</v>
      </c>
      <c r="H17" s="1691">
        <f t="shared" si="2"/>
        <v>0</v>
      </c>
      <c r="I17" s="1691"/>
      <c r="J17" s="1691"/>
      <c r="K17" s="1616">
        <f>IF(スコア表示!X17=0,0,1)</f>
        <v>0</v>
      </c>
      <c r="L17" s="1616">
        <f>IF(スコア表示!AB17=0,0,1)</f>
        <v>0</v>
      </c>
      <c r="N17" s="1713">
        <f t="shared" si="23"/>
        <v>0</v>
      </c>
      <c r="O17" s="1713">
        <f t="shared" si="23"/>
        <v>0</v>
      </c>
      <c r="P17" s="1616"/>
      <c r="Q17" s="1616"/>
      <c r="R17" s="1616">
        <f>IF(スコア入力!R17="EB",重み_対象外!D17,U17)</f>
        <v>0</v>
      </c>
      <c r="S17" s="1616">
        <f>IF(スコア入力!Y17="EB",重み_対象外!E17,V17)</f>
        <v>0</v>
      </c>
      <c r="T17" s="1560"/>
      <c r="U17" s="1614">
        <f t="shared" si="24"/>
        <v>0</v>
      </c>
      <c r="V17" s="1614">
        <f t="shared" si="24"/>
        <v>0</v>
      </c>
      <c r="W17" s="1560"/>
      <c r="X17" s="1616">
        <f t="shared" si="18"/>
        <v>0</v>
      </c>
      <c r="Y17" s="1616">
        <f t="shared" si="21"/>
        <v>0</v>
      </c>
      <c r="Z17" s="1571"/>
      <c r="AA17" s="1613" t="str">
        <f t="shared" si="3"/>
        <v>1.2.3</v>
      </c>
      <c r="AB17" s="1613" t="str">
        <f t="shared" si="4"/>
        <v xml:space="preserve"> Q1 1.2</v>
      </c>
      <c r="AC17" s="1613" t="str">
        <f t="shared" si="5"/>
        <v>界床遮音性能（軽量衝撃源）</v>
      </c>
      <c r="AD17" s="1759">
        <f t="shared" si="6"/>
        <v>0</v>
      </c>
      <c r="AE17" s="1759">
        <f t="shared" si="7"/>
        <v>0.2</v>
      </c>
      <c r="AF17" s="1759">
        <f t="shared" si="8"/>
        <v>0</v>
      </c>
      <c r="AG17" s="1759">
        <f t="shared" si="9"/>
        <v>0</v>
      </c>
      <c r="AH17" s="1759">
        <f t="shared" si="10"/>
        <v>0</v>
      </c>
      <c r="AI17" s="1759">
        <f t="shared" si="11"/>
        <v>0</v>
      </c>
      <c r="AJ17" s="1759">
        <f t="shared" si="12"/>
        <v>0</v>
      </c>
      <c r="AK17" s="1761">
        <f t="shared" si="13"/>
        <v>0</v>
      </c>
      <c r="AL17" s="1759">
        <f t="shared" si="14"/>
        <v>0</v>
      </c>
      <c r="AM17" s="1759">
        <f t="shared" si="14"/>
        <v>0.2</v>
      </c>
      <c r="AN17" s="1760">
        <f t="shared" si="15"/>
        <v>0.2</v>
      </c>
      <c r="AO17" s="1759">
        <f t="shared" si="16"/>
        <v>0.2</v>
      </c>
      <c r="AP17" s="1759">
        <f t="shared" si="17"/>
        <v>0.2</v>
      </c>
      <c r="AQ17" s="1620"/>
      <c r="AR17" s="1647" t="s">
        <v>1477</v>
      </c>
      <c r="AS17" s="1693" t="s">
        <v>282</v>
      </c>
      <c r="AT17" s="1985" t="s">
        <v>642</v>
      </c>
      <c r="AU17" s="1623"/>
      <c r="AV17" s="1623">
        <v>0.2</v>
      </c>
      <c r="AW17" s="1623"/>
      <c r="AX17" s="1623"/>
      <c r="AY17" s="1623"/>
      <c r="AZ17" s="1623"/>
      <c r="BA17" s="1623"/>
      <c r="BB17" s="1624"/>
      <c r="BC17" s="1623"/>
      <c r="BD17" s="1623">
        <v>0.2</v>
      </c>
      <c r="BE17" s="1625">
        <v>0.2</v>
      </c>
      <c r="BF17" s="1623">
        <v>0.2</v>
      </c>
      <c r="BG17" s="1623">
        <v>0.2</v>
      </c>
      <c r="BI17" s="1647" t="s">
        <v>1477</v>
      </c>
      <c r="BJ17" s="1693" t="s">
        <v>282</v>
      </c>
      <c r="BK17" s="1985" t="s">
        <v>642</v>
      </c>
      <c r="BL17" s="1623"/>
      <c r="BM17" s="1623">
        <v>0.2</v>
      </c>
      <c r="BN17" s="1623"/>
      <c r="BO17" s="1623"/>
      <c r="BP17" s="1623"/>
      <c r="BQ17" s="1623"/>
      <c r="BR17" s="1623"/>
      <c r="BS17" s="1624"/>
      <c r="BT17" s="1623"/>
      <c r="BU17" s="1623">
        <v>0.2</v>
      </c>
      <c r="BV17" s="1625">
        <v>0.2</v>
      </c>
      <c r="BW17" s="1623">
        <v>0.2</v>
      </c>
      <c r="BX17" s="1623">
        <v>0.2</v>
      </c>
    </row>
    <row r="18" spans="1:77" ht="13.5" customHeight="1">
      <c r="B18" s="1621" t="str">
        <f t="shared" si="0"/>
        <v>1.2.4</v>
      </c>
      <c r="C18" s="516" t="str">
        <f t="shared" si="1"/>
        <v>界床遮音性能（重量衝撃源）</v>
      </c>
      <c r="D18" s="1716">
        <f t="shared" si="22"/>
        <v>0</v>
      </c>
      <c r="E18" s="1716">
        <f t="shared" si="22"/>
        <v>0</v>
      </c>
      <c r="G18" s="1691">
        <f t="shared" si="2"/>
        <v>0</v>
      </c>
      <c r="H18" s="1691">
        <f t="shared" si="2"/>
        <v>0</v>
      </c>
      <c r="I18" s="1691"/>
      <c r="J18" s="1691"/>
      <c r="K18" s="1616">
        <f>IF(スコア表示!X18=0,0,1)</f>
        <v>0</v>
      </c>
      <c r="L18" s="1616">
        <f>IF(スコア表示!AB18=0,0,1)</f>
        <v>0</v>
      </c>
      <c r="N18" s="1713">
        <f t="shared" si="23"/>
        <v>0</v>
      </c>
      <c r="O18" s="1713">
        <f t="shared" si="23"/>
        <v>0</v>
      </c>
      <c r="P18" s="1616"/>
      <c r="Q18" s="1616"/>
      <c r="R18" s="1616">
        <f>IF(スコア入力!R18="EB",重み_対象外!D18,U18)</f>
        <v>0</v>
      </c>
      <c r="S18" s="1616">
        <f>IF(スコア入力!Y18="EB",重み_対象外!E18,V18)</f>
        <v>0</v>
      </c>
      <c r="T18" s="1560"/>
      <c r="U18" s="1614">
        <f t="shared" si="24"/>
        <v>0</v>
      </c>
      <c r="V18" s="1614">
        <f t="shared" si="24"/>
        <v>0</v>
      </c>
      <c r="W18" s="1560"/>
      <c r="X18" s="1616">
        <f t="shared" si="18"/>
        <v>0</v>
      </c>
      <c r="Y18" s="1616">
        <f t="shared" si="21"/>
        <v>0</v>
      </c>
      <c r="Z18" s="1571"/>
      <c r="AA18" s="1613" t="str">
        <f t="shared" si="3"/>
        <v>1.2.4</v>
      </c>
      <c r="AB18" s="1613" t="str">
        <f t="shared" si="4"/>
        <v xml:space="preserve"> Q1 1.2</v>
      </c>
      <c r="AC18" s="1613" t="str">
        <f t="shared" si="5"/>
        <v>界床遮音性能（重量衝撃源）</v>
      </c>
      <c r="AD18" s="1759">
        <f t="shared" si="6"/>
        <v>0</v>
      </c>
      <c r="AE18" s="1759">
        <f t="shared" si="7"/>
        <v>0.2</v>
      </c>
      <c r="AF18" s="1759">
        <f t="shared" si="8"/>
        <v>0</v>
      </c>
      <c r="AG18" s="1759">
        <f t="shared" si="9"/>
        <v>0</v>
      </c>
      <c r="AH18" s="1759">
        <f t="shared" si="10"/>
        <v>0</v>
      </c>
      <c r="AI18" s="1759">
        <f t="shared" si="11"/>
        <v>0</v>
      </c>
      <c r="AJ18" s="1759">
        <f t="shared" si="12"/>
        <v>0</v>
      </c>
      <c r="AK18" s="1761">
        <f t="shared" si="13"/>
        <v>0</v>
      </c>
      <c r="AL18" s="1759">
        <f t="shared" si="14"/>
        <v>0</v>
      </c>
      <c r="AM18" s="1759">
        <f t="shared" si="14"/>
        <v>0.2</v>
      </c>
      <c r="AN18" s="1760">
        <f t="shared" si="15"/>
        <v>0.2</v>
      </c>
      <c r="AO18" s="1759">
        <f t="shared" si="16"/>
        <v>0.2</v>
      </c>
      <c r="AP18" s="1759">
        <f t="shared" si="17"/>
        <v>0.2</v>
      </c>
      <c r="AQ18" s="1620"/>
      <c r="AR18" s="1647" t="s">
        <v>1478</v>
      </c>
      <c r="AS18" s="1693" t="s">
        <v>282</v>
      </c>
      <c r="AT18" s="1985" t="s">
        <v>643</v>
      </c>
      <c r="AU18" s="1623"/>
      <c r="AV18" s="1623">
        <v>0.2</v>
      </c>
      <c r="AW18" s="1623"/>
      <c r="AX18" s="1623"/>
      <c r="AY18" s="1623"/>
      <c r="AZ18" s="1623"/>
      <c r="BA18" s="1623"/>
      <c r="BB18" s="1624"/>
      <c r="BC18" s="1623"/>
      <c r="BD18" s="1623">
        <v>0.2</v>
      </c>
      <c r="BE18" s="1625">
        <v>0.2</v>
      </c>
      <c r="BF18" s="1623">
        <v>0.2</v>
      </c>
      <c r="BG18" s="1623">
        <v>0.2</v>
      </c>
      <c r="BI18" s="1647" t="s">
        <v>1478</v>
      </c>
      <c r="BJ18" s="1693" t="s">
        <v>282</v>
      </c>
      <c r="BK18" s="1985" t="s">
        <v>643</v>
      </c>
      <c r="BL18" s="1623"/>
      <c r="BM18" s="1623">
        <v>0.2</v>
      </c>
      <c r="BN18" s="1623"/>
      <c r="BO18" s="1623"/>
      <c r="BP18" s="1623"/>
      <c r="BQ18" s="1623"/>
      <c r="BR18" s="1623"/>
      <c r="BS18" s="1624"/>
      <c r="BT18" s="1623"/>
      <c r="BU18" s="1623">
        <v>0.2</v>
      </c>
      <c r="BV18" s="1625">
        <v>0.2</v>
      </c>
      <c r="BW18" s="1623">
        <v>0.2</v>
      </c>
      <c r="BX18" s="1623">
        <v>0.2</v>
      </c>
    </row>
    <row r="19" spans="1:77" ht="13.5" customHeight="1">
      <c r="B19" s="1621">
        <f t="shared" si="0"/>
        <v>1.3</v>
      </c>
      <c r="C19" s="516" t="str">
        <f t="shared" si="1"/>
        <v>吸音</v>
      </c>
      <c r="D19" s="1716">
        <f>IF(I$10=0,0,G19/I$10)</f>
        <v>0.2</v>
      </c>
      <c r="E19" s="1716">
        <f>IF(J$10=0,0,H19/J$10)</f>
        <v>0</v>
      </c>
      <c r="G19" s="1691">
        <f t="shared" si="2"/>
        <v>0.2</v>
      </c>
      <c r="H19" s="1691">
        <f t="shared" si="2"/>
        <v>0</v>
      </c>
      <c r="I19" s="1691"/>
      <c r="J19" s="1691"/>
      <c r="K19" s="1616">
        <f>IF(スコア表示!X19=0,0,1)</f>
        <v>1</v>
      </c>
      <c r="L19" s="1616">
        <f>IF(スコア表示!AB19=0,0,1)</f>
        <v>0</v>
      </c>
      <c r="N19" s="1713">
        <f>IF(P$10=0,0,R19/P$10)</f>
        <v>0.2</v>
      </c>
      <c r="O19" s="1713">
        <f>IF(Q$10=0,0,S19/Q$10)</f>
        <v>0</v>
      </c>
      <c r="P19" s="1616"/>
      <c r="Q19" s="1616"/>
      <c r="R19" s="1616">
        <f>IF(スコア入力!R19="EB",重み_対象外!D19,U19)</f>
        <v>2.9999999999999995E-2</v>
      </c>
      <c r="S19" s="1616">
        <f>IF(スコア入力!Y19="EB",重み_対象外!E19,V19)</f>
        <v>0</v>
      </c>
      <c r="T19" s="1560"/>
      <c r="U19" s="1305">
        <f>X10*X19</f>
        <v>2.9999999999999995E-2</v>
      </c>
      <c r="V19" s="1305">
        <f>Y10*Y19</f>
        <v>0</v>
      </c>
      <c r="W19" s="1560"/>
      <c r="X19" s="1616">
        <f t="shared" si="18"/>
        <v>0.19999999999999998</v>
      </c>
      <c r="Y19" s="1616">
        <f t="shared" si="21"/>
        <v>0</v>
      </c>
      <c r="Z19" s="1571"/>
      <c r="AA19" s="1613">
        <f t="shared" si="3"/>
        <v>1.3</v>
      </c>
      <c r="AB19" s="1613" t="str">
        <f t="shared" si="4"/>
        <v xml:space="preserve"> Q1 1</v>
      </c>
      <c r="AC19" s="1613" t="str">
        <f t="shared" si="5"/>
        <v>吸音</v>
      </c>
      <c r="AD19" s="1759">
        <f t="shared" si="6"/>
        <v>0.2</v>
      </c>
      <c r="AE19" s="1759">
        <f t="shared" si="7"/>
        <v>0.2</v>
      </c>
      <c r="AF19" s="1759">
        <f t="shared" si="8"/>
        <v>0.2</v>
      </c>
      <c r="AG19" s="1759">
        <f t="shared" si="9"/>
        <v>0.2</v>
      </c>
      <c r="AH19" s="1759">
        <f t="shared" si="10"/>
        <v>0.2</v>
      </c>
      <c r="AI19" s="1759">
        <f t="shared" si="11"/>
        <v>0.2</v>
      </c>
      <c r="AJ19" s="1759">
        <f t="shared" si="12"/>
        <v>0</v>
      </c>
      <c r="AK19" s="1761">
        <f t="shared" si="13"/>
        <v>0.2</v>
      </c>
      <c r="AL19" s="1759">
        <f t="shared" si="14"/>
        <v>0.2</v>
      </c>
      <c r="AM19" s="1759">
        <f t="shared" si="14"/>
        <v>0.2</v>
      </c>
      <c r="AN19" s="1760">
        <f t="shared" si="15"/>
        <v>0.2</v>
      </c>
      <c r="AO19" s="1759">
        <f t="shared" si="16"/>
        <v>0.2</v>
      </c>
      <c r="AP19" s="1759">
        <f t="shared" si="17"/>
        <v>0</v>
      </c>
      <c r="AQ19" s="1620"/>
      <c r="AR19" s="1647">
        <v>1.3</v>
      </c>
      <c r="AS19" s="1693" t="s">
        <v>278</v>
      </c>
      <c r="AT19" s="1985" t="s">
        <v>644</v>
      </c>
      <c r="AU19" s="1623">
        <v>0.2</v>
      </c>
      <c r="AV19" s="1623">
        <v>0.2</v>
      </c>
      <c r="AW19" s="1623">
        <v>0.2</v>
      </c>
      <c r="AX19" s="1623">
        <v>0.2</v>
      </c>
      <c r="AY19" s="1623">
        <v>0.2</v>
      </c>
      <c r="AZ19" s="1623">
        <v>0.2</v>
      </c>
      <c r="BA19" s="1623">
        <v>0</v>
      </c>
      <c r="BB19" s="1624">
        <v>0.2</v>
      </c>
      <c r="BC19" s="1623">
        <v>0.2</v>
      </c>
      <c r="BD19" s="1623">
        <v>0.2</v>
      </c>
      <c r="BE19" s="1625">
        <v>0.2</v>
      </c>
      <c r="BF19" s="1623">
        <v>0.2</v>
      </c>
      <c r="BG19" s="1623">
        <v>0</v>
      </c>
      <c r="BI19" s="1647">
        <v>1.3</v>
      </c>
      <c r="BJ19" s="1693" t="s">
        <v>278</v>
      </c>
      <c r="BK19" s="1985" t="s">
        <v>644</v>
      </c>
      <c r="BL19" s="1623">
        <v>0.2</v>
      </c>
      <c r="BM19" s="1623">
        <v>0.2</v>
      </c>
      <c r="BN19" s="1623">
        <v>0.2</v>
      </c>
      <c r="BO19" s="1623">
        <v>0.2</v>
      </c>
      <c r="BP19" s="1623">
        <v>0.2</v>
      </c>
      <c r="BQ19" s="1623">
        <v>0.2</v>
      </c>
      <c r="BR19" s="1623">
        <v>0</v>
      </c>
      <c r="BS19" s="1624">
        <v>0.2</v>
      </c>
      <c r="BT19" s="1623">
        <v>0.2</v>
      </c>
      <c r="BU19" s="1623">
        <v>0.2</v>
      </c>
      <c r="BV19" s="1625">
        <v>0.2</v>
      </c>
      <c r="BW19" s="1623">
        <v>0.2</v>
      </c>
      <c r="BX19" s="1623">
        <v>0</v>
      </c>
    </row>
    <row r="20" spans="1:77" s="1605" customFormat="1" ht="13.5" customHeight="1">
      <c r="A20"/>
      <c r="B20" s="1627">
        <f t="shared" si="0"/>
        <v>2</v>
      </c>
      <c r="C20" s="1628" t="str">
        <f t="shared" si="1"/>
        <v>温熱環境</v>
      </c>
      <c r="D20" s="2062">
        <f>IF(I$9=0,0,G20/I$9)</f>
        <v>0.35560071120142245</v>
      </c>
      <c r="E20" s="1743">
        <f>IF(J$9=0,0,H20/J$9)</f>
        <v>0</v>
      </c>
      <c r="F20"/>
      <c r="G20" s="1743">
        <f t="shared" si="2"/>
        <v>0.35560071120142245</v>
      </c>
      <c r="H20" s="1743">
        <f t="shared" si="2"/>
        <v>0</v>
      </c>
      <c r="I20" s="1743">
        <f>G21+G30+G31</f>
        <v>1</v>
      </c>
      <c r="J20" s="1743">
        <f>H21+H30+H31</f>
        <v>0</v>
      </c>
      <c r="K20" s="2447">
        <f>IF(L20&gt;0,1,IF(スコア表示!X20=0,0,1))</f>
        <v>1</v>
      </c>
      <c r="L20" s="1609">
        <f>IF(スコア表示!AB20=0,0,1)</f>
        <v>0</v>
      </c>
      <c r="M20"/>
      <c r="N20" s="1707">
        <f>IF(P$9=0,0,R20/P$9)</f>
        <v>0.35560071120142245</v>
      </c>
      <c r="O20" s="1707">
        <f>IF(Q$9=0,0,S20/Q$9)</f>
        <v>0</v>
      </c>
      <c r="P20" s="1710">
        <f>SUM(R21:R33)</f>
        <v>0.35</v>
      </c>
      <c r="Q20" s="1710">
        <f>SUM(S21:S33)</f>
        <v>0</v>
      </c>
      <c r="R20" s="1609">
        <f>IF(スコア入力!R20="EB",重み_対象外!D20,U20)</f>
        <v>0.35</v>
      </c>
      <c r="S20" s="1609">
        <f>IF(スコア入力!Y20="EB",重み_対象外!E20,V20)</f>
        <v>0</v>
      </c>
      <c r="T20" s="1560"/>
      <c r="U20" s="1607">
        <f>SUM(U21:U33)</f>
        <v>0.35</v>
      </c>
      <c r="V20" s="1607">
        <f>SUM(V21:V33)</f>
        <v>0</v>
      </c>
      <c r="W20" s="1560"/>
      <c r="X20" s="1609">
        <f t="shared" si="18"/>
        <v>0.35</v>
      </c>
      <c r="Y20" s="1609">
        <v>1</v>
      </c>
      <c r="Z20" s="1601"/>
      <c r="AA20" s="1606">
        <f t="shared" si="3"/>
        <v>2</v>
      </c>
      <c r="AB20" s="1606" t="str">
        <f t="shared" si="4"/>
        <v xml:space="preserve"> Q1</v>
      </c>
      <c r="AC20" s="1606" t="str">
        <f t="shared" si="5"/>
        <v>温熱環境</v>
      </c>
      <c r="AD20" s="1756">
        <f t="shared" si="6"/>
        <v>0.35</v>
      </c>
      <c r="AE20" s="1756">
        <f t="shared" si="7"/>
        <v>0.35</v>
      </c>
      <c r="AF20" s="1756">
        <f t="shared" si="8"/>
        <v>0.35</v>
      </c>
      <c r="AG20" s="1756">
        <f t="shared" si="9"/>
        <v>0.35</v>
      </c>
      <c r="AH20" s="1756">
        <f t="shared" si="10"/>
        <v>0.35</v>
      </c>
      <c r="AI20" s="1756">
        <f t="shared" si="11"/>
        <v>0.35</v>
      </c>
      <c r="AJ20" s="1756">
        <f t="shared" si="12"/>
        <v>0.35</v>
      </c>
      <c r="AK20" s="1762">
        <f t="shared" si="13"/>
        <v>0.44</v>
      </c>
      <c r="AL20" s="1756">
        <f t="shared" si="14"/>
        <v>0.35</v>
      </c>
      <c r="AM20" s="1756">
        <f t="shared" si="14"/>
        <v>0.35</v>
      </c>
      <c r="AN20" s="1758">
        <f t="shared" si="15"/>
        <v>0</v>
      </c>
      <c r="AO20" s="1756">
        <f t="shared" si="16"/>
        <v>0</v>
      </c>
      <c r="AP20" s="1756">
        <f t="shared" si="17"/>
        <v>0</v>
      </c>
      <c r="AQ20" s="1612"/>
      <c r="AR20" s="1641">
        <v>2</v>
      </c>
      <c r="AS20" s="1744" t="s">
        <v>277</v>
      </c>
      <c r="AT20" s="1787" t="s">
        <v>1069</v>
      </c>
      <c r="AU20" s="1711">
        <v>0.35</v>
      </c>
      <c r="AV20" s="1711">
        <v>0.35</v>
      </c>
      <c r="AW20" s="1711">
        <v>0.35</v>
      </c>
      <c r="AX20" s="1711">
        <v>0.35</v>
      </c>
      <c r="AY20" s="1711">
        <v>0.35</v>
      </c>
      <c r="AZ20" s="1711">
        <v>0.35</v>
      </c>
      <c r="BA20" s="1711">
        <v>0.35</v>
      </c>
      <c r="BB20" s="1635">
        <v>0.44</v>
      </c>
      <c r="BC20" s="1711">
        <v>0.35</v>
      </c>
      <c r="BD20" s="1711">
        <v>0.35</v>
      </c>
      <c r="BE20" s="2063"/>
      <c r="BF20" s="1711"/>
      <c r="BG20" s="1711"/>
      <c r="BH20"/>
      <c r="BI20" s="1641">
        <v>2</v>
      </c>
      <c r="BJ20" s="1744" t="s">
        <v>277</v>
      </c>
      <c r="BK20" s="1787" t="s">
        <v>1069</v>
      </c>
      <c r="BL20" s="1711">
        <v>0.35</v>
      </c>
      <c r="BM20" s="1711">
        <v>0.35</v>
      </c>
      <c r="BN20" s="1711">
        <v>0.35</v>
      </c>
      <c r="BO20" s="1711">
        <v>0.35</v>
      </c>
      <c r="BP20" s="1711">
        <v>0.35</v>
      </c>
      <c r="BQ20" s="1711">
        <v>0.35</v>
      </c>
      <c r="BR20" s="1711">
        <v>0.35</v>
      </c>
      <c r="BS20" s="1635">
        <v>0.44</v>
      </c>
      <c r="BT20" s="1711">
        <v>0.35</v>
      </c>
      <c r="BU20" s="1711">
        <v>0.35</v>
      </c>
      <c r="BV20" s="2063"/>
      <c r="BW20" s="1711"/>
      <c r="BX20" s="1711"/>
      <c r="BY20"/>
    </row>
    <row r="21" spans="1:77" ht="13.5" customHeight="1">
      <c r="B21" s="1613">
        <f t="shared" si="0"/>
        <v>2.1</v>
      </c>
      <c r="C21" s="1630" t="str">
        <f t="shared" si="1"/>
        <v>室温制御</v>
      </c>
      <c r="D21" s="1716">
        <f>IF(I$20=0,0,G21/I$20)</f>
        <v>0.50000000000000011</v>
      </c>
      <c r="E21" s="1691">
        <f>IF(J$20=0,0,H21/J$20)</f>
        <v>0</v>
      </c>
      <c r="G21" s="1691">
        <f t="shared" si="2"/>
        <v>0.50000000000000011</v>
      </c>
      <c r="H21" s="1691">
        <f t="shared" si="2"/>
        <v>0</v>
      </c>
      <c r="I21" s="1691">
        <f>SUM(G22:G29)</f>
        <v>0.73999999999999977</v>
      </c>
      <c r="J21" s="1691">
        <f>SUM(H22:H29)</f>
        <v>0</v>
      </c>
      <c r="K21" s="1616">
        <f>IF(スコア表示!X21=0,0,1)</f>
        <v>1</v>
      </c>
      <c r="L21" s="1616">
        <f>IF(スコア表示!AB21=0,0,1)</f>
        <v>0</v>
      </c>
      <c r="N21" s="1713">
        <f>IF(P$20=0,0,P21/P$20)</f>
        <v>0.50000000000000011</v>
      </c>
      <c r="O21" s="1713">
        <f>IF(Q$20=0,0,Q21/Q$20)</f>
        <v>0</v>
      </c>
      <c r="P21" s="1616">
        <f>SUM(R22:R29)</f>
        <v>0.17500000000000002</v>
      </c>
      <c r="Q21" s="1616">
        <f>SUM(S22:S29)</f>
        <v>0</v>
      </c>
      <c r="R21" s="1616">
        <f>IF(スコア入力!R21="EB",重み_対象外!D21,U21)</f>
        <v>0</v>
      </c>
      <c r="S21" s="1616">
        <f>IF(スコア入力!Y21="EB",重み_対象外!E21,V21)</f>
        <v>0</v>
      </c>
      <c r="T21" s="1560"/>
      <c r="U21" s="1630"/>
      <c r="V21" s="1630"/>
      <c r="W21" s="1560"/>
      <c r="X21" s="1616">
        <f t="shared" si="18"/>
        <v>0.5</v>
      </c>
      <c r="Y21" s="1616">
        <f t="shared" si="21"/>
        <v>0</v>
      </c>
      <c r="Z21" s="1571"/>
      <c r="AA21" s="1613">
        <f t="shared" si="3"/>
        <v>2.1</v>
      </c>
      <c r="AB21" s="1613" t="str">
        <f t="shared" si="4"/>
        <v xml:space="preserve"> Q1 2</v>
      </c>
      <c r="AC21" s="1613" t="str">
        <f t="shared" si="5"/>
        <v>室温制御</v>
      </c>
      <c r="AD21" s="1759">
        <f t="shared" si="6"/>
        <v>0.5</v>
      </c>
      <c r="AE21" s="1759">
        <f t="shared" si="7"/>
        <v>0.5</v>
      </c>
      <c r="AF21" s="1759">
        <f t="shared" si="8"/>
        <v>0.5</v>
      </c>
      <c r="AG21" s="1759">
        <f t="shared" si="9"/>
        <v>0.5</v>
      </c>
      <c r="AH21" s="1759">
        <f t="shared" si="10"/>
        <v>0.5</v>
      </c>
      <c r="AI21" s="1759">
        <f t="shared" si="11"/>
        <v>0.5</v>
      </c>
      <c r="AJ21" s="1759">
        <f t="shared" si="12"/>
        <v>0.5</v>
      </c>
      <c r="AK21" s="1763">
        <f t="shared" si="13"/>
        <v>0.5</v>
      </c>
      <c r="AL21" s="1759">
        <f t="shared" si="14"/>
        <v>0.5</v>
      </c>
      <c r="AM21" s="1759">
        <f t="shared" si="14"/>
        <v>0.5</v>
      </c>
      <c r="AN21" s="1760">
        <f t="shared" si="15"/>
        <v>0.5</v>
      </c>
      <c r="AO21" s="1759">
        <f t="shared" si="16"/>
        <v>0.5</v>
      </c>
      <c r="AP21" s="1759">
        <f t="shared" si="17"/>
        <v>0.5</v>
      </c>
      <c r="AQ21" s="1620"/>
      <c r="AR21" s="1647">
        <v>2.1</v>
      </c>
      <c r="AS21" s="1693" t="s">
        <v>283</v>
      </c>
      <c r="AT21" s="1737" t="s">
        <v>648</v>
      </c>
      <c r="AU21" s="1623">
        <v>0.5</v>
      </c>
      <c r="AV21" s="1623">
        <v>0.5</v>
      </c>
      <c r="AW21" s="1623">
        <v>0.5</v>
      </c>
      <c r="AX21" s="1623">
        <v>0.5</v>
      </c>
      <c r="AY21" s="1623">
        <v>0.5</v>
      </c>
      <c r="AZ21" s="1623">
        <v>0.5</v>
      </c>
      <c r="BA21" s="1623">
        <v>0.5</v>
      </c>
      <c r="BB21" s="1714">
        <v>0.5</v>
      </c>
      <c r="BC21" s="1623">
        <v>0.5</v>
      </c>
      <c r="BD21" s="1623">
        <v>0.5</v>
      </c>
      <c r="BE21" s="1625">
        <v>0.5</v>
      </c>
      <c r="BF21" s="1623">
        <v>0.5</v>
      </c>
      <c r="BG21" s="1623">
        <v>0.5</v>
      </c>
      <c r="BI21" s="1647">
        <v>2.1</v>
      </c>
      <c r="BJ21" s="1693" t="s">
        <v>283</v>
      </c>
      <c r="BK21" s="1737" t="s">
        <v>648</v>
      </c>
      <c r="BL21" s="1623">
        <v>0.5</v>
      </c>
      <c r="BM21" s="1623">
        <v>0.5</v>
      </c>
      <c r="BN21" s="1623">
        <v>0.5</v>
      </c>
      <c r="BO21" s="1623">
        <v>0.5</v>
      </c>
      <c r="BP21" s="1623">
        <v>0.5</v>
      </c>
      <c r="BQ21" s="1623">
        <v>0.5</v>
      </c>
      <c r="BR21" s="1623">
        <v>0.5</v>
      </c>
      <c r="BS21" s="1714">
        <v>0.5</v>
      </c>
      <c r="BT21" s="1623">
        <v>0.5</v>
      </c>
      <c r="BU21" s="1623">
        <v>0.5</v>
      </c>
      <c r="BV21" s="1625">
        <v>0.5</v>
      </c>
      <c r="BW21" s="1623">
        <v>0.5</v>
      </c>
      <c r="BX21" s="1623">
        <v>0.5</v>
      </c>
    </row>
    <row r="22" spans="1:77" ht="13.5" customHeight="1">
      <c r="B22" s="1621" t="str">
        <f t="shared" si="0"/>
        <v>2.1.1</v>
      </c>
      <c r="C22" s="1614" t="str">
        <f t="shared" si="1"/>
        <v>室温</v>
      </c>
      <c r="D22" s="1721">
        <f t="shared" ref="D22:E29" si="25">IF(I$21&gt;0,G22/I$21,0)</f>
        <v>0.40540540540540543</v>
      </c>
      <c r="E22" s="1691">
        <f t="shared" si="25"/>
        <v>0</v>
      </c>
      <c r="G22" s="1691">
        <f t="shared" si="2"/>
        <v>0.29999999999999993</v>
      </c>
      <c r="H22" s="1691">
        <f t="shared" si="2"/>
        <v>0</v>
      </c>
      <c r="I22" s="1691"/>
      <c r="J22" s="1691"/>
      <c r="K22" s="1616">
        <f>IF(スコア表示!X22=0,0,1)</f>
        <v>1</v>
      </c>
      <c r="L22" s="1616">
        <f>IF(スコア表示!AB22=0,0,1)</f>
        <v>1</v>
      </c>
      <c r="N22" s="1708">
        <f t="shared" ref="N22:O29" si="26">IF(P$21&gt;0,R22/P$21,0)</f>
        <v>0.29999999999999993</v>
      </c>
      <c r="O22" s="1708">
        <f t="shared" si="26"/>
        <v>0</v>
      </c>
      <c r="P22" s="1616"/>
      <c r="Q22" s="1616"/>
      <c r="R22" s="1616">
        <f>IF(スコア入力!R22="EB",重み_対象外!D22,U22)</f>
        <v>5.2499999999999998E-2</v>
      </c>
      <c r="S22" s="1616">
        <f>IF(スコア入力!Y22="EB",重み_対象外!E22,V22)</f>
        <v>0</v>
      </c>
      <c r="T22" s="1560"/>
      <c r="U22" s="1614">
        <f t="shared" ref="U22:V29" si="27">X$20*X$21*X22</f>
        <v>5.2499999999999998E-2</v>
      </c>
      <c r="V22" s="1614">
        <f>Y$20*Y$21*Y22</f>
        <v>0</v>
      </c>
      <c r="W22" s="1560"/>
      <c r="X22" s="1616">
        <f t="shared" si="18"/>
        <v>0.3</v>
      </c>
      <c r="Y22" s="1616">
        <f t="shared" si="21"/>
        <v>0</v>
      </c>
      <c r="Z22" s="1571"/>
      <c r="AA22" s="1613" t="str">
        <f t="shared" si="3"/>
        <v>2.1.1</v>
      </c>
      <c r="AB22" s="1613" t="str">
        <f t="shared" si="4"/>
        <v xml:space="preserve"> Q1 2.1</v>
      </c>
      <c r="AC22" s="1613" t="str">
        <f t="shared" si="5"/>
        <v>室温</v>
      </c>
      <c r="AD22" s="1759">
        <f t="shared" si="6"/>
        <v>0.3</v>
      </c>
      <c r="AE22" s="1759">
        <f t="shared" si="7"/>
        <v>0.3</v>
      </c>
      <c r="AF22" s="1759">
        <f t="shared" si="8"/>
        <v>0.3</v>
      </c>
      <c r="AG22" s="1759">
        <f t="shared" si="9"/>
        <v>0.3</v>
      </c>
      <c r="AH22" s="1759">
        <f t="shared" si="10"/>
        <v>0.3</v>
      </c>
      <c r="AI22" s="1759">
        <f t="shared" si="11"/>
        <v>0.3</v>
      </c>
      <c r="AJ22" s="1759">
        <f t="shared" si="12"/>
        <v>0.5</v>
      </c>
      <c r="AK22" s="1763">
        <f t="shared" si="13"/>
        <v>0.3</v>
      </c>
      <c r="AL22" s="1759">
        <f t="shared" si="14"/>
        <v>0.3</v>
      </c>
      <c r="AM22" s="1759">
        <f t="shared" si="14"/>
        <v>0.3</v>
      </c>
      <c r="AN22" s="1760">
        <f t="shared" si="15"/>
        <v>0.4</v>
      </c>
      <c r="AO22" s="1759">
        <f t="shared" si="16"/>
        <v>0.4</v>
      </c>
      <c r="AP22" s="1759">
        <f t="shared" si="17"/>
        <v>0.5</v>
      </c>
      <c r="AQ22" s="1632"/>
      <c r="AR22" s="1647" t="s">
        <v>1480</v>
      </c>
      <c r="AS22" s="1693" t="s">
        <v>284</v>
      </c>
      <c r="AT22" s="2064" t="s">
        <v>1481</v>
      </c>
      <c r="AU22" s="1623">
        <v>0.3</v>
      </c>
      <c r="AV22" s="1623">
        <v>0.3</v>
      </c>
      <c r="AW22" s="1623">
        <v>0.3</v>
      </c>
      <c r="AX22" s="1623">
        <v>0.3</v>
      </c>
      <c r="AY22" s="1623">
        <v>0.3</v>
      </c>
      <c r="AZ22" s="1623">
        <v>0.3</v>
      </c>
      <c r="BA22" s="1623">
        <v>0.5</v>
      </c>
      <c r="BB22" s="1714">
        <v>0.3</v>
      </c>
      <c r="BC22" s="1623">
        <v>0.3</v>
      </c>
      <c r="BD22" s="1623">
        <v>0.3</v>
      </c>
      <c r="BE22" s="1625">
        <v>0.4</v>
      </c>
      <c r="BF22" s="1623">
        <v>0.4</v>
      </c>
      <c r="BG22" s="1623">
        <v>0.5</v>
      </c>
      <c r="BI22" s="1647" t="s">
        <v>1480</v>
      </c>
      <c r="BJ22" s="1693" t="s">
        <v>284</v>
      </c>
      <c r="BK22" s="2064" t="s">
        <v>1481</v>
      </c>
      <c r="BL22" s="1623">
        <v>0.3</v>
      </c>
      <c r="BM22" s="1623">
        <v>0.3</v>
      </c>
      <c r="BN22" s="1623">
        <v>0.3</v>
      </c>
      <c r="BO22" s="1623">
        <v>0.3</v>
      </c>
      <c r="BP22" s="1623">
        <v>0.3</v>
      </c>
      <c r="BQ22" s="1623">
        <v>0.3</v>
      </c>
      <c r="BR22" s="1623">
        <v>0.5</v>
      </c>
      <c r="BS22" s="1714">
        <v>0.3</v>
      </c>
      <c r="BT22" s="1623">
        <v>0.3</v>
      </c>
      <c r="BU22" s="1623">
        <v>0.3</v>
      </c>
      <c r="BV22" s="1625">
        <v>0.4</v>
      </c>
      <c r="BW22" s="1623">
        <v>0.4</v>
      </c>
      <c r="BX22" s="1623">
        <v>0.5</v>
      </c>
    </row>
    <row r="23" spans="1:77" ht="13.5" hidden="1" customHeight="1">
      <c r="B23" s="1649" t="str">
        <f t="shared" si="0"/>
        <v>2.1.2</v>
      </c>
      <c r="C23" s="1650" t="str">
        <f t="shared" si="1"/>
        <v>負荷変動・追従制御性</v>
      </c>
      <c r="D23" s="1721">
        <f t="shared" si="25"/>
        <v>0</v>
      </c>
      <c r="E23" s="1691">
        <f t="shared" si="25"/>
        <v>0</v>
      </c>
      <c r="G23" s="1691">
        <f t="shared" si="2"/>
        <v>0</v>
      </c>
      <c r="H23" s="1691">
        <f t="shared" si="2"/>
        <v>0</v>
      </c>
      <c r="I23" s="1691"/>
      <c r="J23" s="1691"/>
      <c r="K23" s="1616">
        <f>IF(スコア表示!X23=0,0,1)</f>
        <v>0</v>
      </c>
      <c r="L23" s="1616">
        <f>IF(スコア表示!AB23=0,0,1)</f>
        <v>0</v>
      </c>
      <c r="N23" s="1708">
        <f t="shared" si="26"/>
        <v>5.9999999999999991E-2</v>
      </c>
      <c r="O23" s="1708">
        <f t="shared" si="26"/>
        <v>0</v>
      </c>
      <c r="P23" s="1616"/>
      <c r="Q23" s="1616"/>
      <c r="R23" s="1616">
        <f>IF(スコア入力!R23="EB",重み_対象外!D23,U23)</f>
        <v>1.0499999999999999E-2</v>
      </c>
      <c r="S23" s="1616">
        <f>IF(スコア入力!Y23="EB",重み_対象外!E23,V23)</f>
        <v>0</v>
      </c>
      <c r="T23" s="1560"/>
      <c r="U23" s="1614">
        <f t="shared" si="27"/>
        <v>1.0499999999999999E-2</v>
      </c>
      <c r="V23" s="1614">
        <f t="shared" si="27"/>
        <v>0</v>
      </c>
      <c r="W23" s="1560"/>
      <c r="X23" s="1616">
        <f t="shared" si="18"/>
        <v>0.06</v>
      </c>
      <c r="Y23" s="1616">
        <f t="shared" si="21"/>
        <v>0</v>
      </c>
      <c r="Z23" s="1571"/>
      <c r="AA23" s="1613" t="str">
        <f t="shared" si="3"/>
        <v>2.1.2</v>
      </c>
      <c r="AB23" s="1613" t="str">
        <f t="shared" si="4"/>
        <v xml:space="preserve"> Q1 2.1</v>
      </c>
      <c r="AC23" s="1613" t="str">
        <f t="shared" si="5"/>
        <v>負荷変動・追従制御性</v>
      </c>
      <c r="AD23" s="1764">
        <f t="shared" si="6"/>
        <v>0</v>
      </c>
      <c r="AE23" s="1759">
        <f t="shared" si="7"/>
        <v>0.2</v>
      </c>
      <c r="AF23" s="1759">
        <f t="shared" si="8"/>
        <v>0.2</v>
      </c>
      <c r="AG23" s="1759">
        <f t="shared" si="9"/>
        <v>0.2</v>
      </c>
      <c r="AH23" s="1759">
        <f t="shared" si="10"/>
        <v>0</v>
      </c>
      <c r="AI23" s="1759">
        <f t="shared" si="11"/>
        <v>0</v>
      </c>
      <c r="AJ23" s="1759">
        <f t="shared" si="12"/>
        <v>0</v>
      </c>
      <c r="AK23" s="1763">
        <f t="shared" si="13"/>
        <v>0.3</v>
      </c>
      <c r="AL23" s="1764">
        <f t="shared" si="14"/>
        <v>0</v>
      </c>
      <c r="AM23" s="1764">
        <f t="shared" si="14"/>
        <v>0.2</v>
      </c>
      <c r="AN23" s="1760">
        <f t="shared" si="15"/>
        <v>0</v>
      </c>
      <c r="AO23" s="1759">
        <f t="shared" si="16"/>
        <v>0</v>
      </c>
      <c r="AP23" s="1759">
        <f t="shared" si="17"/>
        <v>0</v>
      </c>
      <c r="AQ23" s="1632"/>
      <c r="AR23" s="1647" t="s">
        <v>285</v>
      </c>
      <c r="AS23" s="1693" t="s">
        <v>284</v>
      </c>
      <c r="AT23" s="2064" t="s">
        <v>286</v>
      </c>
      <c r="AU23" s="1715"/>
      <c r="AV23" s="1623">
        <v>0.2</v>
      </c>
      <c r="AW23" s="1623">
        <v>0.2</v>
      </c>
      <c r="AX23" s="1623">
        <v>0.2</v>
      </c>
      <c r="AY23" s="1623"/>
      <c r="AZ23" s="1623"/>
      <c r="BA23" s="1623"/>
      <c r="BB23" s="1714">
        <v>0.3</v>
      </c>
      <c r="BC23" s="1715"/>
      <c r="BD23" s="1623">
        <v>0.2</v>
      </c>
      <c r="BE23" s="1625"/>
      <c r="BF23" s="1623"/>
      <c r="BG23" s="1623"/>
      <c r="BI23" s="1647" t="s">
        <v>285</v>
      </c>
      <c r="BJ23" s="1693" t="s">
        <v>284</v>
      </c>
      <c r="BK23" s="2064" t="s">
        <v>286</v>
      </c>
      <c r="BL23" s="1715"/>
      <c r="BM23" s="1623">
        <v>0.2</v>
      </c>
      <c r="BN23" s="1623">
        <v>0.2</v>
      </c>
      <c r="BO23" s="1623">
        <v>0.2</v>
      </c>
      <c r="BP23" s="1623"/>
      <c r="BQ23" s="1623"/>
      <c r="BR23" s="1623"/>
      <c r="BS23" s="1714">
        <v>0.3</v>
      </c>
      <c r="BT23" s="1715"/>
      <c r="BU23" s="1623">
        <v>0.2</v>
      </c>
      <c r="BV23" s="1625"/>
      <c r="BW23" s="1623"/>
      <c r="BX23" s="1623"/>
    </row>
    <row r="24" spans="1:77" ht="13.5" customHeight="1">
      <c r="B24" s="1621" t="str">
        <f t="shared" si="0"/>
        <v>2.1.3</v>
      </c>
      <c r="C24" s="1614" t="str">
        <f t="shared" si="1"/>
        <v>外皮性能</v>
      </c>
      <c r="D24" s="1721">
        <f t="shared" si="25"/>
        <v>0.22972972972972974</v>
      </c>
      <c r="E24" s="1691">
        <f t="shared" si="25"/>
        <v>0</v>
      </c>
      <c r="G24" s="1691">
        <f t="shared" si="2"/>
        <v>0.16999999999999996</v>
      </c>
      <c r="H24" s="1691">
        <f t="shared" si="2"/>
        <v>0</v>
      </c>
      <c r="I24" s="1691"/>
      <c r="J24" s="1691"/>
      <c r="K24" s="1616">
        <f>IF(スコア表示!X24=0,0,1)</f>
        <v>1</v>
      </c>
      <c r="L24" s="1616">
        <f>IF(スコア表示!AB24=0,0,1)</f>
        <v>1</v>
      </c>
      <c r="N24" s="1708">
        <f t="shared" si="26"/>
        <v>0.16999999999999996</v>
      </c>
      <c r="O24" s="1708">
        <f t="shared" si="26"/>
        <v>0</v>
      </c>
      <c r="P24" s="1616"/>
      <c r="Q24" s="1616"/>
      <c r="R24" s="1616">
        <f>IF(スコア入力!R24="EB",重み_対象外!D24,U24)</f>
        <v>2.9749999999999995E-2</v>
      </c>
      <c r="S24" s="1616">
        <f>IF(スコア入力!Y24="EB",重み_対象外!E24,V24)</f>
        <v>0</v>
      </c>
      <c r="T24" s="1560"/>
      <c r="U24" s="1614">
        <f t="shared" si="27"/>
        <v>2.9749999999999995E-2</v>
      </c>
      <c r="V24" s="1614">
        <f t="shared" si="27"/>
        <v>0</v>
      </c>
      <c r="W24" s="1560"/>
      <c r="X24" s="1616">
        <f t="shared" si="18"/>
        <v>0.16999999999999998</v>
      </c>
      <c r="Y24" s="1616">
        <f t="shared" si="21"/>
        <v>0</v>
      </c>
      <c r="Z24" s="1571"/>
      <c r="AA24" s="1613" t="str">
        <f t="shared" si="3"/>
        <v>2.1.3</v>
      </c>
      <c r="AB24" s="1613" t="str">
        <f t="shared" si="4"/>
        <v xml:space="preserve"> Q1 2.1</v>
      </c>
      <c r="AC24" s="1613" t="str">
        <f t="shared" si="5"/>
        <v>外皮性能</v>
      </c>
      <c r="AD24" s="1759">
        <f t="shared" si="6"/>
        <v>0.2</v>
      </c>
      <c r="AE24" s="1759">
        <f t="shared" si="7"/>
        <v>0.2</v>
      </c>
      <c r="AF24" s="1759">
        <f t="shared" si="8"/>
        <v>0.1</v>
      </c>
      <c r="AG24" s="1759">
        <f t="shared" si="9"/>
        <v>0.1</v>
      </c>
      <c r="AH24" s="1759">
        <f t="shared" si="10"/>
        <v>0.2</v>
      </c>
      <c r="AI24" s="1759">
        <f t="shared" si="11"/>
        <v>0.2</v>
      </c>
      <c r="AJ24" s="1759">
        <f t="shared" si="12"/>
        <v>0.3</v>
      </c>
      <c r="AK24" s="1763">
        <f t="shared" si="13"/>
        <v>0.1</v>
      </c>
      <c r="AL24" s="1759">
        <f t="shared" si="14"/>
        <v>0.2</v>
      </c>
      <c r="AM24" s="1759">
        <f t="shared" si="14"/>
        <v>0.2</v>
      </c>
      <c r="AN24" s="1760">
        <f t="shared" si="15"/>
        <v>0.3</v>
      </c>
      <c r="AO24" s="1759">
        <f t="shared" si="16"/>
        <v>0.3</v>
      </c>
      <c r="AP24" s="1759">
        <f t="shared" si="17"/>
        <v>0.3</v>
      </c>
      <c r="AQ24" s="1632"/>
      <c r="AR24" s="1647" t="s">
        <v>287</v>
      </c>
      <c r="AS24" s="1693" t="s">
        <v>284</v>
      </c>
      <c r="AT24" s="2064" t="s">
        <v>288</v>
      </c>
      <c r="AU24" s="1623">
        <v>0.2</v>
      </c>
      <c r="AV24" s="1623">
        <v>0.2</v>
      </c>
      <c r="AW24" s="1623">
        <v>0.1</v>
      </c>
      <c r="AX24" s="1623">
        <v>0.1</v>
      </c>
      <c r="AY24" s="1623">
        <v>0.2</v>
      </c>
      <c r="AZ24" s="1623">
        <v>0.2</v>
      </c>
      <c r="BA24" s="1623">
        <v>0.3</v>
      </c>
      <c r="BB24" s="1714">
        <v>0.1</v>
      </c>
      <c r="BC24" s="1623">
        <v>0.2</v>
      </c>
      <c r="BD24" s="1623">
        <v>0.2</v>
      </c>
      <c r="BE24" s="1625">
        <v>0.3</v>
      </c>
      <c r="BF24" s="1623">
        <v>0.3</v>
      </c>
      <c r="BG24" s="1623">
        <v>0.3</v>
      </c>
      <c r="BI24" s="1647" t="s">
        <v>287</v>
      </c>
      <c r="BJ24" s="1693" t="s">
        <v>284</v>
      </c>
      <c r="BK24" s="2064" t="s">
        <v>288</v>
      </c>
      <c r="BL24" s="1623">
        <v>0.2</v>
      </c>
      <c r="BM24" s="1623">
        <v>0.2</v>
      </c>
      <c r="BN24" s="1623">
        <v>0.1</v>
      </c>
      <c r="BO24" s="1623">
        <v>0.1</v>
      </c>
      <c r="BP24" s="1623">
        <v>0.2</v>
      </c>
      <c r="BQ24" s="1623">
        <v>0.2</v>
      </c>
      <c r="BR24" s="1623">
        <v>0.3</v>
      </c>
      <c r="BS24" s="1714">
        <v>0.1</v>
      </c>
      <c r="BT24" s="1623">
        <v>0.2</v>
      </c>
      <c r="BU24" s="1623">
        <v>0.2</v>
      </c>
      <c r="BV24" s="1625">
        <v>0.3</v>
      </c>
      <c r="BW24" s="1623">
        <v>0.3</v>
      </c>
      <c r="BX24" s="1623">
        <v>0.3</v>
      </c>
    </row>
    <row r="25" spans="1:77" ht="13.5" customHeight="1">
      <c r="B25" s="1621" t="str">
        <f t="shared" si="0"/>
        <v>2.1.4</v>
      </c>
      <c r="C25" s="1614" t="str">
        <f t="shared" si="1"/>
        <v>ゾーン別制御性</v>
      </c>
      <c r="D25" s="1721">
        <f t="shared" si="25"/>
        <v>0.36486486486486491</v>
      </c>
      <c r="E25" s="1691">
        <f t="shared" si="25"/>
        <v>0</v>
      </c>
      <c r="G25" s="1691">
        <f t="shared" si="2"/>
        <v>0.26999999999999996</v>
      </c>
      <c r="H25" s="1691">
        <f t="shared" si="2"/>
        <v>0</v>
      </c>
      <c r="I25" s="1691"/>
      <c r="J25" s="1691"/>
      <c r="K25" s="1616">
        <f>IF(スコア表示!X25=0,0,1)</f>
        <v>1</v>
      </c>
      <c r="L25" s="1616">
        <f>IF(スコア表示!AB25=0,0,1)</f>
        <v>0</v>
      </c>
      <c r="N25" s="1708">
        <f t="shared" si="26"/>
        <v>0.26999999999999996</v>
      </c>
      <c r="O25" s="1708">
        <f t="shared" si="26"/>
        <v>0</v>
      </c>
      <c r="P25" s="1616"/>
      <c r="Q25" s="1616"/>
      <c r="R25" s="1616">
        <f>IF(スコア入力!R25="EB",重み_対象外!D25,U25)</f>
        <v>4.725E-2</v>
      </c>
      <c r="S25" s="1616">
        <f>IF(スコア入力!Y25="EB",重み_対象外!E25,V25)</f>
        <v>0</v>
      </c>
      <c r="T25" s="1560"/>
      <c r="U25" s="1614">
        <f t="shared" si="27"/>
        <v>4.725E-2</v>
      </c>
      <c r="V25" s="1614">
        <f t="shared" si="27"/>
        <v>0</v>
      </c>
      <c r="W25" s="1560"/>
      <c r="X25" s="1616">
        <f t="shared" si="18"/>
        <v>0.27</v>
      </c>
      <c r="Y25" s="1616">
        <f t="shared" si="21"/>
        <v>0</v>
      </c>
      <c r="Z25" s="1571"/>
      <c r="AA25" s="1613" t="str">
        <f t="shared" si="3"/>
        <v>2.1.4</v>
      </c>
      <c r="AB25" s="1613" t="str">
        <f t="shared" si="4"/>
        <v xml:space="preserve"> Q1 2.1</v>
      </c>
      <c r="AC25" s="1613" t="str">
        <f t="shared" si="5"/>
        <v>ゾーン別制御性</v>
      </c>
      <c r="AD25" s="1759">
        <f t="shared" si="6"/>
        <v>0.3</v>
      </c>
      <c r="AE25" s="1759">
        <f t="shared" si="7"/>
        <v>0</v>
      </c>
      <c r="AF25" s="1759">
        <f t="shared" si="8"/>
        <v>0.2</v>
      </c>
      <c r="AG25" s="1759">
        <f t="shared" si="9"/>
        <v>0.2</v>
      </c>
      <c r="AH25" s="1759">
        <f t="shared" si="10"/>
        <v>0.3</v>
      </c>
      <c r="AI25" s="1759">
        <f t="shared" si="11"/>
        <v>0.3</v>
      </c>
      <c r="AJ25" s="1759">
        <f t="shared" si="12"/>
        <v>0</v>
      </c>
      <c r="AK25" s="1763">
        <f t="shared" si="13"/>
        <v>0.2</v>
      </c>
      <c r="AL25" s="1759">
        <f t="shared" si="14"/>
        <v>0.3</v>
      </c>
      <c r="AM25" s="1759">
        <f t="shared" si="14"/>
        <v>0</v>
      </c>
      <c r="AN25" s="1760">
        <f t="shared" si="15"/>
        <v>0</v>
      </c>
      <c r="AO25" s="1759">
        <f t="shared" si="16"/>
        <v>0</v>
      </c>
      <c r="AP25" s="1759">
        <f t="shared" si="17"/>
        <v>0</v>
      </c>
      <c r="AQ25" s="1632"/>
      <c r="AR25" s="1647" t="s">
        <v>289</v>
      </c>
      <c r="AS25" s="1693" t="s">
        <v>284</v>
      </c>
      <c r="AT25" s="2064" t="s">
        <v>290</v>
      </c>
      <c r="AU25" s="1623">
        <v>0.3</v>
      </c>
      <c r="AV25" s="1623"/>
      <c r="AW25" s="1623">
        <v>0.2</v>
      </c>
      <c r="AX25" s="1623">
        <v>0.2</v>
      </c>
      <c r="AY25" s="1623">
        <v>0.3</v>
      </c>
      <c r="AZ25" s="1623">
        <v>0.3</v>
      </c>
      <c r="BA25" s="1623"/>
      <c r="BB25" s="1714">
        <v>0.2</v>
      </c>
      <c r="BC25" s="1623">
        <v>0.3</v>
      </c>
      <c r="BD25" s="1623"/>
      <c r="BE25" s="1625"/>
      <c r="BF25" s="1623"/>
      <c r="BG25" s="1623"/>
      <c r="BI25" s="1647" t="s">
        <v>289</v>
      </c>
      <c r="BJ25" s="1693" t="s">
        <v>284</v>
      </c>
      <c r="BK25" s="2064" t="s">
        <v>290</v>
      </c>
      <c r="BL25" s="1623">
        <v>0.3</v>
      </c>
      <c r="BM25" s="1623"/>
      <c r="BN25" s="1623">
        <v>0.2</v>
      </c>
      <c r="BO25" s="1623">
        <v>0.2</v>
      </c>
      <c r="BP25" s="1623">
        <v>0.3</v>
      </c>
      <c r="BQ25" s="1623">
        <v>0.3</v>
      </c>
      <c r="BR25" s="1623"/>
      <c r="BS25" s="1714">
        <v>0.2</v>
      </c>
      <c r="BT25" s="1623">
        <v>0.3</v>
      </c>
      <c r="BU25" s="1623"/>
      <c r="BV25" s="1625"/>
      <c r="BW25" s="1623"/>
      <c r="BX25" s="1623"/>
    </row>
    <row r="26" spans="1:77" ht="13.5" hidden="1" customHeight="1">
      <c r="B26" s="1649" t="str">
        <f t="shared" si="0"/>
        <v>2.1.5</v>
      </c>
      <c r="C26" s="1650" t="str">
        <f t="shared" si="1"/>
        <v>温度・湿度制御</v>
      </c>
      <c r="D26" s="1721">
        <f t="shared" si="25"/>
        <v>0</v>
      </c>
      <c r="E26" s="1691">
        <f t="shared" si="25"/>
        <v>0</v>
      </c>
      <c r="G26" s="1691">
        <f t="shared" si="2"/>
        <v>0</v>
      </c>
      <c r="H26" s="1691">
        <f t="shared" si="2"/>
        <v>0</v>
      </c>
      <c r="I26" s="1691"/>
      <c r="J26" s="1691"/>
      <c r="K26" s="1616">
        <f>IF(スコア表示!X26=0,0,1)</f>
        <v>0</v>
      </c>
      <c r="L26" s="1616">
        <f>IF(スコア表示!AB26=0,0,1)</f>
        <v>0</v>
      </c>
      <c r="N26" s="1708">
        <f t="shared" si="26"/>
        <v>9.9999999999999978E-2</v>
      </c>
      <c r="O26" s="1708">
        <f t="shared" si="26"/>
        <v>0</v>
      </c>
      <c r="P26" s="1616"/>
      <c r="Q26" s="1616"/>
      <c r="R26" s="1616">
        <f>IF(スコア入力!R26="EB",重み_対象外!D26,U26)</f>
        <v>1.7499999999999998E-2</v>
      </c>
      <c r="S26" s="1616">
        <f>IF(スコア入力!Y26="EB",重み_対象外!E26,V26)</f>
        <v>0</v>
      </c>
      <c r="T26" s="1560"/>
      <c r="U26" s="1614">
        <f t="shared" si="27"/>
        <v>1.7499999999999998E-2</v>
      </c>
      <c r="V26" s="1614">
        <f t="shared" si="27"/>
        <v>0</v>
      </c>
      <c r="W26" s="1560"/>
      <c r="X26" s="1616">
        <f t="shared" si="18"/>
        <v>9.9999999999999992E-2</v>
      </c>
      <c r="Y26" s="1616">
        <f t="shared" si="21"/>
        <v>0</v>
      </c>
      <c r="Z26" s="1571"/>
      <c r="AA26" s="1613" t="str">
        <f t="shared" si="3"/>
        <v>2.1.5</v>
      </c>
      <c r="AB26" s="1613" t="str">
        <f t="shared" si="4"/>
        <v xml:space="preserve"> Q1 2.1</v>
      </c>
      <c r="AC26" s="1613" t="str">
        <f t="shared" si="5"/>
        <v>温度・湿度制御</v>
      </c>
      <c r="AD26" s="1759">
        <f t="shared" si="6"/>
        <v>0.1</v>
      </c>
      <c r="AE26" s="1759">
        <f t="shared" si="7"/>
        <v>0.1</v>
      </c>
      <c r="AF26" s="1759">
        <f t="shared" si="8"/>
        <v>0.1</v>
      </c>
      <c r="AG26" s="1759">
        <f t="shared" si="9"/>
        <v>0.1</v>
      </c>
      <c r="AH26" s="1759">
        <f t="shared" si="10"/>
        <v>0.1</v>
      </c>
      <c r="AI26" s="1759">
        <f t="shared" si="11"/>
        <v>0.1</v>
      </c>
      <c r="AJ26" s="1759">
        <f t="shared" si="12"/>
        <v>0.2</v>
      </c>
      <c r="AK26" s="1763">
        <f t="shared" si="13"/>
        <v>0.1</v>
      </c>
      <c r="AL26" s="1759">
        <f t="shared" si="14"/>
        <v>0.1</v>
      </c>
      <c r="AM26" s="1759">
        <f t="shared" si="14"/>
        <v>0.1</v>
      </c>
      <c r="AN26" s="1760">
        <f t="shared" si="15"/>
        <v>0.2</v>
      </c>
      <c r="AO26" s="1759">
        <f t="shared" si="16"/>
        <v>0.2</v>
      </c>
      <c r="AP26" s="1759">
        <f t="shared" si="17"/>
        <v>0</v>
      </c>
      <c r="AQ26" s="1632"/>
      <c r="AR26" s="1647" t="s">
        <v>291</v>
      </c>
      <c r="AS26" s="1693" t="s">
        <v>284</v>
      </c>
      <c r="AT26" s="2064" t="s">
        <v>292</v>
      </c>
      <c r="AU26" s="1623">
        <v>0.1</v>
      </c>
      <c r="AV26" s="1623">
        <v>0.1</v>
      </c>
      <c r="AW26" s="1623">
        <v>0.1</v>
      </c>
      <c r="AX26" s="1623">
        <v>0.1</v>
      </c>
      <c r="AY26" s="1623">
        <v>0.1</v>
      </c>
      <c r="AZ26" s="1623">
        <v>0.1</v>
      </c>
      <c r="BA26" s="1623">
        <v>0.2</v>
      </c>
      <c r="BB26" s="1714">
        <v>0.1</v>
      </c>
      <c r="BC26" s="1623">
        <v>0.1</v>
      </c>
      <c r="BD26" s="1623">
        <v>0.1</v>
      </c>
      <c r="BE26" s="1625">
        <v>0.2</v>
      </c>
      <c r="BF26" s="1623">
        <v>0.2</v>
      </c>
      <c r="BG26" s="1623"/>
      <c r="BI26" s="1647" t="s">
        <v>291</v>
      </c>
      <c r="BJ26" s="1693" t="s">
        <v>284</v>
      </c>
      <c r="BK26" s="2064" t="s">
        <v>292</v>
      </c>
      <c r="BL26" s="1623">
        <v>0.1</v>
      </c>
      <c r="BM26" s="1623">
        <v>0.1</v>
      </c>
      <c r="BN26" s="1623">
        <v>0.1</v>
      </c>
      <c r="BO26" s="1623">
        <v>0.1</v>
      </c>
      <c r="BP26" s="1623">
        <v>0.1</v>
      </c>
      <c r="BQ26" s="1623">
        <v>0.1</v>
      </c>
      <c r="BR26" s="1623">
        <v>0.2</v>
      </c>
      <c r="BS26" s="1714">
        <v>0.1</v>
      </c>
      <c r="BT26" s="1623">
        <v>0.1</v>
      </c>
      <c r="BU26" s="1623">
        <v>0.1</v>
      </c>
      <c r="BV26" s="1625">
        <v>0.2</v>
      </c>
      <c r="BW26" s="1623">
        <v>0.2</v>
      </c>
      <c r="BX26" s="1623"/>
    </row>
    <row r="27" spans="1:77" ht="13.5" hidden="1" customHeight="1">
      <c r="B27" s="1649" t="str">
        <f t="shared" si="0"/>
        <v>2.1.6</v>
      </c>
      <c r="C27" s="1650" t="str">
        <f t="shared" si="1"/>
        <v>個別制御</v>
      </c>
      <c r="D27" s="1721">
        <f t="shared" si="25"/>
        <v>0</v>
      </c>
      <c r="E27" s="1691">
        <f t="shared" si="25"/>
        <v>0</v>
      </c>
      <c r="G27" s="1691">
        <f t="shared" si="2"/>
        <v>0</v>
      </c>
      <c r="H27" s="1691">
        <f t="shared" si="2"/>
        <v>0</v>
      </c>
      <c r="I27" s="1691"/>
      <c r="J27" s="1691"/>
      <c r="K27" s="1616">
        <f>IF(スコア表示!X27=0,0,1)</f>
        <v>0</v>
      </c>
      <c r="L27" s="1616">
        <f>IF(スコア表示!AB27=0,0,1)</f>
        <v>0</v>
      </c>
      <c r="N27" s="1708">
        <f t="shared" si="26"/>
        <v>0</v>
      </c>
      <c r="O27" s="1708">
        <f t="shared" si="26"/>
        <v>0</v>
      </c>
      <c r="P27" s="1616"/>
      <c r="Q27" s="1616"/>
      <c r="R27" s="1616">
        <f>IF(スコア入力!R27="EB",重み_対象外!D27,U27)</f>
        <v>0</v>
      </c>
      <c r="S27" s="1616">
        <f>IF(スコア入力!Y27="EB",重み_対象外!E27,V27)</f>
        <v>0</v>
      </c>
      <c r="T27" s="1560"/>
      <c r="U27" s="1614">
        <f t="shared" si="27"/>
        <v>0</v>
      </c>
      <c r="V27" s="1614">
        <f t="shared" si="27"/>
        <v>0</v>
      </c>
      <c r="W27" s="1560"/>
      <c r="X27" s="1616">
        <f t="shared" si="18"/>
        <v>0</v>
      </c>
      <c r="Y27" s="1616">
        <f t="shared" si="21"/>
        <v>0</v>
      </c>
      <c r="Z27" s="1571"/>
      <c r="AA27" s="1613" t="str">
        <f t="shared" si="3"/>
        <v>2.1.6</v>
      </c>
      <c r="AB27" s="1613" t="str">
        <f t="shared" si="4"/>
        <v xml:space="preserve"> Q1 2.1</v>
      </c>
      <c r="AC27" s="1613" t="str">
        <f t="shared" si="5"/>
        <v>個別制御</v>
      </c>
      <c r="AD27" s="1759">
        <f t="shared" si="6"/>
        <v>0</v>
      </c>
      <c r="AE27" s="1759">
        <f t="shared" si="7"/>
        <v>0</v>
      </c>
      <c r="AF27" s="1759">
        <f t="shared" si="8"/>
        <v>0</v>
      </c>
      <c r="AG27" s="1759">
        <f t="shared" si="9"/>
        <v>0</v>
      </c>
      <c r="AH27" s="1759">
        <f t="shared" si="10"/>
        <v>0</v>
      </c>
      <c r="AI27" s="1759">
        <f t="shared" si="11"/>
        <v>0</v>
      </c>
      <c r="AJ27" s="1759">
        <f t="shared" si="12"/>
        <v>0</v>
      </c>
      <c r="AK27" s="1763">
        <f t="shared" si="13"/>
        <v>0</v>
      </c>
      <c r="AL27" s="1759">
        <f t="shared" si="14"/>
        <v>0</v>
      </c>
      <c r="AM27" s="1759">
        <f t="shared" si="14"/>
        <v>0</v>
      </c>
      <c r="AN27" s="1760">
        <f t="shared" si="15"/>
        <v>0.1</v>
      </c>
      <c r="AO27" s="1759">
        <f t="shared" si="16"/>
        <v>0.1</v>
      </c>
      <c r="AP27" s="1759">
        <f t="shared" si="17"/>
        <v>0.2</v>
      </c>
      <c r="AQ27" s="1632"/>
      <c r="AR27" s="1647" t="s">
        <v>293</v>
      </c>
      <c r="AS27" s="1693" t="s">
        <v>284</v>
      </c>
      <c r="AT27" s="2064" t="s">
        <v>294</v>
      </c>
      <c r="AU27" s="1623"/>
      <c r="AV27" s="1623"/>
      <c r="AW27" s="1623"/>
      <c r="AX27" s="1623"/>
      <c r="AY27" s="1623"/>
      <c r="AZ27" s="1623"/>
      <c r="BA27" s="1623"/>
      <c r="BB27" s="1714"/>
      <c r="BC27" s="1623"/>
      <c r="BD27" s="1623"/>
      <c r="BE27" s="1625">
        <v>0.1</v>
      </c>
      <c r="BF27" s="1623">
        <v>0.1</v>
      </c>
      <c r="BG27" s="1623">
        <v>0.2</v>
      </c>
      <c r="BI27" s="1647" t="s">
        <v>293</v>
      </c>
      <c r="BJ27" s="1693" t="s">
        <v>284</v>
      </c>
      <c r="BK27" s="2064" t="s">
        <v>294</v>
      </c>
      <c r="BL27" s="1623"/>
      <c r="BM27" s="1623"/>
      <c r="BN27" s="1623"/>
      <c r="BO27" s="1623"/>
      <c r="BP27" s="1623"/>
      <c r="BQ27" s="1623"/>
      <c r="BR27" s="1623"/>
      <c r="BS27" s="1714"/>
      <c r="BT27" s="1623"/>
      <c r="BU27" s="1623"/>
      <c r="BV27" s="1625">
        <v>0.1</v>
      </c>
      <c r="BW27" s="1623">
        <v>0.1</v>
      </c>
      <c r="BX27" s="1623">
        <v>0.2</v>
      </c>
    </row>
    <row r="28" spans="1:77" ht="13.5" hidden="1" customHeight="1">
      <c r="B28" s="1649" t="str">
        <f t="shared" si="0"/>
        <v>2.1.7</v>
      </c>
      <c r="C28" s="1650" t="str">
        <f t="shared" si="1"/>
        <v>時間外空調に対する配慮</v>
      </c>
      <c r="D28" s="1721">
        <f t="shared" si="25"/>
        <v>0</v>
      </c>
      <c r="E28" s="1691">
        <f t="shared" si="25"/>
        <v>0</v>
      </c>
      <c r="G28" s="1691">
        <f t="shared" si="2"/>
        <v>0</v>
      </c>
      <c r="H28" s="1691">
        <f t="shared" si="2"/>
        <v>0</v>
      </c>
      <c r="I28" s="1691"/>
      <c r="J28" s="1691"/>
      <c r="K28" s="1616">
        <f>IF(スコア表示!X28=0,0,1)</f>
        <v>0</v>
      </c>
      <c r="L28" s="1616">
        <f>IF(スコア表示!AB28=0,0,1)</f>
        <v>0</v>
      </c>
      <c r="N28" s="1708">
        <f t="shared" si="26"/>
        <v>6.9999999999999993E-2</v>
      </c>
      <c r="O28" s="1708">
        <f t="shared" si="26"/>
        <v>0</v>
      </c>
      <c r="P28" s="1616"/>
      <c r="Q28" s="1616"/>
      <c r="R28" s="1616">
        <f>IF(スコア入力!R28="EB",重み_対象外!D28,U28)</f>
        <v>1.2249999999999999E-2</v>
      </c>
      <c r="S28" s="1616">
        <f>IF(スコア入力!Y28="EB",重み_対象外!E28,V28)</f>
        <v>0</v>
      </c>
      <c r="T28" s="1560"/>
      <c r="U28" s="1614">
        <f t="shared" si="27"/>
        <v>1.2249999999999999E-2</v>
      </c>
      <c r="V28" s="1614">
        <f t="shared" si="27"/>
        <v>0</v>
      </c>
      <c r="W28" s="1560"/>
      <c r="X28" s="1616">
        <f t="shared" si="18"/>
        <v>6.9999999999999993E-2</v>
      </c>
      <c r="Y28" s="1616">
        <f t="shared" si="21"/>
        <v>0</v>
      </c>
      <c r="Z28" s="1571"/>
      <c r="AA28" s="1613" t="str">
        <f t="shared" si="3"/>
        <v>2.1.7</v>
      </c>
      <c r="AB28" s="1613" t="str">
        <f t="shared" si="4"/>
        <v xml:space="preserve"> Q1 2.1</v>
      </c>
      <c r="AC28" s="1613" t="str">
        <f t="shared" si="5"/>
        <v>時間外空調に対する配慮</v>
      </c>
      <c r="AD28" s="1759">
        <f t="shared" si="6"/>
        <v>0.1</v>
      </c>
      <c r="AE28" s="1759">
        <f t="shared" si="7"/>
        <v>0.2</v>
      </c>
      <c r="AF28" s="1759">
        <f t="shared" si="8"/>
        <v>0</v>
      </c>
      <c r="AG28" s="1759">
        <f t="shared" si="9"/>
        <v>0</v>
      </c>
      <c r="AH28" s="1759">
        <f t="shared" si="10"/>
        <v>0.1</v>
      </c>
      <c r="AI28" s="1759">
        <f t="shared" si="11"/>
        <v>0.1</v>
      </c>
      <c r="AJ28" s="1759">
        <f t="shared" si="12"/>
        <v>0</v>
      </c>
      <c r="AK28" s="1763">
        <f t="shared" si="13"/>
        <v>0</v>
      </c>
      <c r="AL28" s="1759">
        <f t="shared" si="14"/>
        <v>0.1</v>
      </c>
      <c r="AM28" s="1759">
        <f t="shared" si="14"/>
        <v>0.2</v>
      </c>
      <c r="AN28" s="1760">
        <f t="shared" si="15"/>
        <v>0</v>
      </c>
      <c r="AO28" s="1759">
        <f t="shared" si="16"/>
        <v>0</v>
      </c>
      <c r="AP28" s="1759">
        <f t="shared" si="17"/>
        <v>0</v>
      </c>
      <c r="AQ28" s="1632"/>
      <c r="AR28" s="1647" t="s">
        <v>295</v>
      </c>
      <c r="AS28" s="1693" t="s">
        <v>284</v>
      </c>
      <c r="AT28" s="2064" t="s">
        <v>943</v>
      </c>
      <c r="AU28" s="1623">
        <v>0.1</v>
      </c>
      <c r="AV28" s="1623">
        <v>0.2</v>
      </c>
      <c r="AW28" s="1623"/>
      <c r="AX28" s="1623"/>
      <c r="AY28" s="1623">
        <v>0.1</v>
      </c>
      <c r="AZ28" s="1623">
        <v>0.1</v>
      </c>
      <c r="BA28" s="1623"/>
      <c r="BB28" s="1714"/>
      <c r="BC28" s="1623">
        <v>0.1</v>
      </c>
      <c r="BD28" s="1623">
        <v>0.2</v>
      </c>
      <c r="BE28" s="1625"/>
      <c r="BF28" s="1623"/>
      <c r="BG28" s="1623"/>
      <c r="BI28" s="1647" t="s">
        <v>295</v>
      </c>
      <c r="BJ28" s="1693" t="s">
        <v>284</v>
      </c>
      <c r="BK28" s="2064" t="s">
        <v>943</v>
      </c>
      <c r="BL28" s="1623">
        <v>0.1</v>
      </c>
      <c r="BM28" s="1623">
        <v>0.2</v>
      </c>
      <c r="BN28" s="1623"/>
      <c r="BO28" s="1623"/>
      <c r="BP28" s="1623">
        <v>0.1</v>
      </c>
      <c r="BQ28" s="1623">
        <v>0.1</v>
      </c>
      <c r="BR28" s="1623"/>
      <c r="BS28" s="1714"/>
      <c r="BT28" s="1623">
        <v>0.1</v>
      </c>
      <c r="BU28" s="1623">
        <v>0.2</v>
      </c>
      <c r="BV28" s="1625"/>
      <c r="BW28" s="1623"/>
      <c r="BX28" s="1623"/>
    </row>
    <row r="29" spans="1:77" ht="13.5" hidden="1" customHeight="1">
      <c r="B29" s="1649" t="str">
        <f t="shared" si="0"/>
        <v>2.1.8</v>
      </c>
      <c r="C29" s="1650" t="str">
        <f t="shared" si="1"/>
        <v>監視システム</v>
      </c>
      <c r="D29" s="1721">
        <f t="shared" si="25"/>
        <v>0</v>
      </c>
      <c r="E29" s="1691">
        <f t="shared" si="25"/>
        <v>0</v>
      </c>
      <c r="G29" s="1691">
        <f t="shared" si="2"/>
        <v>0</v>
      </c>
      <c r="H29" s="1691">
        <f t="shared" si="2"/>
        <v>0</v>
      </c>
      <c r="I29" s="1691"/>
      <c r="J29" s="1691"/>
      <c r="K29" s="1616">
        <f>IF(スコア表示!X29=0,0,1)</f>
        <v>0</v>
      </c>
      <c r="L29" s="1616">
        <f>IF(スコア表示!AB29=0,0,1)</f>
        <v>0</v>
      </c>
      <c r="N29" s="1708">
        <f t="shared" si="26"/>
        <v>2.9999999999999995E-2</v>
      </c>
      <c r="O29" s="1708">
        <f t="shared" si="26"/>
        <v>0</v>
      </c>
      <c r="P29" s="1616"/>
      <c r="Q29" s="1616"/>
      <c r="R29" s="1616">
        <f>IF(スコア入力!R29="EB",重み_対象外!D29,U29)</f>
        <v>5.2499999999999995E-3</v>
      </c>
      <c r="S29" s="1616">
        <f>IF(スコア入力!Y29="EB",重み_対象外!E29,V29)</f>
        <v>0</v>
      </c>
      <c r="T29" s="1560"/>
      <c r="U29" s="1614">
        <f t="shared" si="27"/>
        <v>5.2499999999999995E-3</v>
      </c>
      <c r="V29" s="1614">
        <f t="shared" si="27"/>
        <v>0</v>
      </c>
      <c r="W29" s="1560"/>
      <c r="X29" s="1616">
        <f t="shared" si="18"/>
        <v>0.03</v>
      </c>
      <c r="Y29" s="1616">
        <f t="shared" si="21"/>
        <v>0</v>
      </c>
      <c r="Z29" s="1571"/>
      <c r="AA29" s="1613" t="str">
        <f t="shared" si="3"/>
        <v>2.1.8</v>
      </c>
      <c r="AB29" s="1613" t="str">
        <f t="shared" si="4"/>
        <v xml:space="preserve"> Q1 2.1</v>
      </c>
      <c r="AC29" s="1613" t="str">
        <f t="shared" si="5"/>
        <v>監視システム</v>
      </c>
      <c r="AD29" s="1759">
        <f t="shared" si="6"/>
        <v>0</v>
      </c>
      <c r="AE29" s="1759">
        <f t="shared" si="7"/>
        <v>0</v>
      </c>
      <c r="AF29" s="1759">
        <f t="shared" si="8"/>
        <v>0.1</v>
      </c>
      <c r="AG29" s="1759">
        <f t="shared" si="9"/>
        <v>0.1</v>
      </c>
      <c r="AH29" s="1759">
        <f t="shared" si="10"/>
        <v>0</v>
      </c>
      <c r="AI29" s="1759">
        <f t="shared" si="11"/>
        <v>0</v>
      </c>
      <c r="AJ29" s="1759">
        <f t="shared" si="12"/>
        <v>0</v>
      </c>
      <c r="AK29" s="1763">
        <f t="shared" si="13"/>
        <v>0</v>
      </c>
      <c r="AL29" s="1759">
        <f t="shared" si="14"/>
        <v>0</v>
      </c>
      <c r="AM29" s="1759">
        <f t="shared" si="14"/>
        <v>0</v>
      </c>
      <c r="AN29" s="1760">
        <f t="shared" si="15"/>
        <v>0</v>
      </c>
      <c r="AO29" s="1759">
        <f t="shared" si="16"/>
        <v>0</v>
      </c>
      <c r="AP29" s="1759">
        <f t="shared" si="17"/>
        <v>0</v>
      </c>
      <c r="AQ29" s="1632"/>
      <c r="AR29" s="1647" t="s">
        <v>296</v>
      </c>
      <c r="AS29" s="1693" t="s">
        <v>284</v>
      </c>
      <c r="AT29" s="2064" t="s">
        <v>297</v>
      </c>
      <c r="AU29" s="1623"/>
      <c r="AV29" s="1623"/>
      <c r="AW29" s="1623">
        <v>0.1</v>
      </c>
      <c r="AX29" s="1623">
        <v>0.1</v>
      </c>
      <c r="AY29" s="1623"/>
      <c r="AZ29" s="1623"/>
      <c r="BA29" s="1623"/>
      <c r="BB29" s="1714"/>
      <c r="BC29" s="1623"/>
      <c r="BD29" s="1623"/>
      <c r="BE29" s="1625"/>
      <c r="BF29" s="1623"/>
      <c r="BG29" s="1623"/>
      <c r="BI29" s="1647" t="s">
        <v>296</v>
      </c>
      <c r="BJ29" s="1693" t="s">
        <v>284</v>
      </c>
      <c r="BK29" s="2064" t="s">
        <v>297</v>
      </c>
      <c r="BL29" s="1623"/>
      <c r="BM29" s="1623"/>
      <c r="BN29" s="1623">
        <v>0.1</v>
      </c>
      <c r="BO29" s="1623">
        <v>0.1</v>
      </c>
      <c r="BP29" s="1623"/>
      <c r="BQ29" s="1623"/>
      <c r="BR29" s="1623"/>
      <c r="BS29" s="1714"/>
      <c r="BT29" s="1623"/>
      <c r="BU29" s="1623"/>
      <c r="BV29" s="1625"/>
      <c r="BW29" s="1623"/>
      <c r="BX29" s="1623"/>
    </row>
    <row r="30" spans="1:77" ht="13.5" customHeight="1">
      <c r="B30" s="1621">
        <f t="shared" si="0"/>
        <v>2.2000000000000002</v>
      </c>
      <c r="C30" s="1630" t="str">
        <f t="shared" si="1"/>
        <v>湿度制御</v>
      </c>
      <c r="D30" s="1716">
        <f>IF(I$20=0,0,G30/I$20)</f>
        <v>0.19999999999999998</v>
      </c>
      <c r="E30" s="1691">
        <f>IF(J$20=0,0,H30/J$20)</f>
        <v>0</v>
      </c>
      <c r="G30" s="1691">
        <f t="shared" si="2"/>
        <v>0.19999999999999998</v>
      </c>
      <c r="H30" s="1691">
        <f t="shared" si="2"/>
        <v>0</v>
      </c>
      <c r="I30" s="1691"/>
      <c r="J30" s="1691"/>
      <c r="K30" s="1616">
        <f>IF(スコア表示!X30=0,0,1)</f>
        <v>1</v>
      </c>
      <c r="L30" s="1616">
        <f>IF(スコア表示!AB30=0,0,1)</f>
        <v>0</v>
      </c>
      <c r="N30" s="1708">
        <f>IF(P$20=0,0,R30/P$20)</f>
        <v>0.19999999999999998</v>
      </c>
      <c r="O30" s="1708">
        <f>IF(Q$20=0,0,S30/Q$20)</f>
        <v>0</v>
      </c>
      <c r="P30" s="1616"/>
      <c r="Q30" s="1616"/>
      <c r="R30" s="1616">
        <f>IF(スコア入力!R30="EB",重み_対象外!D30,U30)</f>
        <v>6.9999999999999993E-2</v>
      </c>
      <c r="S30" s="1616">
        <f>IF(スコア入力!Y30="EB",重み_対象外!E30,V30)</f>
        <v>0</v>
      </c>
      <c r="T30" s="1560"/>
      <c r="U30" s="1305">
        <f>X20*X30</f>
        <v>6.9999999999999993E-2</v>
      </c>
      <c r="V30" s="1305">
        <f>Y20*Y30</f>
        <v>0</v>
      </c>
      <c r="W30" s="1560"/>
      <c r="X30" s="1616">
        <f t="shared" si="18"/>
        <v>0.19999999999999998</v>
      </c>
      <c r="Y30" s="1616">
        <f t="shared" si="21"/>
        <v>0</v>
      </c>
      <c r="Z30" s="1571"/>
      <c r="AA30" s="1613">
        <f t="shared" si="3"/>
        <v>2.2000000000000002</v>
      </c>
      <c r="AB30" s="1613" t="str">
        <f t="shared" si="4"/>
        <v xml:space="preserve"> Q1 2</v>
      </c>
      <c r="AC30" s="1613" t="str">
        <f t="shared" si="5"/>
        <v>湿度制御</v>
      </c>
      <c r="AD30" s="1759">
        <f t="shared" si="6"/>
        <v>0.2</v>
      </c>
      <c r="AE30" s="1759">
        <f t="shared" si="7"/>
        <v>0.2</v>
      </c>
      <c r="AF30" s="1759">
        <f t="shared" si="8"/>
        <v>0.2</v>
      </c>
      <c r="AG30" s="1759">
        <f t="shared" si="9"/>
        <v>0.2</v>
      </c>
      <c r="AH30" s="1759">
        <f t="shared" si="10"/>
        <v>0.2</v>
      </c>
      <c r="AI30" s="1759">
        <f t="shared" si="11"/>
        <v>0.2</v>
      </c>
      <c r="AJ30" s="1759">
        <f t="shared" si="12"/>
        <v>0.2</v>
      </c>
      <c r="AK30" s="1763">
        <f t="shared" si="13"/>
        <v>0.2</v>
      </c>
      <c r="AL30" s="1759">
        <f t="shared" si="14"/>
        <v>0.2</v>
      </c>
      <c r="AM30" s="1759">
        <f t="shared" si="14"/>
        <v>0.2</v>
      </c>
      <c r="AN30" s="1760">
        <f t="shared" si="15"/>
        <v>0.2</v>
      </c>
      <c r="AO30" s="1759">
        <f t="shared" si="16"/>
        <v>0.2</v>
      </c>
      <c r="AP30" s="1759">
        <f t="shared" si="17"/>
        <v>0.2</v>
      </c>
      <c r="AQ30" s="1620"/>
      <c r="AR30" s="1647">
        <v>2.2000000000000002</v>
      </c>
      <c r="AS30" s="1693" t="s">
        <v>283</v>
      </c>
      <c r="AT30" s="1737" t="s">
        <v>977</v>
      </c>
      <c r="AU30" s="1623">
        <v>0.2</v>
      </c>
      <c r="AV30" s="1623">
        <v>0.2</v>
      </c>
      <c r="AW30" s="1623">
        <v>0.2</v>
      </c>
      <c r="AX30" s="1623">
        <v>0.2</v>
      </c>
      <c r="AY30" s="1623">
        <v>0.2</v>
      </c>
      <c r="AZ30" s="1623">
        <v>0.2</v>
      </c>
      <c r="BA30" s="1623">
        <v>0.2</v>
      </c>
      <c r="BB30" s="1714">
        <v>0.2</v>
      </c>
      <c r="BC30" s="1623">
        <v>0.2</v>
      </c>
      <c r="BD30" s="1623">
        <v>0.2</v>
      </c>
      <c r="BE30" s="1625">
        <v>0.2</v>
      </c>
      <c r="BF30" s="1623">
        <v>0.2</v>
      </c>
      <c r="BG30" s="1623">
        <v>0.2</v>
      </c>
      <c r="BI30" s="1647">
        <v>2.2000000000000002</v>
      </c>
      <c r="BJ30" s="1693" t="s">
        <v>283</v>
      </c>
      <c r="BK30" s="1737" t="s">
        <v>977</v>
      </c>
      <c r="BL30" s="1623">
        <v>0.2</v>
      </c>
      <c r="BM30" s="1623">
        <v>0.2</v>
      </c>
      <c r="BN30" s="1623">
        <v>0.2</v>
      </c>
      <c r="BO30" s="1623">
        <v>0.2</v>
      </c>
      <c r="BP30" s="1623">
        <v>0.2</v>
      </c>
      <c r="BQ30" s="1623">
        <v>0.2</v>
      </c>
      <c r="BR30" s="1623">
        <v>0.2</v>
      </c>
      <c r="BS30" s="1714">
        <v>0.2</v>
      </c>
      <c r="BT30" s="1623">
        <v>0.2</v>
      </c>
      <c r="BU30" s="1623">
        <v>0.2</v>
      </c>
      <c r="BV30" s="1625">
        <v>0.2</v>
      </c>
      <c r="BW30" s="1623">
        <v>0.2</v>
      </c>
      <c r="BX30" s="1623">
        <v>0.2</v>
      </c>
    </row>
    <row r="31" spans="1:77" ht="13.5" customHeight="1">
      <c r="B31" s="1621">
        <f t="shared" si="0"/>
        <v>2.2999999999999998</v>
      </c>
      <c r="C31" s="1630" t="str">
        <f t="shared" si="1"/>
        <v>空調方式</v>
      </c>
      <c r="D31" s="1716">
        <f>IF(I$20=0,0,G31/I$20)</f>
        <v>0.3</v>
      </c>
      <c r="E31" s="1691">
        <f>IF(J$20=0,0,H31/J$20)</f>
        <v>0</v>
      </c>
      <c r="G31" s="1691">
        <f t="shared" si="2"/>
        <v>0.3</v>
      </c>
      <c r="H31" s="1691">
        <f t="shared" si="2"/>
        <v>0</v>
      </c>
      <c r="I31" s="1691">
        <f>SUM(G32:G33)</f>
        <v>1</v>
      </c>
      <c r="J31" s="1691">
        <f>SUM(H32:H33)</f>
        <v>0</v>
      </c>
      <c r="K31" s="1616">
        <f>IF(スコア表示!X31=0,0,1)</f>
        <v>1</v>
      </c>
      <c r="L31" s="1616">
        <f>IF(スコア表示!AB31=0,0,1)</f>
        <v>0</v>
      </c>
      <c r="N31" s="1713">
        <f>IF(P$20=0,0,P31/P$20)</f>
        <v>0.3</v>
      </c>
      <c r="O31" s="1713">
        <f>IF(Q$20=0,0,Q31/Q$20)</f>
        <v>0</v>
      </c>
      <c r="P31" s="1616">
        <f>SUM(R32:R33)</f>
        <v>0.105</v>
      </c>
      <c r="Q31" s="1616">
        <f>SUM(S32:S33)</f>
        <v>0</v>
      </c>
      <c r="R31" s="1616">
        <f>IF(スコア入力!R31="EB",重み_対象外!D31,U31)</f>
        <v>0</v>
      </c>
      <c r="S31" s="1616">
        <f>IF(スコア入力!Y31="EB",重み_対象外!E31,V31)</f>
        <v>0</v>
      </c>
      <c r="T31" s="1560"/>
      <c r="U31" s="1630"/>
      <c r="V31" s="1630"/>
      <c r="W31" s="1560"/>
      <c r="X31" s="1616">
        <f t="shared" si="18"/>
        <v>0.3</v>
      </c>
      <c r="Y31" s="1616">
        <f t="shared" si="21"/>
        <v>0</v>
      </c>
      <c r="Z31" s="1571"/>
      <c r="AA31" s="1613">
        <f t="shared" si="3"/>
        <v>2.2999999999999998</v>
      </c>
      <c r="AB31" s="1613" t="str">
        <f t="shared" si="4"/>
        <v xml:space="preserve"> Q1 2</v>
      </c>
      <c r="AC31" s="1613" t="str">
        <f t="shared" si="5"/>
        <v>空調方式</v>
      </c>
      <c r="AD31" s="1759">
        <f t="shared" si="6"/>
        <v>0.3</v>
      </c>
      <c r="AE31" s="1759">
        <f t="shared" si="7"/>
        <v>0.3</v>
      </c>
      <c r="AF31" s="1759">
        <f t="shared" si="8"/>
        <v>0.3</v>
      </c>
      <c r="AG31" s="1759">
        <f t="shared" si="9"/>
        <v>0.3</v>
      </c>
      <c r="AH31" s="1759">
        <f t="shared" si="10"/>
        <v>0.3</v>
      </c>
      <c r="AI31" s="1759">
        <f t="shared" si="11"/>
        <v>0.3</v>
      </c>
      <c r="AJ31" s="1759">
        <f t="shared" si="12"/>
        <v>0.3</v>
      </c>
      <c r="AK31" s="1763">
        <f t="shared" si="13"/>
        <v>0.3</v>
      </c>
      <c r="AL31" s="1759">
        <f t="shared" si="14"/>
        <v>0.3</v>
      </c>
      <c r="AM31" s="1759">
        <f t="shared" si="14"/>
        <v>0.3</v>
      </c>
      <c r="AN31" s="1760">
        <f t="shared" si="15"/>
        <v>0.3</v>
      </c>
      <c r="AO31" s="1759">
        <f t="shared" si="16"/>
        <v>0.3</v>
      </c>
      <c r="AP31" s="1759">
        <f t="shared" si="17"/>
        <v>0.3</v>
      </c>
      <c r="AQ31" s="1620"/>
      <c r="AR31" s="1647">
        <v>2.2999999999999998</v>
      </c>
      <c r="AS31" s="1693" t="s">
        <v>283</v>
      </c>
      <c r="AT31" s="1737" t="s">
        <v>657</v>
      </c>
      <c r="AU31" s="1623">
        <v>0.3</v>
      </c>
      <c r="AV31" s="1623">
        <v>0.3</v>
      </c>
      <c r="AW31" s="1623">
        <v>0.3</v>
      </c>
      <c r="AX31" s="1623">
        <v>0.3</v>
      </c>
      <c r="AY31" s="1623">
        <v>0.3</v>
      </c>
      <c r="AZ31" s="1623">
        <v>0.3</v>
      </c>
      <c r="BA31" s="1623">
        <v>0.3</v>
      </c>
      <c r="BB31" s="1714">
        <v>0.3</v>
      </c>
      <c r="BC31" s="1623">
        <v>0.3</v>
      </c>
      <c r="BD31" s="1623">
        <v>0.3</v>
      </c>
      <c r="BE31" s="1625">
        <v>0.3</v>
      </c>
      <c r="BF31" s="1623">
        <v>0.3</v>
      </c>
      <c r="BG31" s="1623">
        <v>0.3</v>
      </c>
      <c r="BI31" s="1647">
        <v>2.2999999999999998</v>
      </c>
      <c r="BJ31" s="1693" t="s">
        <v>283</v>
      </c>
      <c r="BK31" s="1737" t="s">
        <v>657</v>
      </c>
      <c r="BL31" s="1623">
        <v>0.3</v>
      </c>
      <c r="BM31" s="1623">
        <v>0.3</v>
      </c>
      <c r="BN31" s="1623">
        <v>0.3</v>
      </c>
      <c r="BO31" s="1623">
        <v>0.3</v>
      </c>
      <c r="BP31" s="1623">
        <v>0.3</v>
      </c>
      <c r="BQ31" s="1623">
        <v>0.3</v>
      </c>
      <c r="BR31" s="1623">
        <v>0.3</v>
      </c>
      <c r="BS31" s="1714">
        <v>0.3</v>
      </c>
      <c r="BT31" s="1623">
        <v>0.3</v>
      </c>
      <c r="BU31" s="1623">
        <v>0.3</v>
      </c>
      <c r="BV31" s="1625">
        <v>0.3</v>
      </c>
      <c r="BW31" s="1623">
        <v>0.3</v>
      </c>
      <c r="BX31" s="1623">
        <v>0.3</v>
      </c>
    </row>
    <row r="32" spans="1:77" ht="13.5" customHeight="1">
      <c r="B32" s="1621" t="str">
        <f t="shared" si="0"/>
        <v>2.3.1</v>
      </c>
      <c r="C32" s="1660" t="str">
        <f t="shared" si="1"/>
        <v>上下温度差</v>
      </c>
      <c r="D32" s="1721">
        <f>IF(I$31&gt;0,G32/I$31,0)</f>
        <v>0.5</v>
      </c>
      <c r="E32" s="1691">
        <f>IF(J$31&gt;0,H32/J$31,0)</f>
        <v>0</v>
      </c>
      <c r="F32" s="2415"/>
      <c r="G32" s="1691">
        <f t="shared" si="2"/>
        <v>0.5</v>
      </c>
      <c r="H32" s="1691">
        <f t="shared" si="2"/>
        <v>0</v>
      </c>
      <c r="I32" s="1691"/>
      <c r="J32" s="1691"/>
      <c r="K32" s="1616">
        <f>IF(スコア表示!X32=0,0,1)</f>
        <v>1</v>
      </c>
      <c r="L32" s="1616">
        <f>IF(スコア表示!AB32=0,0,1)</f>
        <v>0</v>
      </c>
      <c r="N32" s="1708">
        <f>IF(P$31&gt;0,R32/P$31,0)</f>
        <v>0.5</v>
      </c>
      <c r="O32" s="1708">
        <f>IF(Q$31&gt;0,S32/Q$31,0)</f>
        <v>0</v>
      </c>
      <c r="P32" s="1616"/>
      <c r="Q32" s="1616"/>
      <c r="R32" s="1616">
        <f>IF(スコア入力!R32="EB",重み_対象外!D32,U32)</f>
        <v>5.2499999999999998E-2</v>
      </c>
      <c r="S32" s="1616">
        <f>IF(スコア入力!Y32="EB",重み_対象外!E32,V32)</f>
        <v>0</v>
      </c>
      <c r="T32" s="1560"/>
      <c r="U32" s="1614">
        <f>X$20*X$31*X32</f>
        <v>5.2499999999999998E-2</v>
      </c>
      <c r="V32" s="1614">
        <f>Y$20*Y$31*Y32</f>
        <v>0</v>
      </c>
      <c r="W32" s="1560"/>
      <c r="X32" s="1616">
        <f t="shared" si="18"/>
        <v>0.5</v>
      </c>
      <c r="Y32" s="1616">
        <f t="shared" si="21"/>
        <v>0</v>
      </c>
      <c r="Z32" s="1571"/>
      <c r="AA32" s="1617" t="str">
        <f t="shared" si="3"/>
        <v>2.3.1</v>
      </c>
      <c r="AB32" s="1617" t="str">
        <f t="shared" si="4"/>
        <v xml:space="preserve"> Q1 2.3</v>
      </c>
      <c r="AC32" s="1660" t="str">
        <f t="shared" si="5"/>
        <v>上下温度差</v>
      </c>
      <c r="AD32" s="1759">
        <f t="shared" si="6"/>
        <v>0.5</v>
      </c>
      <c r="AE32" s="1759">
        <f t="shared" si="7"/>
        <v>0.5</v>
      </c>
      <c r="AF32" s="1759">
        <f t="shared" si="8"/>
        <v>0.5</v>
      </c>
      <c r="AG32" s="1759">
        <f t="shared" si="9"/>
        <v>0.5</v>
      </c>
      <c r="AH32" s="1759">
        <f t="shared" si="10"/>
        <v>0.5</v>
      </c>
      <c r="AI32" s="1759">
        <f t="shared" si="11"/>
        <v>0.5</v>
      </c>
      <c r="AJ32" s="1759">
        <f t="shared" si="12"/>
        <v>0.5</v>
      </c>
      <c r="AK32" s="1759">
        <f t="shared" si="13"/>
        <v>0.5</v>
      </c>
      <c r="AL32" s="1759">
        <f t="shared" si="14"/>
        <v>0.5</v>
      </c>
      <c r="AM32" s="1759">
        <f t="shared" si="14"/>
        <v>0.5</v>
      </c>
      <c r="AN32" s="1760">
        <f t="shared" si="15"/>
        <v>0</v>
      </c>
      <c r="AO32" s="1760">
        <f t="shared" si="16"/>
        <v>0</v>
      </c>
      <c r="AP32" s="1760">
        <f t="shared" si="17"/>
        <v>0</v>
      </c>
      <c r="AQ32" s="1620"/>
      <c r="AR32" s="2067" t="s">
        <v>1483</v>
      </c>
      <c r="AS32" s="2069" t="s">
        <v>298</v>
      </c>
      <c r="AT32" s="2070" t="s">
        <v>659</v>
      </c>
      <c r="AU32" s="1618">
        <v>0.5</v>
      </c>
      <c r="AV32" s="1618">
        <v>0.5</v>
      </c>
      <c r="AW32" s="1618">
        <v>0.5</v>
      </c>
      <c r="AX32" s="1618">
        <v>0.5</v>
      </c>
      <c r="AY32" s="1618">
        <v>0.5</v>
      </c>
      <c r="AZ32" s="1618">
        <v>0.5</v>
      </c>
      <c r="BA32" s="1618">
        <v>0.5</v>
      </c>
      <c r="BB32" s="1631">
        <v>0.5</v>
      </c>
      <c r="BC32" s="1618">
        <v>0.5</v>
      </c>
      <c r="BD32" s="2356">
        <v>0.5</v>
      </c>
      <c r="BE32" s="2076"/>
      <c r="BF32" s="2074"/>
      <c r="BG32" s="2074"/>
      <c r="BI32" s="2067" t="s">
        <v>1483</v>
      </c>
      <c r="BJ32" s="2069" t="s">
        <v>298</v>
      </c>
      <c r="BK32" s="2070" t="s">
        <v>659</v>
      </c>
      <c r="BL32" s="1618">
        <v>0.5</v>
      </c>
      <c r="BM32" s="1618">
        <v>0.5</v>
      </c>
      <c r="BN32" s="1618">
        <v>0.5</v>
      </c>
      <c r="BO32" s="1618">
        <v>0.5</v>
      </c>
      <c r="BP32" s="1618">
        <v>0.5</v>
      </c>
      <c r="BQ32" s="1618">
        <v>0.5</v>
      </c>
      <c r="BR32" s="1618">
        <v>0.5</v>
      </c>
      <c r="BS32" s="1631">
        <v>0.5</v>
      </c>
      <c r="BT32" s="1618">
        <v>0.5</v>
      </c>
      <c r="BU32" s="2356">
        <v>0.5</v>
      </c>
      <c r="BV32" s="2076"/>
      <c r="BW32" s="2074"/>
      <c r="BX32" s="2074"/>
    </row>
    <row r="33" spans="1:77" ht="13.5" customHeight="1">
      <c r="B33" s="1621" t="str">
        <f t="shared" si="0"/>
        <v>2.3.2</v>
      </c>
      <c r="C33" s="1660" t="str">
        <f t="shared" si="1"/>
        <v>平均気流速度</v>
      </c>
      <c r="D33" s="1721">
        <f>IF(I$31&gt;0,G33/I$31,0)</f>
        <v>0.5</v>
      </c>
      <c r="E33" s="1691">
        <f>IF(J$31&gt;0,H33/J$31,0)</f>
        <v>0</v>
      </c>
      <c r="F33" s="2415"/>
      <c r="G33" s="1691">
        <f t="shared" si="2"/>
        <v>0.5</v>
      </c>
      <c r="H33" s="1691">
        <f t="shared" si="2"/>
        <v>0</v>
      </c>
      <c r="I33" s="1691"/>
      <c r="J33" s="1691"/>
      <c r="K33" s="1616">
        <f>IF(スコア表示!X33=0,0,1)</f>
        <v>1</v>
      </c>
      <c r="L33" s="1616">
        <f>IF(スコア表示!AB33=0,0,1)</f>
        <v>0</v>
      </c>
      <c r="N33" s="1708">
        <f>IF(P$31&gt;0,R33/P$31,0)</f>
        <v>0.5</v>
      </c>
      <c r="O33" s="1708">
        <f>IF(Q$31&gt;0,S33/Q$31,0)</f>
        <v>0</v>
      </c>
      <c r="P33" s="1616"/>
      <c r="Q33" s="1616"/>
      <c r="R33" s="1616">
        <f>IF(スコア入力!R33="EB",重み_対象外!D33,U33)</f>
        <v>5.2499999999999998E-2</v>
      </c>
      <c r="S33" s="1616">
        <f>IF(スコア入力!Y33="EB",重み_対象外!E33,V33)</f>
        <v>0</v>
      </c>
      <c r="T33" s="1560"/>
      <c r="U33" s="1614">
        <f>X$20*X$31*X33</f>
        <v>5.2499999999999998E-2</v>
      </c>
      <c r="V33" s="1614">
        <f>Y$20*Y$31*Y33</f>
        <v>0</v>
      </c>
      <c r="W33" s="1560"/>
      <c r="X33" s="1616">
        <f t="shared" si="18"/>
        <v>0.5</v>
      </c>
      <c r="Y33" s="1616">
        <f t="shared" si="21"/>
        <v>0</v>
      </c>
      <c r="Z33" s="1571"/>
      <c r="AA33" s="1617" t="str">
        <f t="shared" si="3"/>
        <v>2.3.2</v>
      </c>
      <c r="AB33" s="1617" t="str">
        <f t="shared" si="4"/>
        <v xml:space="preserve"> Q1 2.3</v>
      </c>
      <c r="AC33" s="1660" t="str">
        <f t="shared" si="5"/>
        <v>平均気流速度</v>
      </c>
      <c r="AD33" s="1759">
        <f t="shared" si="6"/>
        <v>0.5</v>
      </c>
      <c r="AE33" s="1759">
        <f t="shared" si="7"/>
        <v>0.5</v>
      </c>
      <c r="AF33" s="1759">
        <f t="shared" si="8"/>
        <v>0.5</v>
      </c>
      <c r="AG33" s="1759">
        <f t="shared" si="9"/>
        <v>0.5</v>
      </c>
      <c r="AH33" s="1759">
        <f t="shared" si="10"/>
        <v>0.5</v>
      </c>
      <c r="AI33" s="1759">
        <f t="shared" si="11"/>
        <v>0.5</v>
      </c>
      <c r="AJ33" s="1759">
        <f t="shared" si="12"/>
        <v>0.5</v>
      </c>
      <c r="AK33" s="1759">
        <f t="shared" si="13"/>
        <v>0.5</v>
      </c>
      <c r="AL33" s="1759">
        <f t="shared" si="14"/>
        <v>0.5</v>
      </c>
      <c r="AM33" s="1759">
        <f t="shared" si="14"/>
        <v>0.5</v>
      </c>
      <c r="AN33" s="1760">
        <f t="shared" si="15"/>
        <v>0</v>
      </c>
      <c r="AO33" s="1760">
        <f t="shared" si="16"/>
        <v>0</v>
      </c>
      <c r="AP33" s="1760">
        <f t="shared" si="17"/>
        <v>0</v>
      </c>
      <c r="AQ33" s="1620"/>
      <c r="AR33" s="2067" t="s">
        <v>1485</v>
      </c>
      <c r="AS33" s="2069" t="s">
        <v>298</v>
      </c>
      <c r="AT33" s="2070" t="s">
        <v>662</v>
      </c>
      <c r="AU33" s="1618">
        <v>0.5</v>
      </c>
      <c r="AV33" s="1618">
        <v>0.5</v>
      </c>
      <c r="AW33" s="1618">
        <v>0.5</v>
      </c>
      <c r="AX33" s="1618">
        <v>0.5</v>
      </c>
      <c r="AY33" s="1618">
        <v>0.5</v>
      </c>
      <c r="AZ33" s="1618">
        <v>0.5</v>
      </c>
      <c r="BA33" s="1618">
        <v>0.5</v>
      </c>
      <c r="BB33" s="1618">
        <v>0.5</v>
      </c>
      <c r="BC33" s="1618">
        <v>0.5</v>
      </c>
      <c r="BD33" s="2356">
        <v>0.5</v>
      </c>
      <c r="BE33" s="2076"/>
      <c r="BF33" s="2074"/>
      <c r="BG33" s="2074"/>
      <c r="BI33" s="2067" t="s">
        <v>1485</v>
      </c>
      <c r="BJ33" s="2069" t="s">
        <v>298</v>
      </c>
      <c r="BK33" s="2070" t="s">
        <v>662</v>
      </c>
      <c r="BL33" s="1618">
        <v>0.5</v>
      </c>
      <c r="BM33" s="1618">
        <v>0.5</v>
      </c>
      <c r="BN33" s="1618">
        <v>0.5</v>
      </c>
      <c r="BO33" s="1618">
        <v>0.5</v>
      </c>
      <c r="BP33" s="1618">
        <v>0.5</v>
      </c>
      <c r="BQ33" s="1618">
        <v>0.5</v>
      </c>
      <c r="BR33" s="1618">
        <v>0.5</v>
      </c>
      <c r="BS33" s="1618">
        <v>0.5</v>
      </c>
      <c r="BT33" s="1618">
        <v>0.5</v>
      </c>
      <c r="BU33" s="2356">
        <v>0.5</v>
      </c>
      <c r="BV33" s="2076"/>
      <c r="BW33" s="2074"/>
      <c r="BX33" s="2074"/>
    </row>
    <row r="34" spans="1:77" s="1605" customFormat="1" ht="13.5" customHeight="1">
      <c r="A34"/>
      <c r="B34" s="1627">
        <f t="shared" si="0"/>
        <v>3</v>
      </c>
      <c r="C34" s="1607" t="str">
        <f t="shared" si="1"/>
        <v>光・視環境</v>
      </c>
      <c r="D34" s="2062">
        <f>IF(I$9=0,0,G34/I$9)</f>
        <v>0.23799847599695198</v>
      </c>
      <c r="E34" s="1743">
        <f>IF(J$9=0,0,H34/J$9)</f>
        <v>0</v>
      </c>
      <c r="F34"/>
      <c r="G34" s="1743">
        <f t="shared" si="2"/>
        <v>0.23799847599695198</v>
      </c>
      <c r="H34" s="1743">
        <f t="shared" si="2"/>
        <v>0</v>
      </c>
      <c r="I34" s="1743">
        <f>G35+G39+G43+G46</f>
        <v>1.0000000000000002</v>
      </c>
      <c r="J34" s="1743">
        <f>H35+H39+H43+H46</f>
        <v>0</v>
      </c>
      <c r="K34" s="2447">
        <f>IF(L34&gt;0,1,IF(スコア表示!X34=0,0,1))</f>
        <v>1</v>
      </c>
      <c r="L34" s="1609">
        <f>IF(スコア表示!AB34=0,0,1)</f>
        <v>0</v>
      </c>
      <c r="M34"/>
      <c r="N34" s="1707">
        <f>IF(P$9=0,0,R34/P$9)</f>
        <v>0.23799847599695198</v>
      </c>
      <c r="O34" s="1707">
        <f>IF(Q$9=0,0,S34/Q$9)</f>
        <v>0</v>
      </c>
      <c r="P34" s="1710">
        <f>SUM(R35:R46)</f>
        <v>0.23424999999999996</v>
      </c>
      <c r="Q34" s="1710">
        <f>SUM(S35:S46)</f>
        <v>0</v>
      </c>
      <c r="R34" s="1609">
        <f>IF(スコア入力!R34="EB",重み_対象外!D34,U34)</f>
        <v>0.23424999999999996</v>
      </c>
      <c r="S34" s="1609">
        <f>IF(スコア入力!Y34="EB",重み_対象外!E34,V34)</f>
        <v>0</v>
      </c>
      <c r="T34" s="1560"/>
      <c r="U34" s="1607">
        <f>SUM(U35:U46)</f>
        <v>0.23424999999999996</v>
      </c>
      <c r="V34" s="1607">
        <f>SUM(V35:V46)</f>
        <v>0</v>
      </c>
      <c r="W34" s="1560"/>
      <c r="X34" s="1609">
        <f t="shared" si="18"/>
        <v>0.25</v>
      </c>
      <c r="Y34" s="1609">
        <v>1</v>
      </c>
      <c r="Z34" s="1601"/>
      <c r="AA34" s="1606">
        <f t="shared" si="3"/>
        <v>3</v>
      </c>
      <c r="AB34" s="1606" t="str">
        <f t="shared" si="4"/>
        <v xml:space="preserve"> Q1</v>
      </c>
      <c r="AC34" s="1606" t="str">
        <f t="shared" si="5"/>
        <v>光・視環境</v>
      </c>
      <c r="AD34" s="1756">
        <f t="shared" si="6"/>
        <v>0.25</v>
      </c>
      <c r="AE34" s="1756">
        <f t="shared" si="7"/>
        <v>0.25</v>
      </c>
      <c r="AF34" s="1756">
        <f t="shared" si="8"/>
        <v>0.25</v>
      </c>
      <c r="AG34" s="1756">
        <f t="shared" si="9"/>
        <v>0.25</v>
      </c>
      <c r="AH34" s="1756">
        <f t="shared" si="10"/>
        <v>0.25</v>
      </c>
      <c r="AI34" s="1756">
        <f t="shared" si="11"/>
        <v>0.25</v>
      </c>
      <c r="AJ34" s="1756">
        <f t="shared" si="12"/>
        <v>0.25</v>
      </c>
      <c r="AK34" s="1762">
        <f t="shared" si="13"/>
        <v>0</v>
      </c>
      <c r="AL34" s="1756">
        <f t="shared" si="14"/>
        <v>0.25</v>
      </c>
      <c r="AM34" s="1756">
        <f t="shared" si="14"/>
        <v>0.25</v>
      </c>
      <c r="AN34" s="1758">
        <f t="shared" si="15"/>
        <v>0</v>
      </c>
      <c r="AO34" s="1756">
        <f t="shared" si="16"/>
        <v>0</v>
      </c>
      <c r="AP34" s="1756">
        <f t="shared" si="17"/>
        <v>0</v>
      </c>
      <c r="AQ34" s="1612"/>
      <c r="AR34" s="1641">
        <v>3</v>
      </c>
      <c r="AS34" s="1744" t="s">
        <v>277</v>
      </c>
      <c r="AT34" s="1780" t="s">
        <v>1190</v>
      </c>
      <c r="AU34" s="1711">
        <v>0.25</v>
      </c>
      <c r="AV34" s="1711">
        <v>0.25</v>
      </c>
      <c r="AW34" s="1711">
        <v>0.25</v>
      </c>
      <c r="AX34" s="1711">
        <v>0.25</v>
      </c>
      <c r="AY34" s="1711">
        <v>0.25</v>
      </c>
      <c r="AZ34" s="1711">
        <v>0.25</v>
      </c>
      <c r="BA34" s="1711">
        <v>0.25</v>
      </c>
      <c r="BB34" s="1635">
        <v>0</v>
      </c>
      <c r="BC34" s="1711">
        <v>0.25</v>
      </c>
      <c r="BD34" s="1711">
        <v>0.25</v>
      </c>
      <c r="BE34" s="2063"/>
      <c r="BF34" s="1711"/>
      <c r="BG34" s="1711"/>
      <c r="BH34"/>
      <c r="BI34" s="1641">
        <v>3</v>
      </c>
      <c r="BJ34" s="1744" t="s">
        <v>277</v>
      </c>
      <c r="BK34" s="1780" t="s">
        <v>1190</v>
      </c>
      <c r="BL34" s="1711">
        <v>0.25</v>
      </c>
      <c r="BM34" s="1711">
        <v>0.25</v>
      </c>
      <c r="BN34" s="1711">
        <v>0.25</v>
      </c>
      <c r="BO34" s="1711">
        <v>0.25</v>
      </c>
      <c r="BP34" s="1711">
        <v>0.25</v>
      </c>
      <c r="BQ34" s="1711">
        <v>0.25</v>
      </c>
      <c r="BR34" s="1711">
        <v>0.25</v>
      </c>
      <c r="BS34" s="1635">
        <v>0</v>
      </c>
      <c r="BT34" s="1711">
        <v>0.25</v>
      </c>
      <c r="BU34" s="1711">
        <v>0.25</v>
      </c>
      <c r="BV34" s="2063"/>
      <c r="BW34" s="1711"/>
      <c r="BX34" s="1711"/>
      <c r="BY34"/>
    </row>
    <row r="35" spans="1:77" ht="13.5" customHeight="1">
      <c r="B35" s="1613">
        <f t="shared" si="0"/>
        <v>3.1</v>
      </c>
      <c r="C35" s="1630" t="str">
        <f t="shared" si="1"/>
        <v>昼光利用</v>
      </c>
      <c r="D35" s="1716">
        <f>IF(I$34=0,0,G35/I$34)</f>
        <v>0.38420490928495193</v>
      </c>
      <c r="E35" s="1691">
        <f>IF(J$34=0,0,H35/J$34)</f>
        <v>0</v>
      </c>
      <c r="G35" s="1691">
        <f t="shared" si="2"/>
        <v>0.38420490928495205</v>
      </c>
      <c r="H35" s="1691">
        <f t="shared" si="2"/>
        <v>0</v>
      </c>
      <c r="I35" s="1691">
        <f>SUM(G36:G38)</f>
        <v>1</v>
      </c>
      <c r="J35" s="1691">
        <f>SUM(H36:H38)</f>
        <v>0</v>
      </c>
      <c r="K35" s="1616">
        <f>IF(スコア表示!X35=0,0,1)</f>
        <v>1</v>
      </c>
      <c r="L35" s="1616">
        <f>IF(スコア表示!AB35=0,0,1)</f>
        <v>0</v>
      </c>
      <c r="N35" s="1713">
        <f>IF(P$34=0,0,P35/P$34)</f>
        <v>0.38420490928495205</v>
      </c>
      <c r="O35" s="1713">
        <f>IF(Q$34=0,0,Q35/Q$34)</f>
        <v>0</v>
      </c>
      <c r="P35" s="1616">
        <f>SUM(R36:R38)</f>
        <v>0.09</v>
      </c>
      <c r="Q35" s="1616">
        <f>SUM(S36:S38)</f>
        <v>0</v>
      </c>
      <c r="R35" s="1616">
        <f>IF(スコア入力!R35="EB",重み_対象外!D35,U35)</f>
        <v>0</v>
      </c>
      <c r="S35" s="1616">
        <f>IF(スコア入力!Y35="EB",重み_対象外!E35,V35)</f>
        <v>0</v>
      </c>
      <c r="T35" s="1560"/>
      <c r="U35" s="1630"/>
      <c r="V35" s="1630"/>
      <c r="W35" s="1560"/>
      <c r="X35" s="1616">
        <f t="shared" si="18"/>
        <v>0.36</v>
      </c>
      <c r="Y35" s="1616">
        <f t="shared" si="21"/>
        <v>0</v>
      </c>
      <c r="Z35" s="1571"/>
      <c r="AA35" s="1613">
        <f t="shared" si="3"/>
        <v>3.1</v>
      </c>
      <c r="AB35" s="1613" t="str">
        <f t="shared" si="4"/>
        <v xml:space="preserve"> Q1 3</v>
      </c>
      <c r="AC35" s="1613" t="str">
        <f t="shared" si="5"/>
        <v>昼光利用</v>
      </c>
      <c r="AD35" s="1759">
        <f t="shared" si="6"/>
        <v>0.3</v>
      </c>
      <c r="AE35" s="1759">
        <f t="shared" si="7"/>
        <v>0.3</v>
      </c>
      <c r="AF35" s="1759">
        <f t="shared" si="8"/>
        <v>0.5</v>
      </c>
      <c r="AG35" s="1759">
        <f t="shared" si="9"/>
        <v>1</v>
      </c>
      <c r="AH35" s="1759">
        <f t="shared" si="10"/>
        <v>0.3</v>
      </c>
      <c r="AI35" s="1759">
        <f t="shared" si="11"/>
        <v>0.3</v>
      </c>
      <c r="AJ35" s="1759">
        <f t="shared" si="12"/>
        <v>0.3</v>
      </c>
      <c r="AK35" s="1763">
        <f t="shared" si="13"/>
        <v>0</v>
      </c>
      <c r="AL35" s="1759">
        <f t="shared" si="14"/>
        <v>0.3</v>
      </c>
      <c r="AM35" s="1759">
        <f t="shared" si="14"/>
        <v>0.3</v>
      </c>
      <c r="AN35" s="1760">
        <f t="shared" si="15"/>
        <v>0.3</v>
      </c>
      <c r="AO35" s="1759">
        <f t="shared" si="16"/>
        <v>0.3</v>
      </c>
      <c r="AP35" s="1759">
        <f t="shared" si="17"/>
        <v>0.3</v>
      </c>
      <c r="AQ35" s="1620"/>
      <c r="AR35" s="1647">
        <v>3.1</v>
      </c>
      <c r="AS35" s="1693" t="s">
        <v>299</v>
      </c>
      <c r="AT35" s="1737" t="s">
        <v>666</v>
      </c>
      <c r="AU35" s="1623">
        <v>0.3</v>
      </c>
      <c r="AV35" s="1623">
        <v>0.3</v>
      </c>
      <c r="AW35" s="1623">
        <v>0.5</v>
      </c>
      <c r="AX35" s="1623">
        <v>1</v>
      </c>
      <c r="AY35" s="1623">
        <v>0.3</v>
      </c>
      <c r="AZ35" s="1623">
        <v>0.3</v>
      </c>
      <c r="BA35" s="1623">
        <v>0.3</v>
      </c>
      <c r="BB35" s="1714"/>
      <c r="BC35" s="1623">
        <v>0.3</v>
      </c>
      <c r="BD35" s="1623">
        <v>0.3</v>
      </c>
      <c r="BE35" s="1625">
        <v>0.3</v>
      </c>
      <c r="BF35" s="1623">
        <v>0.3</v>
      </c>
      <c r="BG35" s="1623">
        <v>0.3</v>
      </c>
      <c r="BI35" s="1647">
        <v>3.1</v>
      </c>
      <c r="BJ35" s="1693" t="s">
        <v>299</v>
      </c>
      <c r="BK35" s="1737" t="s">
        <v>666</v>
      </c>
      <c r="BL35" s="1623">
        <v>0.3</v>
      </c>
      <c r="BM35" s="1623">
        <v>0.3</v>
      </c>
      <c r="BN35" s="1623">
        <v>0.5</v>
      </c>
      <c r="BO35" s="1623">
        <v>1</v>
      </c>
      <c r="BP35" s="1623">
        <v>0.3</v>
      </c>
      <c r="BQ35" s="1623">
        <v>0.3</v>
      </c>
      <c r="BR35" s="1623">
        <v>0.3</v>
      </c>
      <c r="BS35" s="1714"/>
      <c r="BT35" s="1623">
        <v>0.3</v>
      </c>
      <c r="BU35" s="1623">
        <v>0.3</v>
      </c>
      <c r="BV35" s="1625">
        <v>0.3</v>
      </c>
      <c r="BW35" s="1623">
        <v>0.3</v>
      </c>
      <c r="BX35" s="1623">
        <v>0.3</v>
      </c>
    </row>
    <row r="36" spans="1:77" ht="13.5" customHeight="1">
      <c r="B36" s="1621" t="str">
        <f t="shared" si="0"/>
        <v>3.1.1</v>
      </c>
      <c r="C36" s="1614" t="str">
        <f t="shared" si="1"/>
        <v>昼光率</v>
      </c>
      <c r="D36" s="1721">
        <f t="shared" ref="D36:E38" si="28">IF(I$35&gt;0,G36/I$35,0)</f>
        <v>0.42000000000000004</v>
      </c>
      <c r="E36" s="1691">
        <f t="shared" si="28"/>
        <v>0</v>
      </c>
      <c r="G36" s="1691">
        <f t="shared" si="2"/>
        <v>0.42000000000000004</v>
      </c>
      <c r="H36" s="1691">
        <f t="shared" si="2"/>
        <v>0</v>
      </c>
      <c r="I36" s="1691"/>
      <c r="J36" s="1691"/>
      <c r="K36" s="1616">
        <f>IF(スコア表示!X36=0,0,1)</f>
        <v>1</v>
      </c>
      <c r="L36" s="1616">
        <f>IF(スコア表示!AB36=0,0,1)</f>
        <v>1</v>
      </c>
      <c r="N36" s="1708">
        <f t="shared" ref="N36:O38" si="29">IF(P$35&gt;0,R36/P$35,0)</f>
        <v>0.42000000000000004</v>
      </c>
      <c r="O36" s="1708">
        <f t="shared" si="29"/>
        <v>0</v>
      </c>
      <c r="P36" s="1616"/>
      <c r="Q36" s="1616"/>
      <c r="R36" s="1616">
        <f>IF(スコア入力!R36="EB",重み_対象外!D36,U36)</f>
        <v>3.78E-2</v>
      </c>
      <c r="S36" s="1616">
        <f>IF(スコア入力!Y36="EB",重み_対象外!E36,V36)</f>
        <v>0</v>
      </c>
      <c r="T36" s="1560"/>
      <c r="U36" s="1614">
        <f t="shared" ref="U36:V38" si="30">X$34*X$35*X36</f>
        <v>3.78E-2</v>
      </c>
      <c r="V36" s="1614">
        <f t="shared" si="30"/>
        <v>0</v>
      </c>
      <c r="W36" s="1560"/>
      <c r="X36" s="1616">
        <f t="shared" si="18"/>
        <v>0.42</v>
      </c>
      <c r="Y36" s="1616">
        <f t="shared" si="21"/>
        <v>0</v>
      </c>
      <c r="Z36" s="1571"/>
      <c r="AA36" s="1613" t="str">
        <f t="shared" si="3"/>
        <v>3.1.1</v>
      </c>
      <c r="AB36" s="1613" t="str">
        <f t="shared" si="4"/>
        <v xml:space="preserve"> Q1 3.1</v>
      </c>
      <c r="AC36" s="1613" t="str">
        <f t="shared" si="5"/>
        <v>昼光率</v>
      </c>
      <c r="AD36" s="1759">
        <f t="shared" si="6"/>
        <v>0.6</v>
      </c>
      <c r="AE36" s="1759">
        <f t="shared" si="7"/>
        <v>0.6</v>
      </c>
      <c r="AF36" s="1759">
        <f t="shared" si="8"/>
        <v>0</v>
      </c>
      <c r="AG36" s="1759">
        <f t="shared" si="9"/>
        <v>0</v>
      </c>
      <c r="AH36" s="1759">
        <f t="shared" si="10"/>
        <v>0.6</v>
      </c>
      <c r="AI36" s="1759">
        <f t="shared" si="11"/>
        <v>0.6</v>
      </c>
      <c r="AJ36" s="1759">
        <f t="shared" si="12"/>
        <v>0.6</v>
      </c>
      <c r="AK36" s="1763">
        <f t="shared" si="13"/>
        <v>0</v>
      </c>
      <c r="AL36" s="1759">
        <f t="shared" si="14"/>
        <v>0.6</v>
      </c>
      <c r="AM36" s="1759">
        <f t="shared" si="14"/>
        <v>0.6</v>
      </c>
      <c r="AN36" s="1760">
        <f t="shared" si="15"/>
        <v>0.6</v>
      </c>
      <c r="AO36" s="1759">
        <f t="shared" si="16"/>
        <v>0.6</v>
      </c>
      <c r="AP36" s="1759">
        <f t="shared" si="17"/>
        <v>0.5</v>
      </c>
      <c r="AQ36" s="1620"/>
      <c r="AR36" s="1647" t="s">
        <v>1486</v>
      </c>
      <c r="AS36" s="1693" t="s">
        <v>300</v>
      </c>
      <c r="AT36" s="2064" t="s">
        <v>301</v>
      </c>
      <c r="AU36" s="1623">
        <v>0.6</v>
      </c>
      <c r="AV36" s="1623">
        <v>0.6</v>
      </c>
      <c r="AW36" s="1623"/>
      <c r="AX36" s="1623"/>
      <c r="AY36" s="1623">
        <v>0.6</v>
      </c>
      <c r="AZ36" s="1623">
        <v>0.6</v>
      </c>
      <c r="BA36" s="1623">
        <v>0.6</v>
      </c>
      <c r="BB36" s="1714"/>
      <c r="BC36" s="1623">
        <v>0.6</v>
      </c>
      <c r="BD36" s="1623">
        <v>0.6</v>
      </c>
      <c r="BE36" s="1625">
        <v>0.6</v>
      </c>
      <c r="BF36" s="1623">
        <v>0.6</v>
      </c>
      <c r="BG36" s="1623">
        <v>0.5</v>
      </c>
      <c r="BI36" s="1647" t="s">
        <v>1486</v>
      </c>
      <c r="BJ36" s="1693" t="s">
        <v>300</v>
      </c>
      <c r="BK36" s="2064" t="s">
        <v>301</v>
      </c>
      <c r="BL36" s="1623">
        <v>0.6</v>
      </c>
      <c r="BM36" s="1623">
        <v>0.6</v>
      </c>
      <c r="BN36" s="1623"/>
      <c r="BO36" s="1623"/>
      <c r="BP36" s="1623">
        <v>0.6</v>
      </c>
      <c r="BQ36" s="1623">
        <v>0.6</v>
      </c>
      <c r="BR36" s="1623">
        <v>0.6</v>
      </c>
      <c r="BS36" s="1714"/>
      <c r="BT36" s="1623">
        <v>0.6</v>
      </c>
      <c r="BU36" s="1623">
        <v>0.6</v>
      </c>
      <c r="BV36" s="1625">
        <v>0.6</v>
      </c>
      <c r="BW36" s="1623">
        <v>0.6</v>
      </c>
      <c r="BX36" s="1623">
        <v>0.5</v>
      </c>
    </row>
    <row r="37" spans="1:77" ht="13.5" customHeight="1">
      <c r="B37" s="1621" t="str">
        <f t="shared" si="0"/>
        <v>3.1.2</v>
      </c>
      <c r="C37" s="1614" t="str">
        <f t="shared" si="1"/>
        <v>方位別開口</v>
      </c>
      <c r="D37" s="1721">
        <f t="shared" si="28"/>
        <v>0</v>
      </c>
      <c r="E37" s="1691">
        <f t="shared" si="28"/>
        <v>0</v>
      </c>
      <c r="G37" s="1691">
        <f t="shared" si="2"/>
        <v>0</v>
      </c>
      <c r="H37" s="1691">
        <f t="shared" si="2"/>
        <v>0</v>
      </c>
      <c r="I37" s="1691"/>
      <c r="J37" s="1691"/>
      <c r="K37" s="1616">
        <f>IF(スコア表示!X37=0,0,1)</f>
        <v>1</v>
      </c>
      <c r="L37" s="1616">
        <f>IF(スコア表示!AB37=0,0,1)</f>
        <v>1</v>
      </c>
      <c r="N37" s="1708">
        <f t="shared" si="29"/>
        <v>0</v>
      </c>
      <c r="O37" s="1708">
        <f t="shared" si="29"/>
        <v>0</v>
      </c>
      <c r="P37" s="1616"/>
      <c r="Q37" s="1616"/>
      <c r="R37" s="1616">
        <f>IF(スコア入力!R37="EB",重み_対象外!D37,U37)</f>
        <v>0</v>
      </c>
      <c r="S37" s="1616">
        <f>IF(スコア入力!Y37="EB",重み_対象外!E37,V37)</f>
        <v>0</v>
      </c>
      <c r="T37" s="1560"/>
      <c r="U37" s="1614">
        <f t="shared" si="30"/>
        <v>0</v>
      </c>
      <c r="V37" s="1614">
        <f t="shared" si="30"/>
        <v>0</v>
      </c>
      <c r="W37" s="1560"/>
      <c r="X37" s="1616">
        <f t="shared" si="18"/>
        <v>0</v>
      </c>
      <c r="Y37" s="1616">
        <f t="shared" si="21"/>
        <v>0</v>
      </c>
      <c r="Z37" s="1571"/>
      <c r="AA37" s="1613" t="str">
        <f t="shared" si="3"/>
        <v>3.1.2</v>
      </c>
      <c r="AB37" s="1613" t="str">
        <f t="shared" si="4"/>
        <v xml:space="preserve"> Q1 3.1</v>
      </c>
      <c r="AC37" s="1613" t="str">
        <f t="shared" si="5"/>
        <v>方位別開口</v>
      </c>
      <c r="AD37" s="1759">
        <f t="shared" si="6"/>
        <v>0</v>
      </c>
      <c r="AE37" s="1759">
        <f t="shared" si="7"/>
        <v>0</v>
      </c>
      <c r="AF37" s="1759">
        <f t="shared" si="8"/>
        <v>0</v>
      </c>
      <c r="AG37" s="1759">
        <f t="shared" si="9"/>
        <v>0</v>
      </c>
      <c r="AH37" s="1759">
        <f t="shared" si="10"/>
        <v>0</v>
      </c>
      <c r="AI37" s="1759">
        <f t="shared" si="11"/>
        <v>0</v>
      </c>
      <c r="AJ37" s="1759">
        <f t="shared" si="12"/>
        <v>0</v>
      </c>
      <c r="AK37" s="1763">
        <f t="shared" si="13"/>
        <v>0</v>
      </c>
      <c r="AL37" s="1759">
        <f t="shared" si="14"/>
        <v>0</v>
      </c>
      <c r="AM37" s="1759">
        <f t="shared" si="14"/>
        <v>0</v>
      </c>
      <c r="AN37" s="1760">
        <f t="shared" si="15"/>
        <v>0</v>
      </c>
      <c r="AO37" s="1759">
        <f t="shared" si="16"/>
        <v>0</v>
      </c>
      <c r="AP37" s="1759">
        <f t="shared" si="17"/>
        <v>0.3</v>
      </c>
      <c r="AQ37" s="1620"/>
      <c r="AR37" s="1647" t="s">
        <v>1488</v>
      </c>
      <c r="AS37" s="1693" t="s">
        <v>300</v>
      </c>
      <c r="AT37" s="2064" t="s">
        <v>302</v>
      </c>
      <c r="AU37" s="1623"/>
      <c r="AV37" s="1623"/>
      <c r="AW37" s="1623"/>
      <c r="AX37" s="1623"/>
      <c r="AY37" s="1623"/>
      <c r="AZ37" s="1623"/>
      <c r="BA37" s="1623"/>
      <c r="BB37" s="1714"/>
      <c r="BC37" s="1623"/>
      <c r="BD37" s="1623"/>
      <c r="BE37" s="1625"/>
      <c r="BF37" s="1623"/>
      <c r="BG37" s="1623">
        <v>0.3</v>
      </c>
      <c r="BI37" s="1647" t="s">
        <v>1488</v>
      </c>
      <c r="BJ37" s="1693" t="s">
        <v>300</v>
      </c>
      <c r="BK37" s="2064" t="s">
        <v>302</v>
      </c>
      <c r="BL37" s="1623"/>
      <c r="BM37" s="1623"/>
      <c r="BN37" s="1623"/>
      <c r="BO37" s="1623"/>
      <c r="BP37" s="1623"/>
      <c r="BQ37" s="1623"/>
      <c r="BR37" s="1623"/>
      <c r="BS37" s="1714"/>
      <c r="BT37" s="1623"/>
      <c r="BU37" s="1623"/>
      <c r="BV37" s="1625"/>
      <c r="BW37" s="1623"/>
      <c r="BX37" s="1623">
        <v>0.3</v>
      </c>
    </row>
    <row r="38" spans="1:77" ht="13.5" customHeight="1">
      <c r="B38" s="1621" t="str">
        <f t="shared" si="0"/>
        <v>3.1.3</v>
      </c>
      <c r="C38" s="1614" t="str">
        <f t="shared" si="1"/>
        <v>昼光利用設備</v>
      </c>
      <c r="D38" s="1721">
        <f t="shared" si="28"/>
        <v>0.57999999999999996</v>
      </c>
      <c r="E38" s="1691">
        <f t="shared" si="28"/>
        <v>0</v>
      </c>
      <c r="G38" s="1691">
        <f t="shared" si="2"/>
        <v>0.57999999999999996</v>
      </c>
      <c r="H38" s="1691">
        <f t="shared" si="2"/>
        <v>0</v>
      </c>
      <c r="I38" s="1691"/>
      <c r="J38" s="1691"/>
      <c r="K38" s="1616">
        <f>IF(スコア表示!X38=0,0,1)</f>
        <v>1</v>
      </c>
      <c r="L38" s="1616">
        <f>IF(スコア表示!AB38=0,0,1)</f>
        <v>1</v>
      </c>
      <c r="N38" s="1708">
        <f t="shared" si="29"/>
        <v>0.57999999999999996</v>
      </c>
      <c r="O38" s="1708">
        <f t="shared" si="29"/>
        <v>0</v>
      </c>
      <c r="P38" s="1616"/>
      <c r="Q38" s="1616"/>
      <c r="R38" s="1616">
        <f>IF(スコア入力!R38="EB",重み_対象外!D38,U38)</f>
        <v>5.2199999999999996E-2</v>
      </c>
      <c r="S38" s="1616">
        <f>IF(スコア入力!Y38="EB",重み_対象外!E38,V38)</f>
        <v>0</v>
      </c>
      <c r="T38" s="1560"/>
      <c r="U38" s="1614">
        <f t="shared" si="30"/>
        <v>5.2199999999999996E-2</v>
      </c>
      <c r="V38" s="1614">
        <f t="shared" si="30"/>
        <v>0</v>
      </c>
      <c r="W38" s="1560"/>
      <c r="X38" s="1616">
        <f t="shared" si="18"/>
        <v>0.57999999999999996</v>
      </c>
      <c r="Y38" s="1616">
        <f t="shared" si="21"/>
        <v>0</v>
      </c>
      <c r="Z38" s="1571"/>
      <c r="AA38" s="1613" t="str">
        <f t="shared" si="3"/>
        <v>3.1.3</v>
      </c>
      <c r="AB38" s="1613" t="str">
        <f t="shared" si="4"/>
        <v xml:space="preserve"> Q1 3.1</v>
      </c>
      <c r="AC38" s="1613" t="str">
        <f t="shared" si="5"/>
        <v>昼光利用設備</v>
      </c>
      <c r="AD38" s="1759">
        <f t="shared" si="6"/>
        <v>0.4</v>
      </c>
      <c r="AE38" s="1759">
        <f t="shared" si="7"/>
        <v>0.4</v>
      </c>
      <c r="AF38" s="1759">
        <f t="shared" si="8"/>
        <v>1</v>
      </c>
      <c r="AG38" s="1759">
        <f t="shared" si="9"/>
        <v>1</v>
      </c>
      <c r="AH38" s="1759">
        <f t="shared" si="10"/>
        <v>0.4</v>
      </c>
      <c r="AI38" s="1759">
        <f t="shared" si="11"/>
        <v>0.4</v>
      </c>
      <c r="AJ38" s="1759">
        <f t="shared" si="12"/>
        <v>0.4</v>
      </c>
      <c r="AK38" s="1763">
        <f t="shared" si="13"/>
        <v>0</v>
      </c>
      <c r="AL38" s="1759">
        <f t="shared" si="14"/>
        <v>0.4</v>
      </c>
      <c r="AM38" s="1759">
        <f t="shared" si="14"/>
        <v>0.4</v>
      </c>
      <c r="AN38" s="1760">
        <f t="shared" si="15"/>
        <v>0.4</v>
      </c>
      <c r="AO38" s="1759">
        <f t="shared" si="16"/>
        <v>0.4</v>
      </c>
      <c r="AP38" s="1759">
        <f t="shared" si="17"/>
        <v>0.2</v>
      </c>
      <c r="AQ38" s="1620"/>
      <c r="AR38" s="1647" t="s">
        <v>1489</v>
      </c>
      <c r="AS38" s="1693" t="s">
        <v>300</v>
      </c>
      <c r="AT38" s="2064" t="s">
        <v>303</v>
      </c>
      <c r="AU38" s="1623">
        <v>0.4</v>
      </c>
      <c r="AV38" s="1623">
        <v>0.4</v>
      </c>
      <c r="AW38" s="1623">
        <v>1</v>
      </c>
      <c r="AX38" s="1623">
        <v>1</v>
      </c>
      <c r="AY38" s="1623">
        <v>0.4</v>
      </c>
      <c r="AZ38" s="1623">
        <v>0.4</v>
      </c>
      <c r="BA38" s="1623">
        <v>0.4</v>
      </c>
      <c r="BB38" s="1714"/>
      <c r="BC38" s="1623">
        <v>0.4</v>
      </c>
      <c r="BD38" s="1623">
        <v>0.4</v>
      </c>
      <c r="BE38" s="1625">
        <v>0.4</v>
      </c>
      <c r="BF38" s="1623">
        <v>0.4</v>
      </c>
      <c r="BG38" s="1623">
        <v>0.2</v>
      </c>
      <c r="BI38" s="1647" t="s">
        <v>1489</v>
      </c>
      <c r="BJ38" s="1693" t="s">
        <v>300</v>
      </c>
      <c r="BK38" s="2064" t="s">
        <v>303</v>
      </c>
      <c r="BL38" s="1623">
        <v>0.4</v>
      </c>
      <c r="BM38" s="1623">
        <v>0.4</v>
      </c>
      <c r="BN38" s="1623">
        <v>1</v>
      </c>
      <c r="BO38" s="1623">
        <v>1</v>
      </c>
      <c r="BP38" s="1623">
        <v>0.4</v>
      </c>
      <c r="BQ38" s="1623">
        <v>0.4</v>
      </c>
      <c r="BR38" s="1623">
        <v>0.4</v>
      </c>
      <c r="BS38" s="1714"/>
      <c r="BT38" s="1623">
        <v>0.4</v>
      </c>
      <c r="BU38" s="1623">
        <v>0.4</v>
      </c>
      <c r="BV38" s="1625">
        <v>0.4</v>
      </c>
      <c r="BW38" s="1623">
        <v>0.4</v>
      </c>
      <c r="BX38" s="1623">
        <v>0.2</v>
      </c>
    </row>
    <row r="39" spans="1:77" ht="13.5" customHeight="1">
      <c r="B39" s="1621">
        <f t="shared" si="0"/>
        <v>3.2</v>
      </c>
      <c r="C39" s="1614" t="str">
        <f t="shared" si="1"/>
        <v>グレア対策</v>
      </c>
      <c r="D39" s="1716">
        <f>IF(I$34=0,0,G39/I$34)</f>
        <v>0.15688367129135536</v>
      </c>
      <c r="E39" s="1691">
        <f>IF(J$34=0,0,H39/J$34)</f>
        <v>0</v>
      </c>
      <c r="G39" s="1691">
        <f t="shared" si="2"/>
        <v>0.15688367129135539</v>
      </c>
      <c r="H39" s="1691">
        <f t="shared" si="2"/>
        <v>0</v>
      </c>
      <c r="I39" s="1691">
        <f>SUM(G40:G42)</f>
        <v>0.60000000000000009</v>
      </c>
      <c r="J39" s="1691">
        <f>SUM(H40:H42)</f>
        <v>0</v>
      </c>
      <c r="K39" s="1616">
        <f>IF(スコア表示!X39=0,0,1)</f>
        <v>1</v>
      </c>
      <c r="L39" s="1616">
        <f>IF(スコア表示!AB39=0,0,1)</f>
        <v>0</v>
      </c>
      <c r="N39" s="1713">
        <f>IF(P$34=0,0,P39/P$34)</f>
        <v>0.15688367129135539</v>
      </c>
      <c r="O39" s="1713">
        <f>IF(Q$34=0,0,Q39/Q$34)</f>
        <v>0</v>
      </c>
      <c r="P39" s="1616">
        <f>SUM(R40:R42)</f>
        <v>3.6749999999999991E-2</v>
      </c>
      <c r="Q39" s="1616">
        <f>SUM(S40:S42)</f>
        <v>0</v>
      </c>
      <c r="R39" s="1616">
        <f>IF(スコア入力!R39="EB",重み_対象外!D39,U39)</f>
        <v>0</v>
      </c>
      <c r="S39" s="1616">
        <f>IF(スコア入力!Y39="EB",重み_対象外!E39,V39)</f>
        <v>0</v>
      </c>
      <c r="T39" s="1560"/>
      <c r="U39" s="1305"/>
      <c r="V39" s="1305"/>
      <c r="W39" s="1560"/>
      <c r="X39" s="1616">
        <f t="shared" si="18"/>
        <v>0.21</v>
      </c>
      <c r="Y39" s="1616">
        <f t="shared" si="21"/>
        <v>0</v>
      </c>
      <c r="Z39" s="1571"/>
      <c r="AA39" s="1613">
        <f t="shared" si="3"/>
        <v>3.2</v>
      </c>
      <c r="AB39" s="1613" t="str">
        <f t="shared" si="4"/>
        <v xml:space="preserve"> Q1 3</v>
      </c>
      <c r="AC39" s="1613" t="str">
        <f t="shared" si="5"/>
        <v>グレア対策</v>
      </c>
      <c r="AD39" s="1759">
        <f t="shared" si="6"/>
        <v>0.3</v>
      </c>
      <c r="AE39" s="1759">
        <f t="shared" si="7"/>
        <v>0.3</v>
      </c>
      <c r="AF39" s="1759">
        <f t="shared" si="8"/>
        <v>0</v>
      </c>
      <c r="AG39" s="1759">
        <f t="shared" si="9"/>
        <v>0</v>
      </c>
      <c r="AH39" s="1759">
        <f t="shared" si="10"/>
        <v>0.3</v>
      </c>
      <c r="AI39" s="1759">
        <f t="shared" si="11"/>
        <v>0.3</v>
      </c>
      <c r="AJ39" s="1759">
        <f t="shared" si="12"/>
        <v>0.3</v>
      </c>
      <c r="AK39" s="1763">
        <f t="shared" si="13"/>
        <v>0</v>
      </c>
      <c r="AL39" s="1759">
        <f t="shared" si="14"/>
        <v>0.3</v>
      </c>
      <c r="AM39" s="1759">
        <f t="shared" si="14"/>
        <v>0.3</v>
      </c>
      <c r="AN39" s="1760">
        <f t="shared" si="15"/>
        <v>0.3</v>
      </c>
      <c r="AO39" s="1759">
        <f t="shared" si="16"/>
        <v>0.3</v>
      </c>
      <c r="AP39" s="1759">
        <f t="shared" si="17"/>
        <v>0.3</v>
      </c>
      <c r="AQ39" s="1620"/>
      <c r="AR39" s="1647">
        <v>3.2</v>
      </c>
      <c r="AS39" s="1693" t="s">
        <v>299</v>
      </c>
      <c r="AT39" s="2064" t="s">
        <v>677</v>
      </c>
      <c r="AU39" s="1623">
        <v>0.3</v>
      </c>
      <c r="AV39" s="1623">
        <v>0.3</v>
      </c>
      <c r="AW39" s="1623"/>
      <c r="AX39" s="1623"/>
      <c r="AY39" s="1623">
        <v>0.3</v>
      </c>
      <c r="AZ39" s="1623">
        <v>0.3</v>
      </c>
      <c r="BA39" s="1623">
        <v>0.3</v>
      </c>
      <c r="BB39" s="1714"/>
      <c r="BC39" s="1623">
        <v>0.3</v>
      </c>
      <c r="BD39" s="1623">
        <v>0.3</v>
      </c>
      <c r="BE39" s="1625">
        <v>0.3</v>
      </c>
      <c r="BF39" s="1623">
        <v>0.3</v>
      </c>
      <c r="BG39" s="1623">
        <v>0.3</v>
      </c>
      <c r="BI39" s="1647">
        <v>3.2</v>
      </c>
      <c r="BJ39" s="1693" t="s">
        <v>299</v>
      </c>
      <c r="BK39" s="2064" t="s">
        <v>677</v>
      </c>
      <c r="BL39" s="1623">
        <v>0.3</v>
      </c>
      <c r="BM39" s="1623">
        <v>0.3</v>
      </c>
      <c r="BN39" s="1623"/>
      <c r="BO39" s="1623"/>
      <c r="BP39" s="1623">
        <v>0.3</v>
      </c>
      <c r="BQ39" s="1623">
        <v>0.3</v>
      </c>
      <c r="BR39" s="1623">
        <v>0.3</v>
      </c>
      <c r="BS39" s="1714"/>
      <c r="BT39" s="1623">
        <v>0.3</v>
      </c>
      <c r="BU39" s="1623">
        <v>0.3</v>
      </c>
      <c r="BV39" s="1625">
        <v>0.3</v>
      </c>
      <c r="BW39" s="1623">
        <v>0.3</v>
      </c>
      <c r="BX39" s="1623">
        <v>0.3</v>
      </c>
    </row>
    <row r="40" spans="1:77" ht="13.5" customHeight="1">
      <c r="B40" s="1621" t="str">
        <f t="shared" ref="B40:B72" si="31">AA40</f>
        <v>3.2.1</v>
      </c>
      <c r="C40" s="1614" t="str">
        <f t="shared" ref="C40:C72" si="32">AC40</f>
        <v>照明器具のグレア</v>
      </c>
      <c r="D40" s="1721">
        <f t="shared" ref="D40:E42" si="33">IF(I$39&gt;0,G40/I$39,0)</f>
        <v>0</v>
      </c>
      <c r="E40" s="1691">
        <f t="shared" si="33"/>
        <v>0</v>
      </c>
      <c r="G40" s="1691">
        <f t="shared" si="2"/>
        <v>0</v>
      </c>
      <c r="H40" s="1691">
        <f t="shared" si="2"/>
        <v>0</v>
      </c>
      <c r="I40" s="1691"/>
      <c r="J40" s="1691"/>
      <c r="K40" s="1616">
        <f>IF(スコア表示!X40=0,0,1)</f>
        <v>0</v>
      </c>
      <c r="L40" s="1616">
        <f>IF(スコア表示!AB40=0,0,1)</f>
        <v>0</v>
      </c>
      <c r="N40" s="1708">
        <f t="shared" ref="N40:O42" si="34">IF(P$39&gt;0,R40/P$39,0)</f>
        <v>0.4</v>
      </c>
      <c r="O40" s="1708">
        <f t="shared" si="34"/>
        <v>0</v>
      </c>
      <c r="P40" s="1616"/>
      <c r="Q40" s="1616"/>
      <c r="R40" s="1616">
        <f>IF(スコア入力!R40="EB",重み_対象外!D40,U40)</f>
        <v>1.4699999999999998E-2</v>
      </c>
      <c r="S40" s="1616">
        <f>IF(スコア入力!Y40="EB",重み_対象外!E40,V40)</f>
        <v>0</v>
      </c>
      <c r="T40" s="1560"/>
      <c r="U40" s="1614">
        <f t="shared" ref="U40:V42" si="35">X$34*X$39*X40</f>
        <v>1.4699999999999998E-2</v>
      </c>
      <c r="V40" s="1614">
        <f t="shared" si="35"/>
        <v>0</v>
      </c>
      <c r="W40" s="1560"/>
      <c r="X40" s="1616">
        <f t="shared" si="18"/>
        <v>0.27999999999999997</v>
      </c>
      <c r="Y40" s="1616">
        <f t="shared" si="21"/>
        <v>0</v>
      </c>
      <c r="Z40" s="1571"/>
      <c r="AA40" s="1613" t="str">
        <f t="shared" si="3"/>
        <v>3.2.1</v>
      </c>
      <c r="AB40" s="1613" t="str">
        <f t="shared" si="4"/>
        <v xml:space="preserve"> Q1 3.2</v>
      </c>
      <c r="AC40" s="1613" t="str">
        <f t="shared" si="5"/>
        <v>照明器具のグレア</v>
      </c>
      <c r="AD40" s="1759">
        <f t="shared" si="6"/>
        <v>0.4</v>
      </c>
      <c r="AE40" s="1759">
        <f t="shared" si="7"/>
        <v>0.4</v>
      </c>
      <c r="AF40" s="1759">
        <f t="shared" si="8"/>
        <v>0</v>
      </c>
      <c r="AG40" s="1759">
        <f t="shared" si="9"/>
        <v>0</v>
      </c>
      <c r="AH40" s="1759">
        <f t="shared" si="10"/>
        <v>0.4</v>
      </c>
      <c r="AI40" s="1759">
        <f t="shared" si="11"/>
        <v>0.4</v>
      </c>
      <c r="AJ40" s="1759">
        <f t="shared" si="12"/>
        <v>0.4</v>
      </c>
      <c r="AK40" s="1763">
        <f t="shared" si="13"/>
        <v>0</v>
      </c>
      <c r="AL40" s="1759">
        <f t="shared" si="14"/>
        <v>0.4</v>
      </c>
      <c r="AM40" s="1759">
        <f t="shared" si="14"/>
        <v>0.4</v>
      </c>
      <c r="AN40" s="1760">
        <f t="shared" si="15"/>
        <v>0.4</v>
      </c>
      <c r="AO40" s="1759">
        <f t="shared" si="16"/>
        <v>0.4</v>
      </c>
      <c r="AP40" s="1759">
        <f t="shared" si="17"/>
        <v>0.4</v>
      </c>
      <c r="AQ40" s="1632"/>
      <c r="AR40" s="1647" t="s">
        <v>1491</v>
      </c>
      <c r="AS40" s="1693" t="s">
        <v>304</v>
      </c>
      <c r="AT40" s="2064" t="s">
        <v>305</v>
      </c>
      <c r="AU40" s="1623">
        <v>0.4</v>
      </c>
      <c r="AV40" s="1623">
        <v>0.4</v>
      </c>
      <c r="AW40" s="1623"/>
      <c r="AX40" s="1623"/>
      <c r="AY40" s="1623">
        <v>0.4</v>
      </c>
      <c r="AZ40" s="1623">
        <v>0.4</v>
      </c>
      <c r="BA40" s="1623">
        <v>0.4</v>
      </c>
      <c r="BB40" s="1714"/>
      <c r="BC40" s="1623">
        <v>0.4</v>
      </c>
      <c r="BD40" s="1623">
        <v>0.4</v>
      </c>
      <c r="BE40" s="1625">
        <v>0.4</v>
      </c>
      <c r="BF40" s="1623">
        <v>0.4</v>
      </c>
      <c r="BG40" s="1623">
        <v>0.4</v>
      </c>
      <c r="BI40" s="1647" t="s">
        <v>1491</v>
      </c>
      <c r="BJ40" s="1693" t="s">
        <v>304</v>
      </c>
      <c r="BK40" s="2064" t="s">
        <v>305</v>
      </c>
      <c r="BL40" s="1623">
        <v>0.4</v>
      </c>
      <c r="BM40" s="1623">
        <v>0.4</v>
      </c>
      <c r="BN40" s="1623"/>
      <c r="BO40" s="1623"/>
      <c r="BP40" s="1623">
        <v>0.4</v>
      </c>
      <c r="BQ40" s="1623">
        <v>0.4</v>
      </c>
      <c r="BR40" s="1623">
        <v>0.4</v>
      </c>
      <c r="BS40" s="1714"/>
      <c r="BT40" s="1623">
        <v>0.4</v>
      </c>
      <c r="BU40" s="1623">
        <v>0.4</v>
      </c>
      <c r="BV40" s="1625">
        <v>0.4</v>
      </c>
      <c r="BW40" s="1623">
        <v>0.4</v>
      </c>
      <c r="BX40" s="1623">
        <v>0.4</v>
      </c>
    </row>
    <row r="41" spans="1:77" ht="13.5" customHeight="1">
      <c r="B41" s="1621" t="str">
        <f>AA41</f>
        <v>3.2.2</v>
      </c>
      <c r="C41" s="1614" t="str">
        <f t="shared" si="32"/>
        <v>昼光制御</v>
      </c>
      <c r="D41" s="1721">
        <f t="shared" si="33"/>
        <v>1</v>
      </c>
      <c r="E41" s="1691">
        <f t="shared" si="33"/>
        <v>0</v>
      </c>
      <c r="G41" s="1691">
        <f t="shared" ref="G41:H72" si="36">K41*N41</f>
        <v>0.60000000000000009</v>
      </c>
      <c r="H41" s="1691">
        <f t="shared" si="36"/>
        <v>0</v>
      </c>
      <c r="I41" s="1691"/>
      <c r="J41" s="1691"/>
      <c r="K41" s="1616">
        <f>IF(スコア表示!X41=0,0,1)</f>
        <v>1</v>
      </c>
      <c r="L41" s="1616">
        <f>IF(スコア表示!AB41=0,0,1)</f>
        <v>1</v>
      </c>
      <c r="N41" s="1708">
        <f t="shared" si="34"/>
        <v>0.60000000000000009</v>
      </c>
      <c r="O41" s="1708">
        <f t="shared" si="34"/>
        <v>0</v>
      </c>
      <c r="P41" s="1616"/>
      <c r="Q41" s="1616"/>
      <c r="R41" s="1616">
        <f>IF(スコア入力!R41="EB",重み_対象外!D41,U41)</f>
        <v>2.2049999999999997E-2</v>
      </c>
      <c r="S41" s="1616">
        <f>IF(スコア入力!Y41="EB",重み_対象外!E41,V41)</f>
        <v>0</v>
      </c>
      <c r="T41" s="1560"/>
      <c r="U41" s="1614">
        <f>X$34*X$39*X41</f>
        <v>2.2049999999999997E-2</v>
      </c>
      <c r="V41" s="1614">
        <f>Y$34*Y$39*Y41</f>
        <v>0</v>
      </c>
      <c r="W41" s="1560"/>
      <c r="X41" s="1616">
        <f t="shared" si="18"/>
        <v>0.42</v>
      </c>
      <c r="Y41" s="1616">
        <f t="shared" si="21"/>
        <v>0</v>
      </c>
      <c r="Z41" s="1571"/>
      <c r="AA41" s="1613" t="str">
        <f t="shared" ref="AA41:AA73" si="37">IF($AA$3=1,AR41,BI41)</f>
        <v>3.2.2</v>
      </c>
      <c r="AB41" s="1613" t="str">
        <f t="shared" ref="AB41:AB73" si="38">IF($AA$3=1,AS41,BJ41)</f>
        <v xml:space="preserve"> Q1 3.2</v>
      </c>
      <c r="AC41" s="1613" t="str">
        <f t="shared" ref="AC41:AC73" si="39">IF($AA$3=1,AT41,BK41)</f>
        <v>昼光制御</v>
      </c>
      <c r="AD41" s="1759">
        <f t="shared" ref="AD41:AD73" si="40">IF($AA$3=1,AU41,BL41)</f>
        <v>0.6</v>
      </c>
      <c r="AE41" s="1759">
        <f t="shared" ref="AE41:AE73" si="41">IF($AA$3=1,AV41,BM41)</f>
        <v>0.6</v>
      </c>
      <c r="AF41" s="1759">
        <f t="shared" ref="AF41:AF73" si="42">IF($AA$3=1,AW41,BN41)</f>
        <v>0</v>
      </c>
      <c r="AG41" s="1759">
        <f t="shared" ref="AG41:AG73" si="43">IF($AA$3=1,AX41,BO41)</f>
        <v>0</v>
      </c>
      <c r="AH41" s="1759">
        <f t="shared" ref="AH41:AH73" si="44">IF($AA$3=1,AY41,BP41)</f>
        <v>0.6</v>
      </c>
      <c r="AI41" s="1759">
        <f t="shared" ref="AI41:AI73" si="45">IF($AA$3=1,AZ41,BQ41)</f>
        <v>0.6</v>
      </c>
      <c r="AJ41" s="1759">
        <f t="shared" ref="AJ41:AJ73" si="46">IF($AA$3=1,BA41,BR41)</f>
        <v>0.6</v>
      </c>
      <c r="AK41" s="1763">
        <f t="shared" ref="AK41:AK73" si="47">IF($AA$3=1,BB41,BS41)</f>
        <v>0</v>
      </c>
      <c r="AL41" s="1759">
        <f t="shared" ref="AL41:AM73" si="48">IF($AA$3=1,BC41,BT41)</f>
        <v>0.6</v>
      </c>
      <c r="AM41" s="1759">
        <f t="shared" si="48"/>
        <v>0.6</v>
      </c>
      <c r="AN41" s="1760">
        <f t="shared" ref="AN41:AN73" si="49">IF($AA$3=1,BE41,BV41)</f>
        <v>0.6</v>
      </c>
      <c r="AO41" s="1759">
        <f t="shared" ref="AO41:AO73" si="50">IF($AA$3=1,BF41,BW41)</f>
        <v>0.6</v>
      </c>
      <c r="AP41" s="1759">
        <f t="shared" ref="AP41:AP73" si="51">IF($AA$3=1,BG41,BX41)</f>
        <v>0.6</v>
      </c>
      <c r="AQ41" s="1632"/>
      <c r="AR41" s="1647" t="s">
        <v>1493</v>
      </c>
      <c r="AS41" s="1693" t="s">
        <v>304</v>
      </c>
      <c r="AT41" s="2064" t="s">
        <v>306</v>
      </c>
      <c r="AU41" s="1623">
        <v>0.6</v>
      </c>
      <c r="AV41" s="1623">
        <v>0.6</v>
      </c>
      <c r="AW41" s="1623"/>
      <c r="AX41" s="1623"/>
      <c r="AY41" s="1623">
        <v>0.6</v>
      </c>
      <c r="AZ41" s="1623">
        <v>0.6</v>
      </c>
      <c r="BA41" s="1623">
        <v>0.6</v>
      </c>
      <c r="BB41" s="1714"/>
      <c r="BC41" s="1623">
        <v>0.6</v>
      </c>
      <c r="BD41" s="1623">
        <v>0.6</v>
      </c>
      <c r="BE41" s="1625">
        <v>0.6</v>
      </c>
      <c r="BF41" s="1623">
        <v>0.6</v>
      </c>
      <c r="BG41" s="1623">
        <v>0.6</v>
      </c>
      <c r="BI41" s="1647" t="s">
        <v>1493</v>
      </c>
      <c r="BJ41" s="1693" t="s">
        <v>304</v>
      </c>
      <c r="BK41" s="2064" t="s">
        <v>306</v>
      </c>
      <c r="BL41" s="1623">
        <v>0.6</v>
      </c>
      <c r="BM41" s="1623">
        <v>0.6</v>
      </c>
      <c r="BN41" s="1623"/>
      <c r="BO41" s="1623"/>
      <c r="BP41" s="1623">
        <v>0.6</v>
      </c>
      <c r="BQ41" s="1623">
        <v>0.6</v>
      </c>
      <c r="BR41" s="1623">
        <v>0.6</v>
      </c>
      <c r="BS41" s="1714"/>
      <c r="BT41" s="1623">
        <v>0.6</v>
      </c>
      <c r="BU41" s="1623">
        <v>0.6</v>
      </c>
      <c r="BV41" s="1625">
        <v>0.6</v>
      </c>
      <c r="BW41" s="1623">
        <v>0.6</v>
      </c>
      <c r="BX41" s="1623">
        <v>0.6</v>
      </c>
    </row>
    <row r="42" spans="1:77" ht="13.5" customHeight="1">
      <c r="B42" s="1621" t="str">
        <f>AA42</f>
        <v>3.2.3</v>
      </c>
      <c r="C42" s="1614" t="str">
        <f>AC42</f>
        <v>映り込み対策</v>
      </c>
      <c r="D42" s="1721">
        <f>IF(I$39&gt;0,G42/I$39,0)</f>
        <v>0</v>
      </c>
      <c r="E42" s="1691">
        <f t="shared" si="33"/>
        <v>0</v>
      </c>
      <c r="G42" s="1691">
        <f t="shared" si="36"/>
        <v>0</v>
      </c>
      <c r="H42" s="1691">
        <f t="shared" si="36"/>
        <v>0</v>
      </c>
      <c r="I42" s="1691"/>
      <c r="J42" s="1691"/>
      <c r="K42" s="1616">
        <f>IF(スコア表示!X42=0,0,1)</f>
        <v>1</v>
      </c>
      <c r="L42" s="1616">
        <f>IF(スコア表示!AB42=0,0,1)</f>
        <v>1</v>
      </c>
      <c r="N42" s="1708">
        <f t="shared" si="34"/>
        <v>0</v>
      </c>
      <c r="O42" s="1708">
        <f t="shared" si="34"/>
        <v>0</v>
      </c>
      <c r="P42" s="1616"/>
      <c r="Q42" s="1616"/>
      <c r="R42" s="1616">
        <f>IF(スコア入力!R42="EB",重み_対象外!D42,U42)</f>
        <v>0</v>
      </c>
      <c r="S42" s="1616">
        <f>IF(スコア入力!Y42="EB",重み_対象外!E42,V42)</f>
        <v>0</v>
      </c>
      <c r="T42" s="1560"/>
      <c r="U42" s="1614">
        <f t="shared" si="35"/>
        <v>0</v>
      </c>
      <c r="V42" s="1614">
        <f t="shared" si="35"/>
        <v>0</v>
      </c>
      <c r="W42" s="1560"/>
      <c r="X42" s="1616">
        <f t="shared" si="18"/>
        <v>0</v>
      </c>
      <c r="Y42" s="1616">
        <f t="shared" si="21"/>
        <v>0</v>
      </c>
      <c r="Z42" s="1571"/>
      <c r="AA42" s="1613" t="str">
        <f>IF($AA$3=1,AR42,BI42)</f>
        <v>3.2.3</v>
      </c>
      <c r="AB42" s="1613" t="str">
        <f t="shared" ref="AB42:AP42" si="52">IF($AA$3=1,AS42,BJ42)</f>
        <v xml:space="preserve"> Q1 3.3</v>
      </c>
      <c r="AC42" s="1613" t="str">
        <f t="shared" si="52"/>
        <v>映り込み対策</v>
      </c>
      <c r="AD42" s="1759">
        <f t="shared" si="52"/>
        <v>0</v>
      </c>
      <c r="AE42" s="1759">
        <f t="shared" si="52"/>
        <v>0</v>
      </c>
      <c r="AF42" s="1759">
        <f t="shared" si="52"/>
        <v>0</v>
      </c>
      <c r="AG42" s="1759">
        <f t="shared" si="52"/>
        <v>0</v>
      </c>
      <c r="AH42" s="1759">
        <f t="shared" si="52"/>
        <v>0</v>
      </c>
      <c r="AI42" s="1759">
        <f t="shared" si="52"/>
        <v>0</v>
      </c>
      <c r="AJ42" s="1759">
        <f t="shared" si="52"/>
        <v>0</v>
      </c>
      <c r="AK42" s="1763">
        <f t="shared" si="52"/>
        <v>0</v>
      </c>
      <c r="AL42" s="1759">
        <f t="shared" si="52"/>
        <v>0</v>
      </c>
      <c r="AM42" s="1759">
        <f t="shared" si="52"/>
        <v>0</v>
      </c>
      <c r="AN42" s="1760">
        <f t="shared" si="52"/>
        <v>0</v>
      </c>
      <c r="AO42" s="1759">
        <f t="shared" si="52"/>
        <v>0</v>
      </c>
      <c r="AP42" s="1759">
        <f t="shared" si="52"/>
        <v>0</v>
      </c>
      <c r="AQ42" s="1632"/>
      <c r="AR42" s="2067" t="s">
        <v>1494</v>
      </c>
      <c r="AS42" s="2069" t="s">
        <v>307</v>
      </c>
      <c r="AT42" s="2070" t="s">
        <v>886</v>
      </c>
      <c r="AU42" s="2074"/>
      <c r="AV42" s="2074"/>
      <c r="AW42" s="2074"/>
      <c r="AX42" s="2074"/>
      <c r="AY42" s="2074"/>
      <c r="AZ42" s="2074"/>
      <c r="BA42" s="2074"/>
      <c r="BB42" s="2075"/>
      <c r="BC42" s="2074"/>
      <c r="BD42" s="2074"/>
      <c r="BE42" s="2076"/>
      <c r="BF42" s="2074"/>
      <c r="BG42" s="2074"/>
      <c r="BI42" s="2067" t="s">
        <v>1494</v>
      </c>
      <c r="BJ42" s="2069" t="s">
        <v>307</v>
      </c>
      <c r="BK42" s="2070" t="s">
        <v>886</v>
      </c>
      <c r="BL42" s="2074"/>
      <c r="BM42" s="2074"/>
      <c r="BN42" s="2074"/>
      <c r="BO42" s="2074"/>
      <c r="BP42" s="2074"/>
      <c r="BQ42" s="2074"/>
      <c r="BR42" s="2074"/>
      <c r="BS42" s="2075"/>
      <c r="BT42" s="2074"/>
      <c r="BU42" s="2074"/>
      <c r="BV42" s="2076"/>
      <c r="BW42" s="2074"/>
      <c r="BX42" s="2074"/>
    </row>
    <row r="43" spans="1:77" ht="13.5" customHeight="1">
      <c r="B43" s="1621">
        <f t="shared" si="31"/>
        <v>3.3</v>
      </c>
      <c r="C43" s="1630" t="str">
        <f t="shared" si="32"/>
        <v>照度</v>
      </c>
      <c r="D43" s="1716">
        <f>IF(I$34=0,0,G43/I$34)</f>
        <v>0.11205976520811098</v>
      </c>
      <c r="E43" s="1691">
        <f>IF(J$34=0,0,H43/J$34)</f>
        <v>0</v>
      </c>
      <c r="G43" s="1691">
        <f t="shared" si="36"/>
        <v>0.11205976520811101</v>
      </c>
      <c r="H43" s="1691">
        <f t="shared" si="36"/>
        <v>0</v>
      </c>
      <c r="I43" s="1691">
        <f>SUM(G44:G45)</f>
        <v>0</v>
      </c>
      <c r="J43" s="1691">
        <f>SUM(H44:H45)</f>
        <v>0</v>
      </c>
      <c r="K43" s="1616">
        <f>IF(スコア表示!X43=0,0,1)</f>
        <v>1</v>
      </c>
      <c r="L43" s="1616">
        <f>IF(スコア表示!AB43=0,0,1)</f>
        <v>1</v>
      </c>
      <c r="N43" s="1713">
        <f>IF(P$34=0,0,R43/P$34)</f>
        <v>0.11205976520811101</v>
      </c>
      <c r="O43" s="1713">
        <f>IF(Q$34=0,0,S43/Q$34)</f>
        <v>0</v>
      </c>
      <c r="P43" s="1616"/>
      <c r="Q43" s="1616"/>
      <c r="R43" s="1616">
        <f>IF(スコア入力!R43="EB",重み_対象外!D43,U43)</f>
        <v>2.6249999999999999E-2</v>
      </c>
      <c r="S43" s="1616">
        <f>IF(スコア入力!Y43="EB",重み_対象外!E43,V43)</f>
        <v>0</v>
      </c>
      <c r="T43" s="1560"/>
      <c r="U43" s="1614">
        <f>X$34*X43</f>
        <v>2.6249999999999999E-2</v>
      </c>
      <c r="V43" s="1614">
        <f>Y$34*Y43</f>
        <v>0</v>
      </c>
      <c r="W43" s="1560"/>
      <c r="X43" s="1616">
        <f>SUMPRODUCT($AD$7:$AM$7,AD43:AM43)</f>
        <v>0.105</v>
      </c>
      <c r="Y43" s="1616">
        <f>(AN$7*AN43)+(AO$7*AO43)+(AP$7*AP43)</f>
        <v>0</v>
      </c>
      <c r="Z43" s="1571"/>
      <c r="AA43" s="1613">
        <f>IF($AA$3=1,AR43,BI43)</f>
        <v>3.3</v>
      </c>
      <c r="AB43" s="1613" t="str">
        <f t="shared" si="38"/>
        <v xml:space="preserve"> Q1 3</v>
      </c>
      <c r="AC43" s="1613" t="str">
        <f t="shared" ref="AC43:AL43" si="53">IF($AA$3=1,AT43,BK43)</f>
        <v>照度</v>
      </c>
      <c r="AD43" s="1759">
        <f t="shared" si="53"/>
        <v>0.15</v>
      </c>
      <c r="AE43" s="1759">
        <f t="shared" si="53"/>
        <v>0.15</v>
      </c>
      <c r="AF43" s="1759">
        <f t="shared" si="53"/>
        <v>0</v>
      </c>
      <c r="AG43" s="1759">
        <f t="shared" si="53"/>
        <v>0</v>
      </c>
      <c r="AH43" s="1759">
        <f t="shared" si="53"/>
        <v>0.15</v>
      </c>
      <c r="AI43" s="1759">
        <f t="shared" si="53"/>
        <v>0.15</v>
      </c>
      <c r="AJ43" s="1759">
        <f t="shared" si="53"/>
        <v>0.15</v>
      </c>
      <c r="AK43" s="1763">
        <f t="shared" si="53"/>
        <v>0</v>
      </c>
      <c r="AL43" s="1759">
        <f t="shared" si="53"/>
        <v>0.15</v>
      </c>
      <c r="AM43" s="1759">
        <f t="shared" si="48"/>
        <v>0.15</v>
      </c>
      <c r="AN43" s="1760">
        <f>IF($AA$3=1,BE43,BV43)</f>
        <v>0.15</v>
      </c>
      <c r="AO43" s="1759">
        <f>IF($AA$3=1,BF43,BW43)</f>
        <v>0.15</v>
      </c>
      <c r="AP43" s="1759">
        <f>IF($AA$3=1,BG43,BX43)</f>
        <v>0.15</v>
      </c>
      <c r="AQ43" s="1620"/>
      <c r="AR43" s="1647">
        <v>3.3</v>
      </c>
      <c r="AS43" s="1693" t="s">
        <v>299</v>
      </c>
      <c r="AT43" s="1737" t="s">
        <v>683</v>
      </c>
      <c r="AU43" s="1623">
        <v>0.15</v>
      </c>
      <c r="AV43" s="1623">
        <v>0.15</v>
      </c>
      <c r="AW43" s="1623"/>
      <c r="AX43" s="1623"/>
      <c r="AY43" s="1623">
        <v>0.15</v>
      </c>
      <c r="AZ43" s="1623">
        <v>0.15</v>
      </c>
      <c r="BA43" s="1623">
        <v>0.15</v>
      </c>
      <c r="BB43" s="1714"/>
      <c r="BC43" s="1623">
        <v>0.15</v>
      </c>
      <c r="BD43" s="1623">
        <v>0.15</v>
      </c>
      <c r="BE43" s="1625">
        <v>0.15</v>
      </c>
      <c r="BF43" s="1623">
        <v>0.15</v>
      </c>
      <c r="BG43" s="1623">
        <v>0.15</v>
      </c>
      <c r="BI43" s="1647">
        <v>3.3</v>
      </c>
      <c r="BJ43" s="1693" t="s">
        <v>299</v>
      </c>
      <c r="BK43" s="1737" t="s">
        <v>683</v>
      </c>
      <c r="BL43" s="1623">
        <v>0.15</v>
      </c>
      <c r="BM43" s="1623">
        <v>0.15</v>
      </c>
      <c r="BN43" s="1623"/>
      <c r="BO43" s="1623"/>
      <c r="BP43" s="1623">
        <v>0.15</v>
      </c>
      <c r="BQ43" s="1623">
        <v>0.15</v>
      </c>
      <c r="BR43" s="1623">
        <v>0.15</v>
      </c>
      <c r="BS43" s="1714"/>
      <c r="BT43" s="1623">
        <v>0.15</v>
      </c>
      <c r="BU43" s="1623">
        <v>0.15</v>
      </c>
      <c r="BV43" s="1625">
        <v>0.15</v>
      </c>
      <c r="BW43" s="1623">
        <v>0.15</v>
      </c>
      <c r="BX43" s="1623">
        <v>0.15</v>
      </c>
    </row>
    <row r="44" spans="1:77" ht="13.5" hidden="1" customHeight="1">
      <c r="B44" s="1649" t="str">
        <f t="shared" si="31"/>
        <v>3.3.1</v>
      </c>
      <c r="C44" s="1650" t="str">
        <f t="shared" si="32"/>
        <v>照度</v>
      </c>
      <c r="D44" s="2065">
        <f>IF(I$43&gt;0,G44/I$43,0)</f>
        <v>0</v>
      </c>
      <c r="E44" s="2066">
        <f>IF(J$43&gt;0,H44/J$43,0)</f>
        <v>0</v>
      </c>
      <c r="G44" s="2066">
        <f t="shared" si="36"/>
        <v>0</v>
      </c>
      <c r="H44" s="2066">
        <f t="shared" si="36"/>
        <v>0</v>
      </c>
      <c r="I44" s="2066"/>
      <c r="J44" s="2066"/>
      <c r="K44" s="1652">
        <f>IF(スコア表示!X44=0,0,1)</f>
        <v>0</v>
      </c>
      <c r="L44" s="1652">
        <f>IF(スコア表示!AB44=0,0,1)</f>
        <v>0</v>
      </c>
      <c r="N44" s="1723">
        <f>IF(P$43&gt;0,R44/P$43,0)</f>
        <v>0</v>
      </c>
      <c r="O44" s="1723">
        <f>IF(Q$43&gt;0,S44/Q$43,0)</f>
        <v>0</v>
      </c>
      <c r="P44" s="1652"/>
      <c r="Q44" s="1652"/>
      <c r="R44" s="1652">
        <f>IF(スコア入力!R44="EB",重み_対象外!D44,U44)</f>
        <v>0</v>
      </c>
      <c r="S44" s="1652">
        <f>IF(スコア入力!Y44="EB",重み_対象外!E44,V44)</f>
        <v>0</v>
      </c>
      <c r="T44" s="1560"/>
      <c r="U44" s="1650">
        <f>X$34*X$43*X44</f>
        <v>0</v>
      </c>
      <c r="V44" s="1650">
        <f>Y$34*Y$43*Y44</f>
        <v>0</v>
      </c>
      <c r="W44" s="1560"/>
      <c r="X44" s="1652">
        <f t="shared" si="18"/>
        <v>0</v>
      </c>
      <c r="Y44" s="1652">
        <f t="shared" si="21"/>
        <v>0</v>
      </c>
      <c r="Z44" s="1571"/>
      <c r="AA44" s="1653" t="str">
        <f t="shared" si="37"/>
        <v>3.3.1</v>
      </c>
      <c r="AB44" s="1653" t="str">
        <f t="shared" si="38"/>
        <v xml:space="preserve"> Q1 3.3</v>
      </c>
      <c r="AC44" s="1653" t="str">
        <f t="shared" si="39"/>
        <v>照度</v>
      </c>
      <c r="AD44" s="1769">
        <f t="shared" si="40"/>
        <v>0</v>
      </c>
      <c r="AE44" s="1769">
        <f t="shared" si="41"/>
        <v>0</v>
      </c>
      <c r="AF44" s="1769">
        <f t="shared" si="42"/>
        <v>0</v>
      </c>
      <c r="AG44" s="1769">
        <f t="shared" si="43"/>
        <v>0</v>
      </c>
      <c r="AH44" s="1769">
        <f t="shared" si="44"/>
        <v>0</v>
      </c>
      <c r="AI44" s="1769">
        <f t="shared" si="45"/>
        <v>0</v>
      </c>
      <c r="AJ44" s="1769">
        <f t="shared" si="46"/>
        <v>0</v>
      </c>
      <c r="AK44" s="2104">
        <f t="shared" si="47"/>
        <v>0</v>
      </c>
      <c r="AL44" s="1769">
        <f t="shared" si="48"/>
        <v>0</v>
      </c>
      <c r="AM44" s="1769">
        <f t="shared" si="48"/>
        <v>0</v>
      </c>
      <c r="AN44" s="1656">
        <f t="shared" si="49"/>
        <v>0</v>
      </c>
      <c r="AO44" s="1769">
        <f t="shared" si="50"/>
        <v>0</v>
      </c>
      <c r="AP44" s="1769">
        <f>IF($AA$3=1,BG44,BX44)</f>
        <v>0</v>
      </c>
      <c r="AQ44" s="1632"/>
      <c r="AR44" s="2067" t="s">
        <v>1496</v>
      </c>
      <c r="AS44" s="2069" t="s">
        <v>307</v>
      </c>
      <c r="AT44" s="2070" t="s">
        <v>1498</v>
      </c>
      <c r="AU44" s="2074"/>
      <c r="AV44" s="2074"/>
      <c r="AW44" s="2074"/>
      <c r="AX44" s="2074"/>
      <c r="AY44" s="2074"/>
      <c r="AZ44" s="2074"/>
      <c r="BA44" s="2074"/>
      <c r="BB44" s="2075"/>
      <c r="BC44" s="2074"/>
      <c r="BD44" s="2074"/>
      <c r="BE44" s="2076"/>
      <c r="BF44" s="2074"/>
      <c r="BG44" s="2074"/>
      <c r="BI44" s="2067" t="s">
        <v>1496</v>
      </c>
      <c r="BJ44" s="2069" t="s">
        <v>307</v>
      </c>
      <c r="BK44" s="2070" t="s">
        <v>1498</v>
      </c>
      <c r="BL44" s="2074"/>
      <c r="BM44" s="2074"/>
      <c r="BN44" s="2074"/>
      <c r="BO44" s="2074"/>
      <c r="BP44" s="2074"/>
      <c r="BQ44" s="2074"/>
      <c r="BR44" s="2074"/>
      <c r="BS44" s="2075"/>
      <c r="BT44" s="2074"/>
      <c r="BU44" s="2074"/>
      <c r="BV44" s="2076"/>
      <c r="BW44" s="2074"/>
      <c r="BX44" s="2074"/>
    </row>
    <row r="45" spans="1:77" ht="13.5" hidden="1" customHeight="1">
      <c r="B45" s="1649" t="str">
        <f t="shared" si="31"/>
        <v>3.3.2</v>
      </c>
      <c r="C45" s="1650" t="str">
        <f t="shared" si="32"/>
        <v>照度均斉度</v>
      </c>
      <c r="D45" s="2065">
        <f>IF(I$43&gt;0,G45/I$43,0)</f>
        <v>0</v>
      </c>
      <c r="E45" s="2066">
        <f>IF(J$43&gt;0,H45/J$43,0)</f>
        <v>0</v>
      </c>
      <c r="G45" s="2066">
        <f t="shared" si="36"/>
        <v>0</v>
      </c>
      <c r="H45" s="2066">
        <f t="shared" si="36"/>
        <v>0</v>
      </c>
      <c r="I45" s="2066"/>
      <c r="J45" s="2066"/>
      <c r="K45" s="1652">
        <f>IF(スコア表示!X45=0,0,1)</f>
        <v>0</v>
      </c>
      <c r="L45" s="1652">
        <f>IF(スコア表示!AB45=0,0,1)</f>
        <v>0</v>
      </c>
      <c r="N45" s="1723">
        <f>IF(P$43&gt;0,R45/P$43,0)</f>
        <v>0</v>
      </c>
      <c r="O45" s="1723">
        <f>IF(Q$43&gt;0,S45/Q$43,0)</f>
        <v>0</v>
      </c>
      <c r="P45" s="1652"/>
      <c r="Q45" s="1652"/>
      <c r="R45" s="1652">
        <f>IF(スコア入力!R45="EB",重み_対象外!D45,U45)</f>
        <v>0</v>
      </c>
      <c r="S45" s="1652">
        <f>IF(スコア入力!Y45="EB",重み_対象外!E45,V45)</f>
        <v>0</v>
      </c>
      <c r="T45" s="1560"/>
      <c r="U45" s="1650">
        <f>X$34*X$43*X45</f>
        <v>0</v>
      </c>
      <c r="V45" s="1650">
        <f>Y$34*Y$43*Y45</f>
        <v>0</v>
      </c>
      <c r="W45" s="1560"/>
      <c r="X45" s="1652">
        <f t="shared" si="18"/>
        <v>0</v>
      </c>
      <c r="Y45" s="1652">
        <f t="shared" si="21"/>
        <v>0</v>
      </c>
      <c r="Z45" s="1571"/>
      <c r="AA45" s="1653" t="str">
        <f t="shared" si="37"/>
        <v>3.3.2</v>
      </c>
      <c r="AB45" s="1653" t="str">
        <f t="shared" si="38"/>
        <v xml:space="preserve"> Q1 3.3</v>
      </c>
      <c r="AC45" s="1653" t="str">
        <f t="shared" si="39"/>
        <v>照度均斉度</v>
      </c>
      <c r="AD45" s="1769">
        <f t="shared" si="40"/>
        <v>0</v>
      </c>
      <c r="AE45" s="1769">
        <f t="shared" si="41"/>
        <v>0</v>
      </c>
      <c r="AF45" s="1769">
        <f t="shared" si="42"/>
        <v>0</v>
      </c>
      <c r="AG45" s="1769">
        <f t="shared" si="43"/>
        <v>0</v>
      </c>
      <c r="AH45" s="1769">
        <f t="shared" si="44"/>
        <v>0</v>
      </c>
      <c r="AI45" s="1769">
        <f t="shared" si="45"/>
        <v>0</v>
      </c>
      <c r="AJ45" s="1769">
        <f t="shared" si="46"/>
        <v>0</v>
      </c>
      <c r="AK45" s="2104">
        <f t="shared" si="47"/>
        <v>0</v>
      </c>
      <c r="AL45" s="1769">
        <f t="shared" si="48"/>
        <v>0</v>
      </c>
      <c r="AM45" s="1769">
        <f t="shared" si="48"/>
        <v>0</v>
      </c>
      <c r="AN45" s="1656">
        <f t="shared" si="49"/>
        <v>0</v>
      </c>
      <c r="AO45" s="1769">
        <f t="shared" si="50"/>
        <v>0</v>
      </c>
      <c r="AP45" s="1769">
        <f t="shared" si="51"/>
        <v>0</v>
      </c>
      <c r="AQ45" s="1632"/>
      <c r="AR45" s="2067" t="s">
        <v>1499</v>
      </c>
      <c r="AS45" s="2069" t="s">
        <v>307</v>
      </c>
      <c r="AT45" s="2070" t="s">
        <v>1500</v>
      </c>
      <c r="AU45" s="2074"/>
      <c r="AV45" s="2074"/>
      <c r="AW45" s="2074"/>
      <c r="AX45" s="2074"/>
      <c r="AY45" s="2074"/>
      <c r="AZ45" s="2074"/>
      <c r="BA45" s="2074"/>
      <c r="BB45" s="2075"/>
      <c r="BC45" s="2074"/>
      <c r="BD45" s="2074"/>
      <c r="BE45" s="2076"/>
      <c r="BF45" s="2074"/>
      <c r="BG45" s="2074"/>
      <c r="BI45" s="2067" t="s">
        <v>1499</v>
      </c>
      <c r="BJ45" s="2069" t="s">
        <v>307</v>
      </c>
      <c r="BK45" s="2070" t="s">
        <v>1500</v>
      </c>
      <c r="BL45" s="2074"/>
      <c r="BM45" s="2074"/>
      <c r="BN45" s="2074"/>
      <c r="BO45" s="2074"/>
      <c r="BP45" s="2074"/>
      <c r="BQ45" s="2074"/>
      <c r="BR45" s="2074"/>
      <c r="BS45" s="2075"/>
      <c r="BT45" s="2074"/>
      <c r="BU45" s="2074"/>
      <c r="BV45" s="2076"/>
      <c r="BW45" s="2074"/>
      <c r="BX45" s="2074"/>
    </row>
    <row r="46" spans="1:77" ht="13.5" customHeight="1">
      <c r="B46" s="1621">
        <f t="shared" si="31"/>
        <v>3.4</v>
      </c>
      <c r="C46" s="1630" t="str">
        <f t="shared" si="32"/>
        <v>照明制御</v>
      </c>
      <c r="D46" s="1716">
        <f>IF(I$34=0,0,G46/I$34)</f>
        <v>0.34685165421558162</v>
      </c>
      <c r="E46" s="1691">
        <f>IF(J$34=0,0,H46/J$34)</f>
        <v>0</v>
      </c>
      <c r="G46" s="1691">
        <f t="shared" si="36"/>
        <v>0.34685165421558167</v>
      </c>
      <c r="H46" s="1691">
        <f t="shared" si="36"/>
        <v>0</v>
      </c>
      <c r="I46" s="1691"/>
      <c r="J46" s="1691"/>
      <c r="K46" s="1616">
        <f>IF(スコア表示!X46=0,0,1)</f>
        <v>1</v>
      </c>
      <c r="L46" s="1616">
        <f>IF(スコア表示!AB46=0,0,1)</f>
        <v>1</v>
      </c>
      <c r="N46" s="1713">
        <f>IF(P$34=0,0,R46/P$34)</f>
        <v>0.34685165421558167</v>
      </c>
      <c r="O46" s="1713">
        <f>IF(Q$34=0,0,S46/Q$34)</f>
        <v>0</v>
      </c>
      <c r="P46" s="1616"/>
      <c r="Q46" s="1616"/>
      <c r="R46" s="1616">
        <f>IF(スコア入力!R46="EB",重み_対象外!D46,U46)</f>
        <v>8.1249999999999989E-2</v>
      </c>
      <c r="S46" s="1616">
        <f>IF(スコア入力!Y46="EB",重み_対象外!E46,V46)</f>
        <v>0</v>
      </c>
      <c r="T46" s="1560"/>
      <c r="U46" s="1614">
        <f>X$34*X46</f>
        <v>8.1249999999999989E-2</v>
      </c>
      <c r="V46" s="1614">
        <f>Y$34*Y46</f>
        <v>0</v>
      </c>
      <c r="W46" s="1560"/>
      <c r="X46" s="1616">
        <f>SUMPRODUCT($AD$7:$AM$7,AD46:AM46)</f>
        <v>0.32499999999999996</v>
      </c>
      <c r="Y46" s="1616">
        <f>(AN$7*AN46)+(AO$7*AO46)+(AP$7*AP46)</f>
        <v>0</v>
      </c>
      <c r="Z46" s="1571"/>
      <c r="AA46" s="1613">
        <f>IF($AA$3=1,AR46,BI46)</f>
        <v>3.4</v>
      </c>
      <c r="AB46" s="1613" t="str">
        <f t="shared" si="38"/>
        <v xml:space="preserve"> Q1 3</v>
      </c>
      <c r="AC46" s="1613" t="str">
        <f t="shared" ref="AC46:AL46" si="54">IF($AA$3=1,AT46,BK46)</f>
        <v>照明制御</v>
      </c>
      <c r="AD46" s="1759">
        <f t="shared" si="54"/>
        <v>0.25</v>
      </c>
      <c r="AE46" s="1759">
        <f t="shared" si="54"/>
        <v>0.25</v>
      </c>
      <c r="AF46" s="1759">
        <f t="shared" si="54"/>
        <v>0.5</v>
      </c>
      <c r="AG46" s="1759">
        <f t="shared" si="54"/>
        <v>0</v>
      </c>
      <c r="AH46" s="1759">
        <f t="shared" si="54"/>
        <v>0.25</v>
      </c>
      <c r="AI46" s="1759">
        <f t="shared" si="54"/>
        <v>0.25</v>
      </c>
      <c r="AJ46" s="1759">
        <f t="shared" si="54"/>
        <v>0.25</v>
      </c>
      <c r="AK46" s="1763">
        <f t="shared" si="54"/>
        <v>0</v>
      </c>
      <c r="AL46" s="1759">
        <f t="shared" si="54"/>
        <v>0.25</v>
      </c>
      <c r="AM46" s="1759">
        <f t="shared" si="48"/>
        <v>0.25</v>
      </c>
      <c r="AN46" s="1619">
        <f>IF($AA$3=1,BE46,BV46)</f>
        <v>0.25</v>
      </c>
      <c r="AO46" s="1759">
        <f>IF($AA$3=1,BF46,BW46)</f>
        <v>0.25</v>
      </c>
      <c r="AP46" s="1759">
        <f>IF($AA$3=1,BG46,BX46)</f>
        <v>0.25</v>
      </c>
      <c r="AQ46" s="1620"/>
      <c r="AR46" s="1647">
        <v>3.4</v>
      </c>
      <c r="AS46" s="1693" t="s">
        <v>299</v>
      </c>
      <c r="AT46" s="1737" t="s">
        <v>684</v>
      </c>
      <c r="AU46" s="1623">
        <v>0.25</v>
      </c>
      <c r="AV46" s="1623">
        <v>0.25</v>
      </c>
      <c r="AW46" s="1623">
        <v>0.5</v>
      </c>
      <c r="AX46" s="1623"/>
      <c r="AY46" s="1623">
        <v>0.25</v>
      </c>
      <c r="AZ46" s="1623">
        <v>0.25</v>
      </c>
      <c r="BA46" s="1623">
        <v>0.25</v>
      </c>
      <c r="BB46" s="1714"/>
      <c r="BC46" s="1623">
        <v>0.25</v>
      </c>
      <c r="BD46" s="1623">
        <v>0.25</v>
      </c>
      <c r="BE46" s="1625">
        <v>0.25</v>
      </c>
      <c r="BF46" s="1623">
        <v>0.25</v>
      </c>
      <c r="BG46" s="1623">
        <v>0.25</v>
      </c>
      <c r="BI46" s="1647">
        <v>3.4</v>
      </c>
      <c r="BJ46" s="1693" t="s">
        <v>299</v>
      </c>
      <c r="BK46" s="1737" t="s">
        <v>684</v>
      </c>
      <c r="BL46" s="1623">
        <v>0.25</v>
      </c>
      <c r="BM46" s="1623">
        <v>0.25</v>
      </c>
      <c r="BN46" s="1623">
        <v>0.5</v>
      </c>
      <c r="BO46" s="1623"/>
      <c r="BP46" s="1623">
        <v>0.25</v>
      </c>
      <c r="BQ46" s="1623">
        <v>0.25</v>
      </c>
      <c r="BR46" s="1623">
        <v>0.25</v>
      </c>
      <c r="BS46" s="1714"/>
      <c r="BT46" s="1623">
        <v>0.25</v>
      </c>
      <c r="BU46" s="1623">
        <v>0.25</v>
      </c>
      <c r="BV46" s="1625">
        <v>0.25</v>
      </c>
      <c r="BW46" s="1623">
        <v>0.25</v>
      </c>
      <c r="BX46" s="1623">
        <v>0.25</v>
      </c>
    </row>
    <row r="47" spans="1:77" s="1605" customFormat="1" ht="13.5" customHeight="1">
      <c r="A47"/>
      <c r="B47" s="1627">
        <f t="shared" si="31"/>
        <v>4</v>
      </c>
      <c r="C47" s="1628" t="str">
        <f t="shared" si="32"/>
        <v>空気質環境</v>
      </c>
      <c r="D47" s="2062">
        <f>IF(I$9=0,0,G47/I$9)</f>
        <v>0.25400050800101603</v>
      </c>
      <c r="E47" s="1743">
        <f>IF(J$9=0,0,H47/J$9)</f>
        <v>0</v>
      </c>
      <c r="F47"/>
      <c r="G47" s="1743">
        <f t="shared" si="36"/>
        <v>0.25400050800101603</v>
      </c>
      <c r="H47" s="1743">
        <f t="shared" si="36"/>
        <v>0</v>
      </c>
      <c r="I47" s="1743">
        <f>G48+G53+G58</f>
        <v>0.99999999999999989</v>
      </c>
      <c r="J47" s="1743">
        <f>H48+H53+H58</f>
        <v>0</v>
      </c>
      <c r="K47" s="2447">
        <f>IF(L47&gt;0,1,IF(スコア表示!X47=0,0,1))</f>
        <v>1</v>
      </c>
      <c r="L47" s="1609">
        <f>IF(スコア表示!AB47=0,0,1)</f>
        <v>0</v>
      </c>
      <c r="M47"/>
      <c r="N47" s="1707">
        <f>IF(P$9=0,0,R47/P$9)</f>
        <v>0.25400050800101603</v>
      </c>
      <c r="O47" s="1707">
        <f>IF(Q$9=0,0,S47/Q$9)</f>
        <v>0</v>
      </c>
      <c r="P47" s="1710">
        <f>SUM(R48:R60)</f>
        <v>0.22916666666666666</v>
      </c>
      <c r="Q47" s="1710">
        <f>SUM(S48:S60)</f>
        <v>0</v>
      </c>
      <c r="R47" s="1609">
        <f>IF(スコア入力!R47="EB",重み_対象外!D47,U47)</f>
        <v>0.25</v>
      </c>
      <c r="S47" s="1609">
        <f>IF(スコア入力!Y47="EB",重み_対象外!E47,V47)</f>
        <v>0</v>
      </c>
      <c r="T47" s="1560"/>
      <c r="U47" s="1607">
        <f>SUM(U48:U60)</f>
        <v>0.25</v>
      </c>
      <c r="V47" s="1607">
        <f>SUM(V48:V60)</f>
        <v>0</v>
      </c>
      <c r="W47" s="1560"/>
      <c r="X47" s="1609">
        <f t="shared" si="18"/>
        <v>0.25</v>
      </c>
      <c r="Y47" s="1609">
        <v>1</v>
      </c>
      <c r="Z47" s="1601"/>
      <c r="AA47" s="1606">
        <f t="shared" si="37"/>
        <v>4</v>
      </c>
      <c r="AB47" s="1606" t="str">
        <f t="shared" si="38"/>
        <v xml:space="preserve"> Q1</v>
      </c>
      <c r="AC47" s="1606" t="str">
        <f t="shared" si="39"/>
        <v>空気質環境</v>
      </c>
      <c r="AD47" s="1756">
        <f t="shared" si="40"/>
        <v>0.25</v>
      </c>
      <c r="AE47" s="1756">
        <f t="shared" si="41"/>
        <v>0.25</v>
      </c>
      <c r="AF47" s="1756">
        <f t="shared" si="42"/>
        <v>0.25</v>
      </c>
      <c r="AG47" s="1756">
        <f t="shared" si="43"/>
        <v>0.25</v>
      </c>
      <c r="AH47" s="1756">
        <f t="shared" si="44"/>
        <v>0.25</v>
      </c>
      <c r="AI47" s="1756">
        <f t="shared" si="45"/>
        <v>0.25</v>
      </c>
      <c r="AJ47" s="1756">
        <f t="shared" si="46"/>
        <v>0.25</v>
      </c>
      <c r="AK47" s="1762">
        <f t="shared" si="47"/>
        <v>0.33</v>
      </c>
      <c r="AL47" s="1756">
        <f t="shared" si="48"/>
        <v>0.25</v>
      </c>
      <c r="AM47" s="1756">
        <f t="shared" si="48"/>
        <v>0.25</v>
      </c>
      <c r="AN47" s="1758">
        <f t="shared" si="49"/>
        <v>0</v>
      </c>
      <c r="AO47" s="1756">
        <f t="shared" si="50"/>
        <v>0</v>
      </c>
      <c r="AP47" s="1756">
        <f t="shared" si="51"/>
        <v>0</v>
      </c>
      <c r="AQ47" s="1612"/>
      <c r="AR47" s="1641">
        <v>4</v>
      </c>
      <c r="AS47" s="1744" t="s">
        <v>277</v>
      </c>
      <c r="AT47" s="1787" t="s">
        <v>1193</v>
      </c>
      <c r="AU47" s="1634">
        <v>0.25</v>
      </c>
      <c r="AV47" s="1634">
        <v>0.25</v>
      </c>
      <c r="AW47" s="1634">
        <v>0.25</v>
      </c>
      <c r="AX47" s="1634">
        <v>0.25</v>
      </c>
      <c r="AY47" s="1634">
        <v>0.25</v>
      </c>
      <c r="AZ47" s="1634">
        <v>0.25</v>
      </c>
      <c r="BA47" s="1634">
        <v>0.25</v>
      </c>
      <c r="BB47" s="1635">
        <v>0.33</v>
      </c>
      <c r="BC47" s="1634">
        <v>0.25</v>
      </c>
      <c r="BD47" s="1634">
        <v>0.25</v>
      </c>
      <c r="BE47" s="2077"/>
      <c r="BF47" s="1634"/>
      <c r="BG47" s="1634"/>
      <c r="BH47"/>
      <c r="BI47" s="1641">
        <v>4</v>
      </c>
      <c r="BJ47" s="1744" t="s">
        <v>277</v>
      </c>
      <c r="BK47" s="1787" t="s">
        <v>1193</v>
      </c>
      <c r="BL47" s="1634">
        <v>0.25</v>
      </c>
      <c r="BM47" s="1634">
        <v>0.25</v>
      </c>
      <c r="BN47" s="1634">
        <v>0.25</v>
      </c>
      <c r="BO47" s="1634">
        <v>0.25</v>
      </c>
      <c r="BP47" s="1634">
        <v>0.25</v>
      </c>
      <c r="BQ47" s="1634">
        <v>0.25</v>
      </c>
      <c r="BR47" s="1634">
        <v>0.25</v>
      </c>
      <c r="BS47" s="1635">
        <v>0.33</v>
      </c>
      <c r="BT47" s="1634">
        <v>0.25</v>
      </c>
      <c r="BU47" s="1634">
        <v>0.25</v>
      </c>
      <c r="BV47" s="2077"/>
      <c r="BW47" s="1634"/>
      <c r="BX47" s="1634"/>
      <c r="BY47"/>
    </row>
    <row r="48" spans="1:77" ht="13.5" customHeight="1">
      <c r="B48" s="1613">
        <f t="shared" si="31"/>
        <v>4.0999999999999996</v>
      </c>
      <c r="C48" s="1630" t="str">
        <f t="shared" si="32"/>
        <v>発生源対策</v>
      </c>
      <c r="D48" s="1716">
        <f>IF(I$47=0,0,G48/I$47)</f>
        <v>0.45454545454545459</v>
      </c>
      <c r="E48" s="1691">
        <f>IF(J$47=0,0,H48/J$47)</f>
        <v>0</v>
      </c>
      <c r="G48" s="1691">
        <f t="shared" si="36"/>
        <v>0.45454545454545453</v>
      </c>
      <c r="H48" s="1691">
        <f t="shared" si="36"/>
        <v>0</v>
      </c>
      <c r="I48" s="1691">
        <f>SUM(G49:G52)</f>
        <v>0.4</v>
      </c>
      <c r="J48" s="1691">
        <f>SUM(H49:H52)</f>
        <v>0</v>
      </c>
      <c r="K48" s="1616">
        <f>IF(スコア表示!X48=0,0,1)</f>
        <v>1</v>
      </c>
      <c r="L48" s="1616">
        <f>IF(スコア表示!AB48=0,0,1)</f>
        <v>0</v>
      </c>
      <c r="N48" s="1713">
        <f>IF(P$47=0,0,P48/P$47)</f>
        <v>0.45454545454545453</v>
      </c>
      <c r="O48" s="1713">
        <f>IF(Q$47=0,0,Q48/Q$47)</f>
        <v>0</v>
      </c>
      <c r="P48" s="1616">
        <f>SUM(R49:R52)</f>
        <v>0.10416666666666666</v>
      </c>
      <c r="Q48" s="1616">
        <f>SUM(S49:S52)</f>
        <v>0</v>
      </c>
      <c r="R48" s="1616">
        <f>IF(スコア入力!R48="EB",重み_対象外!D48,U48)</f>
        <v>0</v>
      </c>
      <c r="S48" s="1616">
        <f>IF(スコア入力!Y48="EB",重み_対象外!E48,V48)</f>
        <v>0</v>
      </c>
      <c r="T48" s="1560"/>
      <c r="U48" s="1614"/>
      <c r="V48" s="1614"/>
      <c r="W48" s="1560"/>
      <c r="X48" s="1616">
        <f t="shared" si="18"/>
        <v>0.5</v>
      </c>
      <c r="Y48" s="1616">
        <f t="shared" si="21"/>
        <v>0</v>
      </c>
      <c r="Z48" s="1571"/>
      <c r="AA48" s="1613">
        <f t="shared" si="37"/>
        <v>4.0999999999999996</v>
      </c>
      <c r="AB48" s="1613" t="str">
        <f t="shared" si="38"/>
        <v xml:space="preserve"> Q1 4</v>
      </c>
      <c r="AC48" s="1613" t="str">
        <f t="shared" si="39"/>
        <v>発生源対策</v>
      </c>
      <c r="AD48" s="1759">
        <f t="shared" si="40"/>
        <v>0.5</v>
      </c>
      <c r="AE48" s="1759">
        <f t="shared" si="41"/>
        <v>0.5</v>
      </c>
      <c r="AF48" s="1759">
        <f t="shared" si="42"/>
        <v>0.5</v>
      </c>
      <c r="AG48" s="1759">
        <f t="shared" si="43"/>
        <v>0.5</v>
      </c>
      <c r="AH48" s="1759">
        <f t="shared" si="44"/>
        <v>0.5</v>
      </c>
      <c r="AI48" s="1759">
        <f t="shared" si="45"/>
        <v>0.5</v>
      </c>
      <c r="AJ48" s="1759">
        <f t="shared" si="46"/>
        <v>0.6</v>
      </c>
      <c r="AK48" s="1761">
        <f t="shared" si="47"/>
        <v>0.5</v>
      </c>
      <c r="AL48" s="1759">
        <f t="shared" si="48"/>
        <v>0.5</v>
      </c>
      <c r="AM48" s="1759">
        <f t="shared" si="48"/>
        <v>0.5</v>
      </c>
      <c r="AN48" s="1760">
        <f t="shared" si="49"/>
        <v>0.625</v>
      </c>
      <c r="AO48" s="1759">
        <f t="shared" si="50"/>
        <v>0.625</v>
      </c>
      <c r="AP48" s="1759">
        <f t="shared" si="51"/>
        <v>0.625</v>
      </c>
      <c r="AQ48" s="1620"/>
      <c r="AR48" s="1647">
        <v>4.0999999999999996</v>
      </c>
      <c r="AS48" s="1693" t="s">
        <v>308</v>
      </c>
      <c r="AT48" s="1737" t="s">
        <v>686</v>
      </c>
      <c r="AU48" s="1636">
        <v>0.5</v>
      </c>
      <c r="AV48" s="1636">
        <v>0.5</v>
      </c>
      <c r="AW48" s="1636">
        <v>0.5</v>
      </c>
      <c r="AX48" s="1636">
        <v>0.5</v>
      </c>
      <c r="AY48" s="1636">
        <v>0.5</v>
      </c>
      <c r="AZ48" s="1636">
        <v>0.5</v>
      </c>
      <c r="BA48" s="1636">
        <v>0.6</v>
      </c>
      <c r="BB48" s="1637">
        <v>0.5</v>
      </c>
      <c r="BC48" s="1636">
        <v>0.5</v>
      </c>
      <c r="BD48" s="1636">
        <v>0.5</v>
      </c>
      <c r="BE48" s="1638">
        <v>0.625</v>
      </c>
      <c r="BF48" s="1636">
        <v>0.625</v>
      </c>
      <c r="BG48" s="1636">
        <v>0.625</v>
      </c>
      <c r="BI48" s="1647">
        <v>4.0999999999999996</v>
      </c>
      <c r="BJ48" s="1693" t="s">
        <v>308</v>
      </c>
      <c r="BK48" s="1737" t="s">
        <v>686</v>
      </c>
      <c r="BL48" s="1636">
        <v>0.5</v>
      </c>
      <c r="BM48" s="1636">
        <v>0.5</v>
      </c>
      <c r="BN48" s="1636">
        <v>0.5</v>
      </c>
      <c r="BO48" s="1636">
        <v>0.5</v>
      </c>
      <c r="BP48" s="1636">
        <v>0.5</v>
      </c>
      <c r="BQ48" s="1636">
        <v>0.5</v>
      </c>
      <c r="BR48" s="1636">
        <v>0.6</v>
      </c>
      <c r="BS48" s="1637">
        <v>0.5</v>
      </c>
      <c r="BT48" s="1636">
        <v>0.5</v>
      </c>
      <c r="BU48" s="1636">
        <v>0.5</v>
      </c>
      <c r="BV48" s="1638">
        <v>0.625</v>
      </c>
      <c r="BW48" s="1636">
        <v>0.625</v>
      </c>
      <c r="BX48" s="1636">
        <v>0.625</v>
      </c>
    </row>
    <row r="49" spans="1:77" ht="13.5" customHeight="1">
      <c r="B49" s="1621" t="str">
        <f t="shared" si="31"/>
        <v>4.1.1</v>
      </c>
      <c r="C49" s="1614" t="str">
        <f t="shared" si="32"/>
        <v xml:space="preserve"> 化学汚染物質</v>
      </c>
      <c r="D49" s="1721">
        <f t="shared" ref="D49:E52" si="55">IF(I$48&gt;0,G49/I$48,0)</f>
        <v>1</v>
      </c>
      <c r="E49" s="1691">
        <f t="shared" si="55"/>
        <v>0</v>
      </c>
      <c r="G49" s="1691">
        <f t="shared" si="36"/>
        <v>0.4</v>
      </c>
      <c r="H49" s="1691">
        <f t="shared" si="36"/>
        <v>0</v>
      </c>
      <c r="I49" s="1691"/>
      <c r="J49" s="1691"/>
      <c r="K49" s="1616">
        <f>IF(スコア表示!X49=0,0,1)</f>
        <v>1</v>
      </c>
      <c r="L49" s="1616">
        <f>IF(スコア表示!AB49=0,0,1)</f>
        <v>1</v>
      </c>
      <c r="N49" s="1708">
        <f t="shared" ref="N49:O52" si="56">IF(P$48&gt;0,R49/P$48,0)</f>
        <v>0.4</v>
      </c>
      <c r="O49" s="1708">
        <f t="shared" si="56"/>
        <v>0</v>
      </c>
      <c r="P49" s="1616"/>
      <c r="Q49" s="1616"/>
      <c r="R49" s="1616">
        <f>IF(スコア入力!R49="EB",重み_対象外!D49,U49)</f>
        <v>4.1666666666666664E-2</v>
      </c>
      <c r="S49" s="1616">
        <f>IF(スコア入力!Y49="EB",重み_対象外!E49,V49)</f>
        <v>0</v>
      </c>
      <c r="T49" s="1560"/>
      <c r="U49" s="1614">
        <f t="shared" ref="U49:V52" si="57">X$47*X$48*X49</f>
        <v>4.1666666666666664E-2</v>
      </c>
      <c r="V49" s="1614">
        <f t="shared" si="57"/>
        <v>0</v>
      </c>
      <c r="W49" s="1560"/>
      <c r="X49" s="1616">
        <f t="shared" si="18"/>
        <v>0.33333333333333331</v>
      </c>
      <c r="Y49" s="1616">
        <f t="shared" si="21"/>
        <v>0</v>
      </c>
      <c r="Z49" s="1571"/>
      <c r="AA49" s="1613" t="str">
        <f t="shared" si="37"/>
        <v>4.1.1</v>
      </c>
      <c r="AB49" s="1613" t="str">
        <f t="shared" si="38"/>
        <v xml:space="preserve"> Q1 4.1</v>
      </c>
      <c r="AC49" s="1613" t="str">
        <f t="shared" si="39"/>
        <v xml:space="preserve"> 化学汚染物質</v>
      </c>
      <c r="AD49" s="1759">
        <f t="shared" si="40"/>
        <v>0.33333333333333331</v>
      </c>
      <c r="AE49" s="1759">
        <f t="shared" si="41"/>
        <v>0.33333333333333331</v>
      </c>
      <c r="AF49" s="1759">
        <f t="shared" si="42"/>
        <v>0.33333333333333331</v>
      </c>
      <c r="AG49" s="1759">
        <f t="shared" si="43"/>
        <v>0.33333333333333331</v>
      </c>
      <c r="AH49" s="1759">
        <f t="shared" si="44"/>
        <v>0.33333333333333331</v>
      </c>
      <c r="AI49" s="1759">
        <f t="shared" si="45"/>
        <v>0.5</v>
      </c>
      <c r="AJ49" s="1759">
        <f t="shared" si="46"/>
        <v>0.5</v>
      </c>
      <c r="AK49" s="1761">
        <f t="shared" si="47"/>
        <v>0.33333333333333331</v>
      </c>
      <c r="AL49" s="1759">
        <f t="shared" si="48"/>
        <v>0.33333333333333331</v>
      </c>
      <c r="AM49" s="1759">
        <f t="shared" si="48"/>
        <v>0.33333333333333331</v>
      </c>
      <c r="AN49" s="1760">
        <f t="shared" si="49"/>
        <v>0.33333333333333331</v>
      </c>
      <c r="AO49" s="1759">
        <f t="shared" si="50"/>
        <v>0.33333333333333331</v>
      </c>
      <c r="AP49" s="1759">
        <f t="shared" si="51"/>
        <v>0.33333333333333331</v>
      </c>
      <c r="AQ49" s="1632"/>
      <c r="AR49" s="1647" t="s">
        <v>1501</v>
      </c>
      <c r="AS49" s="1693" t="s">
        <v>309</v>
      </c>
      <c r="AT49" s="2064" t="s">
        <v>310</v>
      </c>
      <c r="AU49" s="1636">
        <v>0.33333333333333331</v>
      </c>
      <c r="AV49" s="1636">
        <v>0.33333333333333331</v>
      </c>
      <c r="AW49" s="1636">
        <v>0.33333333333333331</v>
      </c>
      <c r="AX49" s="1636">
        <v>0.33333333333333331</v>
      </c>
      <c r="AY49" s="1636">
        <v>0.33333333333333331</v>
      </c>
      <c r="AZ49" s="1636">
        <v>0.5</v>
      </c>
      <c r="BA49" s="1636">
        <v>0.5</v>
      </c>
      <c r="BB49" s="1636">
        <v>0.33333333333333331</v>
      </c>
      <c r="BC49" s="1636">
        <v>0.33333333333333331</v>
      </c>
      <c r="BD49" s="1636">
        <v>0.33333333333333331</v>
      </c>
      <c r="BE49" s="1636">
        <v>0.33333333333333331</v>
      </c>
      <c r="BF49" s="1636">
        <v>0.33333333333333331</v>
      </c>
      <c r="BG49" s="1636">
        <v>0.33333333333333331</v>
      </c>
      <c r="BI49" s="1647" t="s">
        <v>1501</v>
      </c>
      <c r="BJ49" s="1693" t="s">
        <v>309</v>
      </c>
      <c r="BK49" s="2064" t="s">
        <v>310</v>
      </c>
      <c r="BL49" s="1636">
        <v>0.33333333333333331</v>
      </c>
      <c r="BM49" s="1636">
        <v>0.33333333333333331</v>
      </c>
      <c r="BN49" s="1636">
        <v>0.33333333333333331</v>
      </c>
      <c r="BO49" s="1636">
        <v>0.33333333333333331</v>
      </c>
      <c r="BP49" s="1636">
        <v>0.33333333333333331</v>
      </c>
      <c r="BQ49" s="1636">
        <v>0.5</v>
      </c>
      <c r="BR49" s="1636">
        <v>0.5</v>
      </c>
      <c r="BS49" s="1636">
        <v>0.33333333333333331</v>
      </c>
      <c r="BT49" s="1636">
        <v>0.33333333333333331</v>
      </c>
      <c r="BU49" s="1636">
        <v>0.33333333333333331</v>
      </c>
      <c r="BV49" s="1636">
        <v>0.33333333333333331</v>
      </c>
      <c r="BW49" s="1636">
        <v>0.33333333333333331</v>
      </c>
      <c r="BX49" s="1636">
        <v>0.33333333333333331</v>
      </c>
    </row>
    <row r="50" spans="1:77" ht="13.5" customHeight="1">
      <c r="B50" s="1621" t="str">
        <f t="shared" si="31"/>
        <v>4.1.2</v>
      </c>
      <c r="C50" s="1614" t="str">
        <f t="shared" si="32"/>
        <v xml:space="preserve"> アスベスト対策</v>
      </c>
      <c r="D50" s="1721">
        <f t="shared" si="55"/>
        <v>0</v>
      </c>
      <c r="E50" s="1691">
        <f t="shared" si="55"/>
        <v>0</v>
      </c>
      <c r="G50" s="1691">
        <f t="shared" si="36"/>
        <v>0</v>
      </c>
      <c r="H50" s="1691">
        <f t="shared" si="36"/>
        <v>0</v>
      </c>
      <c r="I50" s="1691"/>
      <c r="J50" s="1691"/>
      <c r="K50" s="1616">
        <f>IF(スコア表示!X50=0,0,1)</f>
        <v>1</v>
      </c>
      <c r="L50" s="1616">
        <f>IF(スコア表示!AB50=0,0,1)</f>
        <v>1</v>
      </c>
      <c r="N50" s="1708">
        <f t="shared" si="56"/>
        <v>0</v>
      </c>
      <c r="O50" s="1708">
        <f t="shared" si="56"/>
        <v>0</v>
      </c>
      <c r="P50" s="1616"/>
      <c r="Q50" s="1616"/>
      <c r="R50" s="1616">
        <f>IF(スコア入力!R50="EB",重み_対象外!D50,U50)</f>
        <v>0</v>
      </c>
      <c r="S50" s="1616">
        <f>IF(スコア入力!Y50="EB",重み_対象外!E50,V50)</f>
        <v>0</v>
      </c>
      <c r="T50" s="1560"/>
      <c r="U50" s="1614">
        <f t="shared" si="57"/>
        <v>0</v>
      </c>
      <c r="V50" s="1614">
        <f t="shared" si="57"/>
        <v>0</v>
      </c>
      <c r="W50" s="1560"/>
      <c r="X50" s="1616">
        <f t="shared" si="18"/>
        <v>0</v>
      </c>
      <c r="Y50" s="1616">
        <f t="shared" si="21"/>
        <v>0</v>
      </c>
      <c r="Z50" s="1571"/>
      <c r="AA50" s="1613" t="str">
        <f t="shared" si="37"/>
        <v>4.1.2</v>
      </c>
      <c r="AB50" s="1613" t="str">
        <f t="shared" si="38"/>
        <v xml:space="preserve"> Q1 4.1</v>
      </c>
      <c r="AC50" s="1613" t="str">
        <f t="shared" si="39"/>
        <v xml:space="preserve"> アスベスト対策</v>
      </c>
      <c r="AD50" s="1759">
        <f t="shared" si="40"/>
        <v>0</v>
      </c>
      <c r="AE50" s="1759">
        <f t="shared" si="41"/>
        <v>0</v>
      </c>
      <c r="AF50" s="1759">
        <f t="shared" si="42"/>
        <v>0</v>
      </c>
      <c r="AG50" s="1759">
        <f t="shared" si="43"/>
        <v>0</v>
      </c>
      <c r="AH50" s="1759">
        <f t="shared" si="44"/>
        <v>0</v>
      </c>
      <c r="AI50" s="1759">
        <f t="shared" si="45"/>
        <v>0</v>
      </c>
      <c r="AJ50" s="1759">
        <f t="shared" si="46"/>
        <v>0</v>
      </c>
      <c r="AK50" s="1761">
        <f t="shared" si="47"/>
        <v>0</v>
      </c>
      <c r="AL50" s="1759">
        <f t="shared" si="48"/>
        <v>0</v>
      </c>
      <c r="AM50" s="1759">
        <f t="shared" si="48"/>
        <v>0</v>
      </c>
      <c r="AN50" s="1760">
        <f t="shared" si="49"/>
        <v>0</v>
      </c>
      <c r="AO50" s="1759">
        <f t="shared" si="50"/>
        <v>0</v>
      </c>
      <c r="AP50" s="1759">
        <f t="shared" si="51"/>
        <v>0</v>
      </c>
      <c r="AQ50" s="1632"/>
      <c r="AR50" s="2067" t="s">
        <v>1502</v>
      </c>
      <c r="AS50" s="2069" t="s">
        <v>309</v>
      </c>
      <c r="AT50" s="2070" t="s">
        <v>1503</v>
      </c>
      <c r="AU50" s="2074"/>
      <c r="AV50" s="2074"/>
      <c r="AW50" s="2074"/>
      <c r="AX50" s="2074"/>
      <c r="AY50" s="2074"/>
      <c r="AZ50" s="2074"/>
      <c r="BA50" s="2074"/>
      <c r="BB50" s="2075"/>
      <c r="BC50" s="2074"/>
      <c r="BD50" s="2074"/>
      <c r="BE50" s="2076"/>
      <c r="BF50" s="2074"/>
      <c r="BG50" s="2074"/>
      <c r="BI50" s="2067" t="s">
        <v>1502</v>
      </c>
      <c r="BJ50" s="2069" t="s">
        <v>309</v>
      </c>
      <c r="BK50" s="2070" t="s">
        <v>1503</v>
      </c>
      <c r="BL50" s="2074"/>
      <c r="BM50" s="2074"/>
      <c r="BN50" s="2074"/>
      <c r="BO50" s="2074"/>
      <c r="BP50" s="2074"/>
      <c r="BQ50" s="2074"/>
      <c r="BR50" s="2074"/>
      <c r="BS50" s="2075"/>
      <c r="BT50" s="2074"/>
      <c r="BU50" s="2074"/>
      <c r="BV50" s="2076"/>
      <c r="BW50" s="2074"/>
      <c r="BX50" s="2074"/>
    </row>
    <row r="51" spans="1:77" ht="13.5" hidden="1" customHeight="1">
      <c r="B51" s="1649" t="str">
        <f t="shared" si="31"/>
        <v>4.1.3</v>
      </c>
      <c r="C51" s="1650" t="str">
        <f t="shared" si="32"/>
        <v xml:space="preserve"> ダニ・カビ等</v>
      </c>
      <c r="D51" s="1721">
        <f t="shared" si="55"/>
        <v>0</v>
      </c>
      <c r="E51" s="1691">
        <f t="shared" si="55"/>
        <v>0</v>
      </c>
      <c r="G51" s="1691">
        <f t="shared" si="36"/>
        <v>0</v>
      </c>
      <c r="H51" s="1691">
        <f t="shared" si="36"/>
        <v>0</v>
      </c>
      <c r="I51" s="1691"/>
      <c r="J51" s="1691"/>
      <c r="K51" s="1616">
        <f>IF(スコア表示!X51=0,0,1)</f>
        <v>0</v>
      </c>
      <c r="L51" s="1616">
        <f>IF(スコア表示!AB51=0,0,1)</f>
        <v>0</v>
      </c>
      <c r="N51" s="1708">
        <f t="shared" si="56"/>
        <v>0.30000000000000004</v>
      </c>
      <c r="O51" s="1708">
        <f t="shared" si="56"/>
        <v>0</v>
      </c>
      <c r="P51" s="1616"/>
      <c r="Q51" s="1616"/>
      <c r="R51" s="1616">
        <f>IF(スコア入力!R51="EB",重み_対象外!D51,U51)</f>
        <v>3.125E-2</v>
      </c>
      <c r="S51" s="1616">
        <f>IF(スコア入力!Y51="EB",重み_対象外!E51,V51)</f>
        <v>0</v>
      </c>
      <c r="T51" s="1560"/>
      <c r="U51" s="1614">
        <f t="shared" si="57"/>
        <v>4.1666666666666664E-2</v>
      </c>
      <c r="V51" s="1614">
        <f t="shared" si="57"/>
        <v>0</v>
      </c>
      <c r="W51" s="1560"/>
      <c r="X51" s="1616">
        <f t="shared" si="18"/>
        <v>0.33333333333333331</v>
      </c>
      <c r="Y51" s="1616">
        <f t="shared" si="21"/>
        <v>0</v>
      </c>
      <c r="Z51" s="1571"/>
      <c r="AA51" s="1613" t="str">
        <f t="shared" si="37"/>
        <v>4.1.3</v>
      </c>
      <c r="AB51" s="1613" t="str">
        <f t="shared" si="38"/>
        <v xml:space="preserve"> Q1 4.1</v>
      </c>
      <c r="AC51" s="1613" t="str">
        <f t="shared" si="39"/>
        <v xml:space="preserve"> ダニ・カビ等</v>
      </c>
      <c r="AD51" s="1759">
        <f t="shared" si="40"/>
        <v>0.33333333333333331</v>
      </c>
      <c r="AE51" s="1759">
        <f t="shared" si="41"/>
        <v>0.33333333333333331</v>
      </c>
      <c r="AF51" s="1759">
        <f t="shared" si="42"/>
        <v>0.33333333333333331</v>
      </c>
      <c r="AG51" s="1759">
        <f t="shared" si="43"/>
        <v>0.33333333333333331</v>
      </c>
      <c r="AH51" s="1759">
        <f t="shared" si="44"/>
        <v>0.33333333333333331</v>
      </c>
      <c r="AI51" s="1759">
        <f t="shared" si="45"/>
        <v>0.5</v>
      </c>
      <c r="AJ51" s="1759">
        <f t="shared" si="46"/>
        <v>0.5</v>
      </c>
      <c r="AK51" s="1761">
        <f t="shared" si="47"/>
        <v>0.33333333333333331</v>
      </c>
      <c r="AL51" s="1759">
        <f t="shared" si="48"/>
        <v>0.33333333333333331</v>
      </c>
      <c r="AM51" s="1759">
        <f t="shared" si="48"/>
        <v>0.33333333333333331</v>
      </c>
      <c r="AN51" s="1760">
        <f t="shared" si="49"/>
        <v>0.33333333333333331</v>
      </c>
      <c r="AO51" s="1759">
        <f t="shared" si="50"/>
        <v>0.33333333333333331</v>
      </c>
      <c r="AP51" s="1759">
        <f t="shared" si="51"/>
        <v>0.33333333333333331</v>
      </c>
      <c r="AQ51" s="1632"/>
      <c r="AR51" s="1647" t="s">
        <v>1504</v>
      </c>
      <c r="AS51" s="1693" t="s">
        <v>309</v>
      </c>
      <c r="AT51" s="2064" t="s">
        <v>944</v>
      </c>
      <c r="AU51" s="1636">
        <v>0.33333333333333331</v>
      </c>
      <c r="AV51" s="1636">
        <v>0.33333333333333331</v>
      </c>
      <c r="AW51" s="1636">
        <v>0.33333333333333331</v>
      </c>
      <c r="AX51" s="1636">
        <v>0.33333333333333331</v>
      </c>
      <c r="AY51" s="1636">
        <v>0.33333333333333331</v>
      </c>
      <c r="AZ51" s="1636">
        <v>0.5</v>
      </c>
      <c r="BA51" s="1636">
        <v>0.5</v>
      </c>
      <c r="BB51" s="1636">
        <v>0.33333333333333331</v>
      </c>
      <c r="BC51" s="1636">
        <v>0.33333333333333331</v>
      </c>
      <c r="BD51" s="1636">
        <v>0.33333333333333331</v>
      </c>
      <c r="BE51" s="1636">
        <v>0.33333333333333331</v>
      </c>
      <c r="BF51" s="1636">
        <v>0.33333333333333331</v>
      </c>
      <c r="BG51" s="1636">
        <v>0.33333333333333331</v>
      </c>
      <c r="BI51" s="1647" t="s">
        <v>1504</v>
      </c>
      <c r="BJ51" s="1693" t="s">
        <v>309</v>
      </c>
      <c r="BK51" s="2064" t="s">
        <v>944</v>
      </c>
      <c r="BL51" s="1636">
        <v>0.33333333333333331</v>
      </c>
      <c r="BM51" s="1636">
        <v>0.33333333333333331</v>
      </c>
      <c r="BN51" s="1636">
        <v>0.33333333333333331</v>
      </c>
      <c r="BO51" s="1636">
        <v>0.33333333333333331</v>
      </c>
      <c r="BP51" s="1636">
        <v>0.33333333333333331</v>
      </c>
      <c r="BQ51" s="1636">
        <v>0.5</v>
      </c>
      <c r="BR51" s="1636">
        <v>0.5</v>
      </c>
      <c r="BS51" s="1636">
        <v>0.33333333333333331</v>
      </c>
      <c r="BT51" s="1636">
        <v>0.33333333333333331</v>
      </c>
      <c r="BU51" s="1636">
        <v>0.33333333333333331</v>
      </c>
      <c r="BV51" s="1636">
        <v>0.33333333333333331</v>
      </c>
      <c r="BW51" s="1636">
        <v>0.33333333333333331</v>
      </c>
      <c r="BX51" s="1636">
        <v>0.33333333333333331</v>
      </c>
    </row>
    <row r="52" spans="1:77" ht="13.5" hidden="1" customHeight="1">
      <c r="B52" s="1649" t="str">
        <f t="shared" si="31"/>
        <v>4.1.4</v>
      </c>
      <c r="C52" s="1650" t="str">
        <f t="shared" si="32"/>
        <v xml:space="preserve"> レジオネラ対策</v>
      </c>
      <c r="D52" s="1721">
        <f t="shared" si="55"/>
        <v>0</v>
      </c>
      <c r="E52" s="1691">
        <f t="shared" si="55"/>
        <v>0</v>
      </c>
      <c r="G52" s="1691">
        <f t="shared" si="36"/>
        <v>0</v>
      </c>
      <c r="H52" s="1691">
        <f t="shared" si="36"/>
        <v>0</v>
      </c>
      <c r="I52" s="1691"/>
      <c r="J52" s="1691"/>
      <c r="K52" s="1616">
        <f>IF(スコア表示!X52=0,0,1)</f>
        <v>0</v>
      </c>
      <c r="L52" s="1616">
        <f>IF(スコア表示!AB52=0,0,1)</f>
        <v>1</v>
      </c>
      <c r="N52" s="1708">
        <f t="shared" si="56"/>
        <v>0.30000000000000004</v>
      </c>
      <c r="O52" s="1708">
        <f t="shared" si="56"/>
        <v>0</v>
      </c>
      <c r="P52" s="1616"/>
      <c r="Q52" s="1616"/>
      <c r="R52" s="1616">
        <f>IF(スコア入力!R52="EB",重み_対象外!D52,U52)</f>
        <v>3.125E-2</v>
      </c>
      <c r="S52" s="1616">
        <f>IF(スコア入力!Y52="EB",重み_対象外!E52,V52)</f>
        <v>0</v>
      </c>
      <c r="T52" s="1560"/>
      <c r="U52" s="1614">
        <f t="shared" si="57"/>
        <v>4.1666666666666664E-2</v>
      </c>
      <c r="V52" s="1614">
        <f t="shared" si="57"/>
        <v>0</v>
      </c>
      <c r="W52" s="1560"/>
      <c r="X52" s="1616">
        <f t="shared" si="18"/>
        <v>0.33333333333333331</v>
      </c>
      <c r="Y52" s="1616">
        <f t="shared" si="21"/>
        <v>0</v>
      </c>
      <c r="Z52" s="1571"/>
      <c r="AA52" s="1613" t="str">
        <f t="shared" si="37"/>
        <v>4.1.4</v>
      </c>
      <c r="AB52" s="1613" t="str">
        <f t="shared" si="38"/>
        <v xml:space="preserve"> Q1 4.1</v>
      </c>
      <c r="AC52" s="1613" t="str">
        <f t="shared" si="39"/>
        <v xml:space="preserve"> レジオネラ対策</v>
      </c>
      <c r="AD52" s="1759">
        <f t="shared" si="40"/>
        <v>0.33333333333333331</v>
      </c>
      <c r="AE52" s="1759">
        <f t="shared" si="41"/>
        <v>0.33333333333333331</v>
      </c>
      <c r="AF52" s="1759">
        <f t="shared" si="42"/>
        <v>0.33333333333333331</v>
      </c>
      <c r="AG52" s="1759">
        <f t="shared" si="43"/>
        <v>0.33333333333333331</v>
      </c>
      <c r="AH52" s="1759">
        <f t="shared" si="44"/>
        <v>0.33333333333333331</v>
      </c>
      <c r="AI52" s="1759">
        <f t="shared" si="45"/>
        <v>0</v>
      </c>
      <c r="AJ52" s="1759">
        <f t="shared" si="46"/>
        <v>0</v>
      </c>
      <c r="AK52" s="1761">
        <f t="shared" si="47"/>
        <v>0.33333333333333331</v>
      </c>
      <c r="AL52" s="1759">
        <f t="shared" si="48"/>
        <v>0.33333333333333331</v>
      </c>
      <c r="AM52" s="1759">
        <f t="shared" si="48"/>
        <v>0.33333333333333331</v>
      </c>
      <c r="AN52" s="1760">
        <f t="shared" si="49"/>
        <v>0.33333333333333331</v>
      </c>
      <c r="AO52" s="1759">
        <f t="shared" si="50"/>
        <v>0.33333333333333331</v>
      </c>
      <c r="AP52" s="1759">
        <f t="shared" si="51"/>
        <v>0.33333333333333331</v>
      </c>
      <c r="AQ52" s="1632"/>
      <c r="AR52" s="1647" t="s">
        <v>1505</v>
      </c>
      <c r="AS52" s="1693" t="s">
        <v>309</v>
      </c>
      <c r="AT52" s="2064" t="s">
        <v>312</v>
      </c>
      <c r="AU52" s="1636">
        <v>0.33333333333333331</v>
      </c>
      <c r="AV52" s="1636">
        <v>0.33333333333333331</v>
      </c>
      <c r="AW52" s="1636">
        <v>0.33333333333333331</v>
      </c>
      <c r="AX52" s="1636">
        <v>0.33333333333333331</v>
      </c>
      <c r="AY52" s="1636">
        <v>0.33333333333333331</v>
      </c>
      <c r="AZ52" s="1636"/>
      <c r="BA52" s="1636"/>
      <c r="BB52" s="1636">
        <v>0.33333333333333331</v>
      </c>
      <c r="BC52" s="1636">
        <v>0.33333333333333331</v>
      </c>
      <c r="BD52" s="1636">
        <v>0.33333333333333331</v>
      </c>
      <c r="BE52" s="1636">
        <v>0.33333333333333331</v>
      </c>
      <c r="BF52" s="1636">
        <v>0.33333333333333331</v>
      </c>
      <c r="BG52" s="1636">
        <v>0.33333333333333331</v>
      </c>
      <c r="BI52" s="1647" t="s">
        <v>1505</v>
      </c>
      <c r="BJ52" s="1693" t="s">
        <v>309</v>
      </c>
      <c r="BK52" s="2064" t="s">
        <v>312</v>
      </c>
      <c r="BL52" s="1636">
        <v>0.33333333333333331</v>
      </c>
      <c r="BM52" s="1636">
        <v>0.33333333333333331</v>
      </c>
      <c r="BN52" s="1636">
        <v>0.33333333333333331</v>
      </c>
      <c r="BO52" s="1636">
        <v>0.33333333333333331</v>
      </c>
      <c r="BP52" s="1636">
        <v>0.33333333333333331</v>
      </c>
      <c r="BQ52" s="1636"/>
      <c r="BR52" s="1636"/>
      <c r="BS52" s="1636">
        <v>0.33333333333333331</v>
      </c>
      <c r="BT52" s="1636">
        <v>0.33333333333333331</v>
      </c>
      <c r="BU52" s="1636">
        <v>0.33333333333333331</v>
      </c>
      <c r="BV52" s="1636">
        <v>0.33333333333333331</v>
      </c>
      <c r="BW52" s="1636">
        <v>0.33333333333333331</v>
      </c>
      <c r="BX52" s="1636">
        <v>0.33333333333333331</v>
      </c>
    </row>
    <row r="53" spans="1:77" ht="13.5" customHeight="1">
      <c r="B53" s="1621">
        <f t="shared" si="31"/>
        <v>4.2</v>
      </c>
      <c r="C53" s="1630" t="str">
        <f t="shared" si="32"/>
        <v>換気</v>
      </c>
      <c r="D53" s="1716">
        <f>IF(I$47=0,0,G53/I$47)</f>
        <v>0.32727272727272727</v>
      </c>
      <c r="E53" s="1691">
        <f>IF(J$47=0,0,H53/J$47)</f>
        <v>0</v>
      </c>
      <c r="G53" s="1691">
        <f t="shared" si="36"/>
        <v>0.32727272727272722</v>
      </c>
      <c r="H53" s="1691">
        <f t="shared" si="36"/>
        <v>0</v>
      </c>
      <c r="I53" s="1691">
        <f>SUM(G54:G57)</f>
        <v>0.72500000000000009</v>
      </c>
      <c r="J53" s="1691">
        <f>SUM(H54:H57)</f>
        <v>0</v>
      </c>
      <c r="K53" s="1616">
        <f>IF(スコア表示!X53=0,0,1)</f>
        <v>1</v>
      </c>
      <c r="L53" s="1616">
        <f>IF(スコア表示!AB53=0,0,1)</f>
        <v>0</v>
      </c>
      <c r="N53" s="1713">
        <f>IF(P$47=0,0,P53/P$47)</f>
        <v>0.32727272727272722</v>
      </c>
      <c r="O53" s="1713">
        <f>IF(Q$47=0,0,Q53/Q$47)</f>
        <v>0</v>
      </c>
      <c r="P53" s="1616">
        <f>SUM(R54:R57)</f>
        <v>7.4999999999999983E-2</v>
      </c>
      <c r="Q53" s="1616">
        <f>SUM(S54:S57)</f>
        <v>0</v>
      </c>
      <c r="R53" s="1616">
        <f>IF(スコア入力!R53="EB",重み_対象外!D53,U53)</f>
        <v>0</v>
      </c>
      <c r="S53" s="1616">
        <f>IF(スコア入力!Y53="EB",重み_対象外!E53,V53)</f>
        <v>0</v>
      </c>
      <c r="T53" s="1560"/>
      <c r="U53" s="1630"/>
      <c r="V53" s="1630"/>
      <c r="W53" s="1560"/>
      <c r="X53" s="1616">
        <f t="shared" si="18"/>
        <v>0.3</v>
      </c>
      <c r="Y53" s="1616">
        <f t="shared" si="21"/>
        <v>0</v>
      </c>
      <c r="Z53" s="1571"/>
      <c r="AA53" s="1613">
        <f t="shared" si="37"/>
        <v>4.2</v>
      </c>
      <c r="AB53" s="1613" t="str">
        <f t="shared" si="38"/>
        <v xml:space="preserve"> Q1 4</v>
      </c>
      <c r="AC53" s="1613" t="str">
        <f t="shared" si="39"/>
        <v>換気</v>
      </c>
      <c r="AD53" s="1759">
        <f t="shared" si="40"/>
        <v>0.3</v>
      </c>
      <c r="AE53" s="1759">
        <f t="shared" si="41"/>
        <v>0.3</v>
      </c>
      <c r="AF53" s="1759">
        <f t="shared" si="42"/>
        <v>0.3</v>
      </c>
      <c r="AG53" s="1759">
        <f t="shared" si="43"/>
        <v>0.3</v>
      </c>
      <c r="AH53" s="1759">
        <f t="shared" si="44"/>
        <v>0.3</v>
      </c>
      <c r="AI53" s="1759">
        <f t="shared" si="45"/>
        <v>0.3</v>
      </c>
      <c r="AJ53" s="1759">
        <f t="shared" si="46"/>
        <v>0.4</v>
      </c>
      <c r="AK53" s="1761">
        <f t="shared" si="47"/>
        <v>0.3</v>
      </c>
      <c r="AL53" s="1759">
        <f t="shared" si="48"/>
        <v>0.3</v>
      </c>
      <c r="AM53" s="1759">
        <f t="shared" si="48"/>
        <v>0.3</v>
      </c>
      <c r="AN53" s="1760">
        <f t="shared" si="49"/>
        <v>0.375</v>
      </c>
      <c r="AO53" s="1759">
        <f t="shared" si="50"/>
        <v>0.375</v>
      </c>
      <c r="AP53" s="1759">
        <f t="shared" si="51"/>
        <v>0.375</v>
      </c>
      <c r="AQ53" s="1620"/>
      <c r="AR53" s="1647">
        <v>4.2</v>
      </c>
      <c r="AS53" s="1693" t="s">
        <v>308</v>
      </c>
      <c r="AT53" s="1737" t="s">
        <v>693</v>
      </c>
      <c r="AU53" s="1636">
        <v>0.3</v>
      </c>
      <c r="AV53" s="1636">
        <v>0.3</v>
      </c>
      <c r="AW53" s="1636">
        <v>0.3</v>
      </c>
      <c r="AX53" s="1636">
        <v>0.3</v>
      </c>
      <c r="AY53" s="1636">
        <v>0.3</v>
      </c>
      <c r="AZ53" s="1636">
        <v>0.3</v>
      </c>
      <c r="BA53" s="1636">
        <v>0.4</v>
      </c>
      <c r="BB53" s="1637">
        <v>0.3</v>
      </c>
      <c r="BC53" s="1636">
        <v>0.3</v>
      </c>
      <c r="BD53" s="1636">
        <v>0.3</v>
      </c>
      <c r="BE53" s="1638">
        <v>0.375</v>
      </c>
      <c r="BF53" s="1636">
        <v>0.375</v>
      </c>
      <c r="BG53" s="1636">
        <v>0.375</v>
      </c>
      <c r="BI53" s="1647">
        <v>4.2</v>
      </c>
      <c r="BJ53" s="1693" t="s">
        <v>308</v>
      </c>
      <c r="BK53" s="1737" t="s">
        <v>693</v>
      </c>
      <c r="BL53" s="1636">
        <v>0.3</v>
      </c>
      <c r="BM53" s="1636">
        <v>0.3</v>
      </c>
      <c r="BN53" s="1636">
        <v>0.3</v>
      </c>
      <c r="BO53" s="1636">
        <v>0.3</v>
      </c>
      <c r="BP53" s="1636">
        <v>0.3</v>
      </c>
      <c r="BQ53" s="1636">
        <v>0.3</v>
      </c>
      <c r="BR53" s="1636">
        <v>0.4</v>
      </c>
      <c r="BS53" s="1637">
        <v>0.3</v>
      </c>
      <c r="BT53" s="1636">
        <v>0.3</v>
      </c>
      <c r="BU53" s="1636">
        <v>0.3</v>
      </c>
      <c r="BV53" s="1638">
        <v>0.375</v>
      </c>
      <c r="BW53" s="1636">
        <v>0.375</v>
      </c>
      <c r="BX53" s="1636">
        <v>0.375</v>
      </c>
    </row>
    <row r="54" spans="1:77" ht="13.5" customHeight="1">
      <c r="B54" s="1621" t="str">
        <f t="shared" si="31"/>
        <v>4.2.1</v>
      </c>
      <c r="C54" s="1614" t="str">
        <f t="shared" si="32"/>
        <v>換気量</v>
      </c>
      <c r="D54" s="1721">
        <f t="shared" ref="D54:E57" si="58">IF(I$53&gt;0,G54/I$53,0)</f>
        <v>0.37931034482758619</v>
      </c>
      <c r="E54" s="1691">
        <f t="shared" si="58"/>
        <v>0</v>
      </c>
      <c r="G54" s="1691">
        <f t="shared" si="36"/>
        <v>0.27500000000000002</v>
      </c>
      <c r="H54" s="1691">
        <f t="shared" si="36"/>
        <v>0</v>
      </c>
      <c r="I54" s="1691"/>
      <c r="J54" s="1691"/>
      <c r="K54" s="1616">
        <f>IF(スコア表示!X54=0,0,1)</f>
        <v>1</v>
      </c>
      <c r="L54" s="1616">
        <f>IF(スコア表示!AB54=0,0,1)</f>
        <v>1</v>
      </c>
      <c r="N54" s="1708">
        <f t="shared" ref="N54:O57" si="59">IF(P$53&gt;0,R54/P$53,0)</f>
        <v>0.27500000000000002</v>
      </c>
      <c r="O54" s="1708">
        <f t="shared" si="59"/>
        <v>0</v>
      </c>
      <c r="P54" s="1616"/>
      <c r="Q54" s="1616"/>
      <c r="R54" s="1616">
        <f>IF(スコア入力!R54="EB",重み_対象外!D54,U54)</f>
        <v>2.0624999999999998E-2</v>
      </c>
      <c r="S54" s="1616">
        <f>IF(スコア入力!Y54="EB",重み_対象外!E54,V54)</f>
        <v>0</v>
      </c>
      <c r="T54" s="1560"/>
      <c r="U54" s="1614">
        <f t="shared" ref="U54:V57" si="60">X$47*X$53*X54</f>
        <v>2.0624999999999998E-2</v>
      </c>
      <c r="V54" s="1614">
        <f t="shared" si="60"/>
        <v>0</v>
      </c>
      <c r="W54" s="1560"/>
      <c r="X54" s="1616">
        <f t="shared" si="18"/>
        <v>0.27499999999999997</v>
      </c>
      <c r="Y54" s="1616">
        <f t="shared" si="21"/>
        <v>0</v>
      </c>
      <c r="Z54" s="1571"/>
      <c r="AA54" s="1613" t="str">
        <f t="shared" si="37"/>
        <v>4.2.1</v>
      </c>
      <c r="AB54" s="1613" t="str">
        <f t="shared" si="38"/>
        <v xml:space="preserve"> Q1 4.2</v>
      </c>
      <c r="AC54" s="1613" t="str">
        <f t="shared" si="39"/>
        <v>換気量</v>
      </c>
      <c r="AD54" s="1759">
        <f t="shared" si="40"/>
        <v>0.25</v>
      </c>
      <c r="AE54" s="1759">
        <f t="shared" si="41"/>
        <v>0.25</v>
      </c>
      <c r="AF54" s="1759">
        <f t="shared" si="42"/>
        <v>0.33333333333333331</v>
      </c>
      <c r="AG54" s="1759">
        <f t="shared" si="43"/>
        <v>0.33333333333333331</v>
      </c>
      <c r="AH54" s="1759">
        <f t="shared" si="44"/>
        <v>0.33333333333333331</v>
      </c>
      <c r="AI54" s="1759">
        <f t="shared" si="45"/>
        <v>0.33333333333333331</v>
      </c>
      <c r="AJ54" s="1759">
        <f t="shared" si="46"/>
        <v>0.5</v>
      </c>
      <c r="AK54" s="1761">
        <f t="shared" si="47"/>
        <v>0.33333333333333331</v>
      </c>
      <c r="AL54" s="1759">
        <f t="shared" si="48"/>
        <v>0.25</v>
      </c>
      <c r="AM54" s="1759">
        <f t="shared" si="48"/>
        <v>0.25</v>
      </c>
      <c r="AN54" s="1760">
        <f t="shared" si="49"/>
        <v>0.25</v>
      </c>
      <c r="AO54" s="1759">
        <f t="shared" si="50"/>
        <v>0.25</v>
      </c>
      <c r="AP54" s="1759">
        <f t="shared" si="51"/>
        <v>0.25</v>
      </c>
      <c r="AQ54" s="1632"/>
      <c r="AR54" s="1647" t="s">
        <v>1506</v>
      </c>
      <c r="AS54" s="1693" t="s">
        <v>313</v>
      </c>
      <c r="AT54" s="2064" t="s">
        <v>314</v>
      </c>
      <c r="AU54" s="1636">
        <v>0.25</v>
      </c>
      <c r="AV54" s="1636">
        <v>0.25</v>
      </c>
      <c r="AW54" s="1636">
        <v>0.33333333333333331</v>
      </c>
      <c r="AX54" s="1636">
        <v>0.33333333333333331</v>
      </c>
      <c r="AY54" s="1636">
        <v>0.33333333333333331</v>
      </c>
      <c r="AZ54" s="1636">
        <v>0.33333333333333331</v>
      </c>
      <c r="BA54" s="1636">
        <v>0.5</v>
      </c>
      <c r="BB54" s="1636">
        <v>0.33333333333333331</v>
      </c>
      <c r="BC54" s="1636">
        <v>0.25</v>
      </c>
      <c r="BD54" s="1636">
        <v>0.25</v>
      </c>
      <c r="BE54" s="1638">
        <v>0.25</v>
      </c>
      <c r="BF54" s="1636">
        <v>0.25</v>
      </c>
      <c r="BG54" s="1636">
        <v>0.25</v>
      </c>
      <c r="BI54" s="1647" t="s">
        <v>1506</v>
      </c>
      <c r="BJ54" s="1693" t="s">
        <v>313</v>
      </c>
      <c r="BK54" s="2064" t="s">
        <v>314</v>
      </c>
      <c r="BL54" s="1636">
        <v>0.25</v>
      </c>
      <c r="BM54" s="1636">
        <v>0.25</v>
      </c>
      <c r="BN54" s="1636">
        <v>0.33333333333333331</v>
      </c>
      <c r="BO54" s="1636">
        <v>0.33333333333333331</v>
      </c>
      <c r="BP54" s="1636">
        <v>0.33333333333333331</v>
      </c>
      <c r="BQ54" s="1636">
        <v>0.33333333333333331</v>
      </c>
      <c r="BR54" s="1636">
        <v>0.5</v>
      </c>
      <c r="BS54" s="1636">
        <v>0.33333333333333331</v>
      </c>
      <c r="BT54" s="1636">
        <v>0.25</v>
      </c>
      <c r="BU54" s="1636">
        <v>0.25</v>
      </c>
      <c r="BV54" s="1638">
        <v>0.25</v>
      </c>
      <c r="BW54" s="1636">
        <v>0.25</v>
      </c>
      <c r="BX54" s="1636">
        <v>0.25</v>
      </c>
    </row>
    <row r="55" spans="1:77" ht="13.5" customHeight="1">
      <c r="B55" s="1621" t="str">
        <f t="shared" si="31"/>
        <v>4.2.2</v>
      </c>
      <c r="C55" s="1614" t="str">
        <f t="shared" si="32"/>
        <v>自然換気性能</v>
      </c>
      <c r="D55" s="1721">
        <f t="shared" si="58"/>
        <v>0.24137931034482762</v>
      </c>
      <c r="E55" s="1691">
        <f t="shared" si="58"/>
        <v>0</v>
      </c>
      <c r="G55" s="1691">
        <f t="shared" si="36"/>
        <v>0.17500000000000004</v>
      </c>
      <c r="H55" s="1691">
        <f t="shared" si="36"/>
        <v>0</v>
      </c>
      <c r="I55" s="1691"/>
      <c r="J55" s="1691"/>
      <c r="K55" s="1616">
        <f>IF(スコア表示!X55=0,0,1)</f>
        <v>1</v>
      </c>
      <c r="L55" s="1616">
        <f>IF(スコア表示!AB55=0,0,1)</f>
        <v>1</v>
      </c>
      <c r="N55" s="1708">
        <f t="shared" si="59"/>
        <v>0.17500000000000004</v>
      </c>
      <c r="O55" s="1708">
        <f t="shared" si="59"/>
        <v>0</v>
      </c>
      <c r="P55" s="1616"/>
      <c r="Q55" s="1616"/>
      <c r="R55" s="1616">
        <f>IF(スコア入力!R55="EB",重み_対象外!D55,U55)</f>
        <v>1.3125E-2</v>
      </c>
      <c r="S55" s="1616">
        <f>IF(スコア入力!Y55="EB",重み_対象外!E55,V55)</f>
        <v>0</v>
      </c>
      <c r="T55" s="1560"/>
      <c r="U55" s="1614">
        <f t="shared" si="60"/>
        <v>1.3125E-2</v>
      </c>
      <c r="V55" s="1614">
        <f t="shared" si="60"/>
        <v>0</v>
      </c>
      <c r="W55" s="1560"/>
      <c r="X55" s="1616">
        <f t="shared" si="18"/>
        <v>0.17499999999999999</v>
      </c>
      <c r="Y55" s="1616">
        <f t="shared" si="21"/>
        <v>0</v>
      </c>
      <c r="Z55" s="1571"/>
      <c r="AA55" s="1613" t="str">
        <f t="shared" si="37"/>
        <v>4.2.2</v>
      </c>
      <c r="AB55" s="1613" t="str">
        <f t="shared" si="38"/>
        <v xml:space="preserve"> Q1 4.2</v>
      </c>
      <c r="AC55" s="1613" t="str">
        <f t="shared" si="39"/>
        <v>自然換気性能</v>
      </c>
      <c r="AD55" s="1759">
        <f t="shared" si="40"/>
        <v>0.25</v>
      </c>
      <c r="AE55" s="1759">
        <f t="shared" si="41"/>
        <v>0.25</v>
      </c>
      <c r="AF55" s="1759">
        <f t="shared" si="42"/>
        <v>0</v>
      </c>
      <c r="AG55" s="1759">
        <f t="shared" si="43"/>
        <v>0</v>
      </c>
      <c r="AH55" s="1759">
        <f t="shared" si="44"/>
        <v>0</v>
      </c>
      <c r="AI55" s="1759">
        <f t="shared" si="45"/>
        <v>0</v>
      </c>
      <c r="AJ55" s="1759">
        <f t="shared" si="46"/>
        <v>0</v>
      </c>
      <c r="AK55" s="1761">
        <f t="shared" si="47"/>
        <v>0</v>
      </c>
      <c r="AL55" s="1759">
        <f t="shared" si="48"/>
        <v>0.25</v>
      </c>
      <c r="AM55" s="1759">
        <f t="shared" si="48"/>
        <v>0.25</v>
      </c>
      <c r="AN55" s="1760">
        <f t="shared" si="49"/>
        <v>0.25</v>
      </c>
      <c r="AO55" s="1759">
        <f t="shared" si="50"/>
        <v>0.25</v>
      </c>
      <c r="AP55" s="1759">
        <f t="shared" si="51"/>
        <v>0.25</v>
      </c>
      <c r="AQ55" s="1632"/>
      <c r="AR55" s="1647" t="s">
        <v>1508</v>
      </c>
      <c r="AS55" s="1693" t="s">
        <v>313</v>
      </c>
      <c r="AT55" s="2064" t="s">
        <v>315</v>
      </c>
      <c r="AU55" s="1636">
        <v>0.25</v>
      </c>
      <c r="AV55" s="1636">
        <v>0.25</v>
      </c>
      <c r="AW55" s="1636"/>
      <c r="AX55" s="1636"/>
      <c r="AY55" s="1636"/>
      <c r="AZ55" s="1636"/>
      <c r="BA55" s="1636"/>
      <c r="BB55" s="1637"/>
      <c r="BC55" s="1636">
        <v>0.25</v>
      </c>
      <c r="BD55" s="1636">
        <v>0.25</v>
      </c>
      <c r="BE55" s="1638">
        <v>0.25</v>
      </c>
      <c r="BF55" s="1636">
        <v>0.25</v>
      </c>
      <c r="BG55" s="1636">
        <v>0.25</v>
      </c>
      <c r="BI55" s="1647" t="s">
        <v>1508</v>
      </c>
      <c r="BJ55" s="1693" t="s">
        <v>313</v>
      </c>
      <c r="BK55" s="2064" t="s">
        <v>315</v>
      </c>
      <c r="BL55" s="1636">
        <v>0.25</v>
      </c>
      <c r="BM55" s="1636">
        <v>0.25</v>
      </c>
      <c r="BN55" s="1636"/>
      <c r="BO55" s="1636"/>
      <c r="BP55" s="1636"/>
      <c r="BQ55" s="1636"/>
      <c r="BR55" s="1636"/>
      <c r="BS55" s="1637"/>
      <c r="BT55" s="1636">
        <v>0.25</v>
      </c>
      <c r="BU55" s="1636">
        <v>0.25</v>
      </c>
      <c r="BV55" s="1638">
        <v>0.25</v>
      </c>
      <c r="BW55" s="1636">
        <v>0.25</v>
      </c>
      <c r="BX55" s="1636">
        <v>0.25</v>
      </c>
    </row>
    <row r="56" spans="1:77" ht="13.5" customHeight="1">
      <c r="B56" s="1621" t="str">
        <f t="shared" si="31"/>
        <v>4.2.3</v>
      </c>
      <c r="C56" s="1614" t="str">
        <f t="shared" si="32"/>
        <v>取り入れ外気への配慮</v>
      </c>
      <c r="D56" s="1721">
        <f t="shared" si="58"/>
        <v>0.37931034482758619</v>
      </c>
      <c r="E56" s="1691">
        <f t="shared" si="58"/>
        <v>0</v>
      </c>
      <c r="G56" s="1691">
        <f t="shared" si="36"/>
        <v>0.27500000000000002</v>
      </c>
      <c r="H56" s="1691">
        <f t="shared" si="36"/>
        <v>0</v>
      </c>
      <c r="I56" s="1691"/>
      <c r="J56" s="1691"/>
      <c r="K56" s="1616">
        <f>IF(スコア表示!X56=0,0,1)</f>
        <v>1</v>
      </c>
      <c r="L56" s="1616">
        <f>IF(スコア表示!AB56=0,0,1)</f>
        <v>1</v>
      </c>
      <c r="N56" s="1708">
        <f t="shared" si="59"/>
        <v>0.27500000000000002</v>
      </c>
      <c r="O56" s="1708">
        <f t="shared" si="59"/>
        <v>0</v>
      </c>
      <c r="P56" s="1616"/>
      <c r="Q56" s="1616"/>
      <c r="R56" s="1616">
        <f>IF(スコア入力!R56="EB",重み_対象外!D56,U56)</f>
        <v>2.0624999999999998E-2</v>
      </c>
      <c r="S56" s="1616">
        <f>IF(スコア入力!Y56="EB",重み_対象外!E56,V56)</f>
        <v>0</v>
      </c>
      <c r="T56" s="1560"/>
      <c r="U56" s="1614">
        <f t="shared" si="60"/>
        <v>2.0624999999999998E-2</v>
      </c>
      <c r="V56" s="1614">
        <f t="shared" si="60"/>
        <v>0</v>
      </c>
      <c r="W56" s="1560"/>
      <c r="X56" s="1616">
        <f t="shared" si="18"/>
        <v>0.27499999999999997</v>
      </c>
      <c r="Y56" s="1616">
        <f t="shared" si="21"/>
        <v>0</v>
      </c>
      <c r="Z56" s="1571"/>
      <c r="AA56" s="1613" t="str">
        <f t="shared" si="37"/>
        <v>4.2.3</v>
      </c>
      <c r="AB56" s="1613" t="str">
        <f t="shared" si="38"/>
        <v xml:space="preserve"> Q1 4.2</v>
      </c>
      <c r="AC56" s="1613" t="str">
        <f t="shared" si="39"/>
        <v>取り入れ外気への配慮</v>
      </c>
      <c r="AD56" s="1759">
        <f t="shared" si="40"/>
        <v>0.25</v>
      </c>
      <c r="AE56" s="1759">
        <f t="shared" si="41"/>
        <v>0.25</v>
      </c>
      <c r="AF56" s="1759">
        <f t="shared" si="42"/>
        <v>0.33333333333333331</v>
      </c>
      <c r="AG56" s="1759">
        <f t="shared" si="43"/>
        <v>0.33333333333333331</v>
      </c>
      <c r="AH56" s="1759">
        <f t="shared" si="44"/>
        <v>0.33333333333333331</v>
      </c>
      <c r="AI56" s="1759">
        <f t="shared" si="45"/>
        <v>0.33333333333333331</v>
      </c>
      <c r="AJ56" s="1759">
        <f t="shared" si="46"/>
        <v>0.5</v>
      </c>
      <c r="AK56" s="1761">
        <f t="shared" si="47"/>
        <v>0.33333333333333331</v>
      </c>
      <c r="AL56" s="1759">
        <f t="shared" si="48"/>
        <v>0.25</v>
      </c>
      <c r="AM56" s="1759">
        <f t="shared" si="48"/>
        <v>0.25</v>
      </c>
      <c r="AN56" s="1760">
        <f t="shared" si="49"/>
        <v>0.25</v>
      </c>
      <c r="AO56" s="1759">
        <f t="shared" si="50"/>
        <v>0.25</v>
      </c>
      <c r="AP56" s="1759">
        <f t="shared" si="51"/>
        <v>0.25</v>
      </c>
      <c r="AQ56" s="1632"/>
      <c r="AR56" s="1647" t="s">
        <v>1509</v>
      </c>
      <c r="AS56" s="1693" t="s">
        <v>313</v>
      </c>
      <c r="AT56" s="2064" t="s">
        <v>316</v>
      </c>
      <c r="AU56" s="1636">
        <v>0.25</v>
      </c>
      <c r="AV56" s="1636">
        <v>0.25</v>
      </c>
      <c r="AW56" s="1636">
        <v>0.33333333333333331</v>
      </c>
      <c r="AX56" s="1636">
        <v>0.33333333333333331</v>
      </c>
      <c r="AY56" s="1636">
        <v>0.33333333333333331</v>
      </c>
      <c r="AZ56" s="1636">
        <v>0.33333333333333331</v>
      </c>
      <c r="BA56" s="1636">
        <v>0.5</v>
      </c>
      <c r="BB56" s="1636">
        <v>0.33333333333333331</v>
      </c>
      <c r="BC56" s="1636">
        <v>0.25</v>
      </c>
      <c r="BD56" s="1636">
        <v>0.25</v>
      </c>
      <c r="BE56" s="1638">
        <v>0.25</v>
      </c>
      <c r="BF56" s="1636">
        <v>0.25</v>
      </c>
      <c r="BG56" s="1636">
        <v>0.25</v>
      </c>
      <c r="BI56" s="1647" t="s">
        <v>1509</v>
      </c>
      <c r="BJ56" s="1693" t="s">
        <v>313</v>
      </c>
      <c r="BK56" s="2064" t="s">
        <v>316</v>
      </c>
      <c r="BL56" s="1636">
        <v>0.25</v>
      </c>
      <c r="BM56" s="1636">
        <v>0.25</v>
      </c>
      <c r="BN56" s="1636">
        <v>0.33333333333333331</v>
      </c>
      <c r="BO56" s="1636">
        <v>0.33333333333333331</v>
      </c>
      <c r="BP56" s="1636">
        <v>0.33333333333333331</v>
      </c>
      <c r="BQ56" s="1636">
        <v>0.33333333333333331</v>
      </c>
      <c r="BR56" s="1636">
        <v>0.5</v>
      </c>
      <c r="BS56" s="1636">
        <v>0.33333333333333331</v>
      </c>
      <c r="BT56" s="1636">
        <v>0.25</v>
      </c>
      <c r="BU56" s="1636">
        <v>0.25</v>
      </c>
      <c r="BV56" s="1638">
        <v>0.25</v>
      </c>
      <c r="BW56" s="1636">
        <v>0.25</v>
      </c>
      <c r="BX56" s="1636">
        <v>0.25</v>
      </c>
    </row>
    <row r="57" spans="1:77" ht="13.5" hidden="1" customHeight="1">
      <c r="B57" s="1649" t="str">
        <f t="shared" si="31"/>
        <v>4.2.4</v>
      </c>
      <c r="C57" s="1650" t="str">
        <f t="shared" si="32"/>
        <v>給気計画</v>
      </c>
      <c r="D57" s="1721">
        <f t="shared" si="58"/>
        <v>0</v>
      </c>
      <c r="E57" s="1691">
        <f t="shared" si="58"/>
        <v>0</v>
      </c>
      <c r="G57" s="1691">
        <f t="shared" si="36"/>
        <v>0</v>
      </c>
      <c r="H57" s="1691">
        <f t="shared" si="36"/>
        <v>0</v>
      </c>
      <c r="I57" s="1691"/>
      <c r="J57" s="1691"/>
      <c r="K57" s="1616">
        <f>IF(スコア表示!X57=0,0,1)</f>
        <v>0</v>
      </c>
      <c r="L57" s="1616">
        <f>IF(スコア表示!AB57=0,0,1)</f>
        <v>0</v>
      </c>
      <c r="N57" s="1708">
        <f t="shared" si="59"/>
        <v>0.27500000000000002</v>
      </c>
      <c r="O57" s="1708">
        <f t="shared" si="59"/>
        <v>0</v>
      </c>
      <c r="P57" s="1616"/>
      <c r="Q57" s="1616"/>
      <c r="R57" s="1616">
        <f>IF(スコア入力!R57="EB",重み_対象外!D57,U57)</f>
        <v>2.0624999999999998E-2</v>
      </c>
      <c r="S57" s="1616">
        <f>IF(スコア入力!Y57="EB",重み_対象外!E57,V57)</f>
        <v>0</v>
      </c>
      <c r="T57" s="1560"/>
      <c r="U57" s="1614">
        <f t="shared" si="60"/>
        <v>2.0624999999999998E-2</v>
      </c>
      <c r="V57" s="1614">
        <f t="shared" si="60"/>
        <v>0</v>
      </c>
      <c r="W57" s="1560"/>
      <c r="X57" s="1616">
        <f t="shared" si="18"/>
        <v>0.27499999999999997</v>
      </c>
      <c r="Y57" s="1616">
        <f t="shared" si="21"/>
        <v>0</v>
      </c>
      <c r="Z57" s="1571"/>
      <c r="AA57" s="1613" t="str">
        <f t="shared" si="37"/>
        <v>4.2.4</v>
      </c>
      <c r="AB57" s="1613" t="str">
        <f t="shared" si="38"/>
        <v xml:space="preserve"> Q1 4.2</v>
      </c>
      <c r="AC57" s="1613" t="str">
        <f t="shared" si="39"/>
        <v>給気計画</v>
      </c>
      <c r="AD57" s="1759">
        <f t="shared" si="40"/>
        <v>0.25</v>
      </c>
      <c r="AE57" s="1759">
        <f t="shared" si="41"/>
        <v>0.25</v>
      </c>
      <c r="AF57" s="1759">
        <f t="shared" si="42"/>
        <v>0.33333333333333331</v>
      </c>
      <c r="AG57" s="1759">
        <f t="shared" si="43"/>
        <v>0.33333333333333331</v>
      </c>
      <c r="AH57" s="1759">
        <f t="shared" si="44"/>
        <v>0.33333333333333331</v>
      </c>
      <c r="AI57" s="1759">
        <f t="shared" si="45"/>
        <v>0.33333333333333331</v>
      </c>
      <c r="AJ57" s="1759">
        <f t="shared" si="46"/>
        <v>0</v>
      </c>
      <c r="AK57" s="1761">
        <f t="shared" si="47"/>
        <v>0.33333333333333331</v>
      </c>
      <c r="AL57" s="1759">
        <f t="shared" si="48"/>
        <v>0.25</v>
      </c>
      <c r="AM57" s="1759">
        <f t="shared" si="48"/>
        <v>0.25</v>
      </c>
      <c r="AN57" s="1760">
        <f t="shared" si="49"/>
        <v>0.25</v>
      </c>
      <c r="AO57" s="1759">
        <f t="shared" si="50"/>
        <v>0.25</v>
      </c>
      <c r="AP57" s="1759">
        <f t="shared" si="51"/>
        <v>0.25</v>
      </c>
      <c r="AQ57" s="1632"/>
      <c r="AR57" s="1647" t="s">
        <v>1510</v>
      </c>
      <c r="AS57" s="1693" t="s">
        <v>313</v>
      </c>
      <c r="AT57" s="2064" t="s">
        <v>1511</v>
      </c>
      <c r="AU57" s="1636">
        <v>0.25</v>
      </c>
      <c r="AV57" s="1636">
        <v>0.25</v>
      </c>
      <c r="AW57" s="1636">
        <v>0.33333333333333331</v>
      </c>
      <c r="AX57" s="1636">
        <v>0.33333333333333331</v>
      </c>
      <c r="AY57" s="1636">
        <v>0.33333333333333331</v>
      </c>
      <c r="AZ57" s="1636">
        <v>0.33333333333333331</v>
      </c>
      <c r="BA57" s="1636"/>
      <c r="BB57" s="1636">
        <v>0.33333333333333331</v>
      </c>
      <c r="BC57" s="1636">
        <v>0.25</v>
      </c>
      <c r="BD57" s="1636">
        <v>0.25</v>
      </c>
      <c r="BE57" s="1638">
        <v>0.25</v>
      </c>
      <c r="BF57" s="1636">
        <v>0.25</v>
      </c>
      <c r="BG57" s="1636">
        <v>0.25</v>
      </c>
      <c r="BI57" s="1647" t="s">
        <v>1510</v>
      </c>
      <c r="BJ57" s="1693" t="s">
        <v>313</v>
      </c>
      <c r="BK57" s="2064" t="s">
        <v>1511</v>
      </c>
      <c r="BL57" s="1636">
        <v>0.25</v>
      </c>
      <c r="BM57" s="1636">
        <v>0.25</v>
      </c>
      <c r="BN57" s="1636">
        <v>0.33333333333333331</v>
      </c>
      <c r="BO57" s="1636">
        <v>0.33333333333333331</v>
      </c>
      <c r="BP57" s="1636">
        <v>0.33333333333333331</v>
      </c>
      <c r="BQ57" s="1636">
        <v>0.33333333333333331</v>
      </c>
      <c r="BR57" s="1636"/>
      <c r="BS57" s="1636">
        <v>0.33333333333333331</v>
      </c>
      <c r="BT57" s="1636">
        <v>0.25</v>
      </c>
      <c r="BU57" s="1636">
        <v>0.25</v>
      </c>
      <c r="BV57" s="1638">
        <v>0.25</v>
      </c>
      <c r="BW57" s="1636">
        <v>0.25</v>
      </c>
      <c r="BX57" s="1636">
        <v>0.25</v>
      </c>
    </row>
    <row r="58" spans="1:77" ht="13.5" customHeight="1">
      <c r="B58" s="1621">
        <f t="shared" si="31"/>
        <v>4.3</v>
      </c>
      <c r="C58" s="1630" t="str">
        <f t="shared" si="32"/>
        <v>運用管理</v>
      </c>
      <c r="D58" s="1716">
        <f>IF(I$47=0,0,G58/I$47)</f>
        <v>0.2181818181818182</v>
      </c>
      <c r="E58" s="1691">
        <f>IF(J$47=0,0,H58/J$47)</f>
        <v>0</v>
      </c>
      <c r="G58" s="1691">
        <f t="shared" si="36"/>
        <v>0.21818181818181817</v>
      </c>
      <c r="H58" s="1691">
        <f t="shared" si="36"/>
        <v>0</v>
      </c>
      <c r="I58" s="1691">
        <f>G59+G60</f>
        <v>1</v>
      </c>
      <c r="J58" s="1691">
        <f>H59+H60</f>
        <v>0</v>
      </c>
      <c r="K58" s="1616">
        <f>IF(スコア表示!X58=0,0,1)</f>
        <v>1</v>
      </c>
      <c r="L58" s="1616">
        <f>IF(スコア表示!AB58=0,0,1)</f>
        <v>0</v>
      </c>
      <c r="N58" s="1713">
        <f>IF(P$47=0,0,P58/P$47)</f>
        <v>0.21818181818181817</v>
      </c>
      <c r="O58" s="1713">
        <f>IF(Q$47=0,0,Q58/Q$47)</f>
        <v>0</v>
      </c>
      <c r="P58" s="1616">
        <f>R59+R60</f>
        <v>4.9999999999999996E-2</v>
      </c>
      <c r="Q58" s="1616">
        <f>S59+S60</f>
        <v>0</v>
      </c>
      <c r="R58" s="1616">
        <f>IF(スコア入力!R58="EB",重み_対象外!D58,U58)</f>
        <v>0</v>
      </c>
      <c r="S58" s="1616">
        <f>IF(スコア入力!Y58="EB",重み_対象外!E58,V58)</f>
        <v>0</v>
      </c>
      <c r="T58" s="1560"/>
      <c r="U58" s="1630"/>
      <c r="V58" s="1630"/>
      <c r="W58" s="1560"/>
      <c r="X58" s="1616">
        <f t="shared" si="18"/>
        <v>0.19999999999999998</v>
      </c>
      <c r="Y58" s="1616">
        <f t="shared" si="21"/>
        <v>0</v>
      </c>
      <c r="Z58" s="1571"/>
      <c r="AA58" s="1613">
        <f t="shared" si="37"/>
        <v>4.3</v>
      </c>
      <c r="AB58" s="1613" t="str">
        <f t="shared" si="38"/>
        <v xml:space="preserve"> Q1 4</v>
      </c>
      <c r="AC58" s="1613" t="str">
        <f t="shared" si="39"/>
        <v>運用管理</v>
      </c>
      <c r="AD58" s="1759">
        <f t="shared" si="40"/>
        <v>0.2</v>
      </c>
      <c r="AE58" s="1759">
        <f t="shared" si="41"/>
        <v>0.2</v>
      </c>
      <c r="AF58" s="1759">
        <f t="shared" si="42"/>
        <v>0.2</v>
      </c>
      <c r="AG58" s="1759">
        <f t="shared" si="43"/>
        <v>0.2</v>
      </c>
      <c r="AH58" s="1759">
        <f t="shared" si="44"/>
        <v>0.2</v>
      </c>
      <c r="AI58" s="1759">
        <f t="shared" si="45"/>
        <v>0.2</v>
      </c>
      <c r="AJ58" s="1759">
        <f t="shared" si="46"/>
        <v>0</v>
      </c>
      <c r="AK58" s="1761">
        <f t="shared" si="47"/>
        <v>0.2</v>
      </c>
      <c r="AL58" s="1759">
        <f t="shared" si="48"/>
        <v>0.2</v>
      </c>
      <c r="AM58" s="1759">
        <f t="shared" si="48"/>
        <v>0.2</v>
      </c>
      <c r="AN58" s="1760">
        <f t="shared" si="49"/>
        <v>0</v>
      </c>
      <c r="AO58" s="1759">
        <f t="shared" si="50"/>
        <v>0</v>
      </c>
      <c r="AP58" s="1759">
        <f t="shared" si="51"/>
        <v>0</v>
      </c>
      <c r="AQ58" s="1620"/>
      <c r="AR58" s="1647">
        <v>4.3</v>
      </c>
      <c r="AS58" s="1693" t="s">
        <v>308</v>
      </c>
      <c r="AT58" s="1737" t="s">
        <v>701</v>
      </c>
      <c r="AU58" s="1636">
        <v>0.2</v>
      </c>
      <c r="AV58" s="1636">
        <v>0.2</v>
      </c>
      <c r="AW58" s="1636">
        <v>0.2</v>
      </c>
      <c r="AX58" s="1636">
        <v>0.2</v>
      </c>
      <c r="AY58" s="1636">
        <v>0.2</v>
      </c>
      <c r="AZ58" s="1636">
        <v>0.2</v>
      </c>
      <c r="BA58" s="1636"/>
      <c r="BB58" s="1637">
        <v>0.2</v>
      </c>
      <c r="BC58" s="1636">
        <v>0.2</v>
      </c>
      <c r="BD58" s="1636">
        <v>0.2</v>
      </c>
      <c r="BE58" s="1638"/>
      <c r="BF58" s="1636"/>
      <c r="BG58" s="1636"/>
      <c r="BI58" s="1647">
        <v>4.3</v>
      </c>
      <c r="BJ58" s="1693" t="s">
        <v>308</v>
      </c>
      <c r="BK58" s="1737" t="s">
        <v>701</v>
      </c>
      <c r="BL58" s="1636">
        <v>0.2</v>
      </c>
      <c r="BM58" s="1636">
        <v>0.2</v>
      </c>
      <c r="BN58" s="1636">
        <v>0.2</v>
      </c>
      <c r="BO58" s="1636">
        <v>0.2</v>
      </c>
      <c r="BP58" s="1636">
        <v>0.2</v>
      </c>
      <c r="BQ58" s="1636">
        <v>0.2</v>
      </c>
      <c r="BR58" s="1636"/>
      <c r="BS58" s="1637">
        <v>0.2</v>
      </c>
      <c r="BT58" s="1636">
        <v>0.2</v>
      </c>
      <c r="BU58" s="1636">
        <v>0.2</v>
      </c>
      <c r="BV58" s="1638"/>
      <c r="BW58" s="1636"/>
      <c r="BX58" s="1636"/>
    </row>
    <row r="59" spans="1:77" ht="13.5" customHeight="1">
      <c r="B59" s="1621" t="str">
        <f t="shared" si="31"/>
        <v>4.3.1</v>
      </c>
      <c r="C59" s="1614" t="str">
        <f t="shared" si="32"/>
        <v>CO2の監視</v>
      </c>
      <c r="D59" s="1721">
        <f>IF(I$58&gt;0,G59/I$58,0)</f>
        <v>0.5</v>
      </c>
      <c r="E59" s="1691">
        <f>IF(J$58&gt;0,H59/J$58,0)</f>
        <v>0</v>
      </c>
      <c r="G59" s="1691">
        <f t="shared" si="36"/>
        <v>0.5</v>
      </c>
      <c r="H59" s="1691">
        <f t="shared" si="36"/>
        <v>0</v>
      </c>
      <c r="I59" s="1691"/>
      <c r="J59" s="1691"/>
      <c r="K59" s="1616">
        <f>IF(スコア表示!X59=0,0,1)</f>
        <v>1</v>
      </c>
      <c r="L59" s="1616">
        <f>IF(スコア表示!AB59=0,0,1)</f>
        <v>1</v>
      </c>
      <c r="N59" s="1708">
        <f>IF(P$58&gt;0,R59/P$58,0)</f>
        <v>0.5</v>
      </c>
      <c r="O59" s="1708">
        <f>IF(Q$58&gt;0,S59/Q$58,0)</f>
        <v>0</v>
      </c>
      <c r="P59" s="1616"/>
      <c r="Q59" s="1616"/>
      <c r="R59" s="1616">
        <f>IF(スコア入力!R59="EB",重み_対象外!D59,U59)</f>
        <v>2.4999999999999998E-2</v>
      </c>
      <c r="S59" s="1616">
        <f>IF(スコア入力!Y59="EB",重み_対象外!E59,V59)</f>
        <v>0</v>
      </c>
      <c r="T59" s="1560"/>
      <c r="U59" s="1614">
        <f>X$47*X$58*X59</f>
        <v>2.4999999999999998E-2</v>
      </c>
      <c r="V59" s="1614">
        <f>Y$47*Y$58*Y59</f>
        <v>0</v>
      </c>
      <c r="W59" s="1560"/>
      <c r="X59" s="1616">
        <f t="shared" si="18"/>
        <v>0.5</v>
      </c>
      <c r="Y59" s="1616">
        <f t="shared" si="21"/>
        <v>0</v>
      </c>
      <c r="Z59" s="1571"/>
      <c r="AA59" s="1613" t="str">
        <f t="shared" si="37"/>
        <v>4.3.1</v>
      </c>
      <c r="AB59" s="1613" t="str">
        <f t="shared" si="38"/>
        <v xml:space="preserve"> Q1 4.3</v>
      </c>
      <c r="AC59" s="1613" t="str">
        <f t="shared" si="39"/>
        <v>CO2の監視</v>
      </c>
      <c r="AD59" s="1759">
        <f t="shared" si="40"/>
        <v>0.5</v>
      </c>
      <c r="AE59" s="1759">
        <f t="shared" si="41"/>
        <v>0.5</v>
      </c>
      <c r="AF59" s="1759">
        <f t="shared" si="42"/>
        <v>0.5</v>
      </c>
      <c r="AG59" s="1759">
        <f t="shared" si="43"/>
        <v>0.5</v>
      </c>
      <c r="AH59" s="1759">
        <f t="shared" si="44"/>
        <v>0</v>
      </c>
      <c r="AI59" s="1759">
        <f t="shared" si="45"/>
        <v>0</v>
      </c>
      <c r="AJ59" s="1759">
        <f t="shared" si="46"/>
        <v>0</v>
      </c>
      <c r="AK59" s="1761">
        <f t="shared" si="47"/>
        <v>0.5</v>
      </c>
      <c r="AL59" s="1759">
        <f t="shared" si="48"/>
        <v>0.5</v>
      </c>
      <c r="AM59" s="1759">
        <f t="shared" si="48"/>
        <v>0.5</v>
      </c>
      <c r="AN59" s="1760">
        <f t="shared" si="49"/>
        <v>0</v>
      </c>
      <c r="AO59" s="1759">
        <f t="shared" si="50"/>
        <v>0</v>
      </c>
      <c r="AP59" s="1759">
        <f t="shared" si="51"/>
        <v>0</v>
      </c>
      <c r="AQ59" s="1632"/>
      <c r="AR59" s="1647" t="s">
        <v>1512</v>
      </c>
      <c r="AS59" s="1693" t="s">
        <v>317</v>
      </c>
      <c r="AT59" s="2064" t="s">
        <v>1513</v>
      </c>
      <c r="AU59" s="1636">
        <v>0.5</v>
      </c>
      <c r="AV59" s="1636">
        <v>0.5</v>
      </c>
      <c r="AW59" s="1636">
        <v>0.5</v>
      </c>
      <c r="AX59" s="1636">
        <v>0.5</v>
      </c>
      <c r="AY59" s="1636"/>
      <c r="AZ59" s="1636"/>
      <c r="BA59" s="1636"/>
      <c r="BB59" s="1637">
        <v>0.5</v>
      </c>
      <c r="BC59" s="1636">
        <v>0.5</v>
      </c>
      <c r="BD59" s="1636">
        <v>0.5</v>
      </c>
      <c r="BE59" s="1638"/>
      <c r="BF59" s="1636"/>
      <c r="BG59" s="1636"/>
      <c r="BI59" s="1647" t="s">
        <v>1512</v>
      </c>
      <c r="BJ59" s="1693" t="s">
        <v>317</v>
      </c>
      <c r="BK59" s="2064" t="s">
        <v>1513</v>
      </c>
      <c r="BL59" s="1636">
        <v>0.5</v>
      </c>
      <c r="BM59" s="1636">
        <v>0.5</v>
      </c>
      <c r="BN59" s="1636">
        <v>0.5</v>
      </c>
      <c r="BO59" s="1636">
        <v>0.5</v>
      </c>
      <c r="BP59" s="1636"/>
      <c r="BQ59" s="1636"/>
      <c r="BR59" s="1636"/>
      <c r="BS59" s="1637">
        <v>0.5</v>
      </c>
      <c r="BT59" s="1636">
        <v>0.5</v>
      </c>
      <c r="BU59" s="1636">
        <v>0.5</v>
      </c>
      <c r="BV59" s="1638"/>
      <c r="BW59" s="1636"/>
      <c r="BX59" s="1636"/>
    </row>
    <row r="60" spans="1:77" ht="13.5" customHeight="1">
      <c r="B60" s="1621" t="str">
        <f t="shared" si="31"/>
        <v>4.3.2</v>
      </c>
      <c r="C60" s="1614" t="str">
        <f t="shared" si="32"/>
        <v>喫煙の制御</v>
      </c>
      <c r="D60" s="1721">
        <f>IF(I$58&gt;0,G60/I$58,0)</f>
        <v>0.5</v>
      </c>
      <c r="E60" s="1691">
        <f>IF(J$58&gt;0,H60/J$58,0)</f>
        <v>0</v>
      </c>
      <c r="G60" s="1691">
        <f t="shared" si="36"/>
        <v>0.5</v>
      </c>
      <c r="H60" s="1691">
        <f t="shared" si="36"/>
        <v>0</v>
      </c>
      <c r="I60" s="1691"/>
      <c r="J60" s="1691"/>
      <c r="K60" s="1616">
        <f>IF(スコア表示!X60=0,0,1)</f>
        <v>1</v>
      </c>
      <c r="L60" s="1616">
        <f>IF(スコア表示!AB60=0,0,1)</f>
        <v>1</v>
      </c>
      <c r="N60" s="1708">
        <f>IF(P$58&gt;0,R60/P$58,0)</f>
        <v>0.5</v>
      </c>
      <c r="O60" s="1708">
        <f>IF(Q$58&gt;0,S60/Q$58,0)</f>
        <v>0</v>
      </c>
      <c r="P60" s="1616"/>
      <c r="Q60" s="1616"/>
      <c r="R60" s="1616">
        <f>IF(スコア入力!R60="EB",重み_対象外!D60,U60)</f>
        <v>2.4999999999999998E-2</v>
      </c>
      <c r="S60" s="1616">
        <f>IF(スコア入力!Y60="EB",重み_対象外!E60,V60)</f>
        <v>0</v>
      </c>
      <c r="T60" s="1560"/>
      <c r="U60" s="1614">
        <f>X$47*X$58*X60</f>
        <v>2.4999999999999998E-2</v>
      </c>
      <c r="V60" s="1614">
        <f>Y$47*Y$58*Y60</f>
        <v>0</v>
      </c>
      <c r="W60" s="1560"/>
      <c r="X60" s="1616">
        <f t="shared" si="18"/>
        <v>0.5</v>
      </c>
      <c r="Y60" s="1616">
        <f t="shared" si="21"/>
        <v>0</v>
      </c>
      <c r="Z60" s="1571"/>
      <c r="AA60" s="1613" t="str">
        <f t="shared" si="37"/>
        <v>4.3.2</v>
      </c>
      <c r="AB60" s="1613" t="str">
        <f t="shared" si="38"/>
        <v xml:space="preserve"> Q1 4.3</v>
      </c>
      <c r="AC60" s="1613" t="str">
        <f t="shared" si="39"/>
        <v>喫煙の制御</v>
      </c>
      <c r="AD60" s="1759">
        <f t="shared" si="40"/>
        <v>0.5</v>
      </c>
      <c r="AE60" s="1759">
        <f t="shared" si="41"/>
        <v>0.5</v>
      </c>
      <c r="AF60" s="1759">
        <f t="shared" si="42"/>
        <v>0.5</v>
      </c>
      <c r="AG60" s="1759">
        <f t="shared" si="43"/>
        <v>0.5</v>
      </c>
      <c r="AH60" s="1759">
        <f t="shared" si="44"/>
        <v>1</v>
      </c>
      <c r="AI60" s="1759">
        <f t="shared" si="45"/>
        <v>1</v>
      </c>
      <c r="AJ60" s="1759">
        <f t="shared" si="46"/>
        <v>0</v>
      </c>
      <c r="AK60" s="1761">
        <f t="shared" si="47"/>
        <v>0.5</v>
      </c>
      <c r="AL60" s="1759">
        <f t="shared" si="48"/>
        <v>0.5</v>
      </c>
      <c r="AM60" s="1759">
        <f t="shared" si="48"/>
        <v>0.5</v>
      </c>
      <c r="AN60" s="1760">
        <f t="shared" si="49"/>
        <v>0</v>
      </c>
      <c r="AO60" s="1759">
        <f t="shared" si="50"/>
        <v>0</v>
      </c>
      <c r="AP60" s="1759">
        <f t="shared" si="51"/>
        <v>0</v>
      </c>
      <c r="AQ60" s="1632"/>
      <c r="AR60" s="1647" t="s">
        <v>1514</v>
      </c>
      <c r="AS60" s="1693" t="s">
        <v>317</v>
      </c>
      <c r="AT60" s="2064" t="s">
        <v>1515</v>
      </c>
      <c r="AU60" s="1636">
        <v>0.5</v>
      </c>
      <c r="AV60" s="1636">
        <v>0.5</v>
      </c>
      <c r="AW60" s="1636">
        <v>0.5</v>
      </c>
      <c r="AX60" s="1636">
        <v>0.5</v>
      </c>
      <c r="AY60" s="1636">
        <v>1</v>
      </c>
      <c r="AZ60" s="1636">
        <v>1</v>
      </c>
      <c r="BA60" s="1636"/>
      <c r="BB60" s="1637">
        <v>0.5</v>
      </c>
      <c r="BC60" s="1636">
        <v>0.5</v>
      </c>
      <c r="BD60" s="1636">
        <v>0.5</v>
      </c>
      <c r="BE60" s="1638"/>
      <c r="BF60" s="1636"/>
      <c r="BG60" s="1636"/>
      <c r="BI60" s="1647" t="s">
        <v>1514</v>
      </c>
      <c r="BJ60" s="1693" t="s">
        <v>317</v>
      </c>
      <c r="BK60" s="2064" t="s">
        <v>1515</v>
      </c>
      <c r="BL60" s="1636">
        <v>0.5</v>
      </c>
      <c r="BM60" s="1636">
        <v>0.5</v>
      </c>
      <c r="BN60" s="1636">
        <v>0.5</v>
      </c>
      <c r="BO60" s="1636">
        <v>0.5</v>
      </c>
      <c r="BP60" s="1636">
        <v>1</v>
      </c>
      <c r="BQ60" s="1636">
        <v>1</v>
      </c>
      <c r="BR60" s="1636"/>
      <c r="BS60" s="1637">
        <v>0.5</v>
      </c>
      <c r="BT60" s="1636">
        <v>0.5</v>
      </c>
      <c r="BU60" s="1636">
        <v>0.5</v>
      </c>
      <c r="BV60" s="1638"/>
      <c r="BW60" s="1636"/>
      <c r="BX60" s="1636"/>
    </row>
    <row r="61" spans="1:77" s="1605" customFormat="1" ht="13.5" customHeight="1">
      <c r="A61"/>
      <c r="B61" s="1602" t="str">
        <f t="shared" si="31"/>
        <v>Q2</v>
      </c>
      <c r="C61" s="1597" t="str">
        <f t="shared" si="32"/>
        <v>サービス性能</v>
      </c>
      <c r="D61" s="2056">
        <f>IF(I$8=0,0,G61/I$8)</f>
        <v>0.3</v>
      </c>
      <c r="E61" s="2057">
        <f>IF(J$8=0,0,H61/J$8)</f>
        <v>0</v>
      </c>
      <c r="F61"/>
      <c r="G61" s="2057">
        <f t="shared" si="36"/>
        <v>0.3</v>
      </c>
      <c r="H61" s="2057">
        <f t="shared" si="36"/>
        <v>0</v>
      </c>
      <c r="I61" s="2057">
        <f>G62+G75+G97</f>
        <v>1</v>
      </c>
      <c r="J61" s="2057">
        <f>H62+H75+H97</f>
        <v>0</v>
      </c>
      <c r="K61" s="1600">
        <f>IF(スコア表示!X61=0,0,1)</f>
        <v>1</v>
      </c>
      <c r="L61" s="1600">
        <f>IF(スコア表示!AB61=0,0,1)</f>
        <v>0</v>
      </c>
      <c r="M61"/>
      <c r="N61" s="1706">
        <f>IF(P$8=0,0,R61/P$8)</f>
        <v>0.3</v>
      </c>
      <c r="O61" s="1706">
        <f>IF(Q$8=0,0,S61/Q$8)</f>
        <v>0</v>
      </c>
      <c r="P61" s="1600">
        <f>R62+R75+R97</f>
        <v>1</v>
      </c>
      <c r="Q61" s="1600">
        <f>S62+S75+S97</f>
        <v>0</v>
      </c>
      <c r="R61" s="1600">
        <f>IF(スコア入力!R61="EB",重み_対象外!D61,U61)</f>
        <v>0.3</v>
      </c>
      <c r="S61" s="1600">
        <f>IF(スコア入力!Y61="EB",重み_対象外!E61,V61)</f>
        <v>0</v>
      </c>
      <c r="T61" s="1560"/>
      <c r="U61" s="1753">
        <f>X61</f>
        <v>0.3</v>
      </c>
      <c r="V61" s="1753">
        <f>Y61</f>
        <v>0</v>
      </c>
      <c r="W61" s="1560"/>
      <c r="X61" s="1600">
        <f t="shared" si="18"/>
        <v>0.3</v>
      </c>
      <c r="Y61" s="1600">
        <f t="shared" si="21"/>
        <v>0</v>
      </c>
      <c r="Z61" s="1640"/>
      <c r="AA61" s="1602" t="str">
        <f t="shared" si="37"/>
        <v>Q2</v>
      </c>
      <c r="AB61" s="1602" t="str">
        <f t="shared" si="38"/>
        <v xml:space="preserve"> Q</v>
      </c>
      <c r="AC61" s="1602" t="str">
        <f t="shared" si="39"/>
        <v>サービス性能</v>
      </c>
      <c r="AD61" s="1754">
        <f t="shared" si="40"/>
        <v>0.3</v>
      </c>
      <c r="AE61" s="1754">
        <f t="shared" si="41"/>
        <v>0.3</v>
      </c>
      <c r="AF61" s="1754">
        <f t="shared" si="42"/>
        <v>0.3</v>
      </c>
      <c r="AG61" s="1754">
        <f t="shared" si="43"/>
        <v>0.3</v>
      </c>
      <c r="AH61" s="1754">
        <f t="shared" si="44"/>
        <v>0.3</v>
      </c>
      <c r="AI61" s="1754">
        <f t="shared" si="45"/>
        <v>0.3</v>
      </c>
      <c r="AJ61" s="1754">
        <f t="shared" si="46"/>
        <v>0.3</v>
      </c>
      <c r="AK61" s="1754">
        <f t="shared" si="47"/>
        <v>0.3</v>
      </c>
      <c r="AL61" s="1754">
        <f t="shared" si="48"/>
        <v>0.3</v>
      </c>
      <c r="AM61" s="1754">
        <f t="shared" si="48"/>
        <v>0.3</v>
      </c>
      <c r="AN61" s="1755">
        <f t="shared" si="49"/>
        <v>0</v>
      </c>
      <c r="AO61" s="1754">
        <f t="shared" si="50"/>
        <v>0</v>
      </c>
      <c r="AP61" s="1754">
        <f t="shared" si="51"/>
        <v>0</v>
      </c>
      <c r="AQ61" s="1604"/>
      <c r="AR61" s="1597" t="s">
        <v>1516</v>
      </c>
      <c r="AS61" s="2059" t="s">
        <v>276</v>
      </c>
      <c r="AT61" s="2058" t="s">
        <v>1517</v>
      </c>
      <c r="AU61" s="2060">
        <v>0.3</v>
      </c>
      <c r="AV61" s="2060">
        <v>0.3</v>
      </c>
      <c r="AW61" s="2060">
        <v>0.3</v>
      </c>
      <c r="AX61" s="2060">
        <v>0.3</v>
      </c>
      <c r="AY61" s="2060">
        <v>0.3</v>
      </c>
      <c r="AZ61" s="2060">
        <v>0.3</v>
      </c>
      <c r="BA61" s="2060">
        <v>0.3</v>
      </c>
      <c r="BB61" s="2060">
        <v>0.3</v>
      </c>
      <c r="BC61" s="2060">
        <v>0.3</v>
      </c>
      <c r="BD61" s="2060">
        <v>0.3</v>
      </c>
      <c r="BE61" s="2061"/>
      <c r="BF61" s="2060"/>
      <c r="BG61" s="2060"/>
      <c r="BH61"/>
      <c r="BI61" s="1597" t="s">
        <v>1516</v>
      </c>
      <c r="BJ61" s="2059" t="s">
        <v>276</v>
      </c>
      <c r="BK61" s="2058" t="s">
        <v>1517</v>
      </c>
      <c r="BL61" s="2060">
        <v>0.3</v>
      </c>
      <c r="BM61" s="2060">
        <v>0.3</v>
      </c>
      <c r="BN61" s="2060">
        <v>0.3</v>
      </c>
      <c r="BO61" s="2060">
        <v>0.3</v>
      </c>
      <c r="BP61" s="2060">
        <v>0.3</v>
      </c>
      <c r="BQ61" s="2060">
        <v>0.3</v>
      </c>
      <c r="BR61" s="2060">
        <v>0.3</v>
      </c>
      <c r="BS61" s="2060">
        <v>0.3</v>
      </c>
      <c r="BT61" s="2060">
        <v>0.3</v>
      </c>
      <c r="BU61" s="2060">
        <v>0.3</v>
      </c>
      <c r="BV61" s="2061"/>
      <c r="BW61" s="2060"/>
      <c r="BX61" s="2060"/>
      <c r="BY61"/>
    </row>
    <row r="62" spans="1:77" s="1605" customFormat="1" ht="13.5" customHeight="1">
      <c r="A62"/>
      <c r="B62" s="1606">
        <f t="shared" si="31"/>
        <v>1</v>
      </c>
      <c r="C62" s="1641" t="str">
        <f t="shared" si="32"/>
        <v>機能性</v>
      </c>
      <c r="D62" s="2062">
        <f>IF(I$61=0,0,G62/I$61)</f>
        <v>0.39999999999999991</v>
      </c>
      <c r="E62" s="1743">
        <f>IF(J$61=0,0,H62/J$61)</f>
        <v>0</v>
      </c>
      <c r="F62"/>
      <c r="G62" s="1743">
        <f t="shared" si="36"/>
        <v>0.39999999999999991</v>
      </c>
      <c r="H62" s="1743">
        <f t="shared" si="36"/>
        <v>0</v>
      </c>
      <c r="I62" s="1743">
        <f>G63+G67+G71</f>
        <v>1</v>
      </c>
      <c r="J62" s="1743">
        <f>H63+H67+H71</f>
        <v>0</v>
      </c>
      <c r="K62" s="2447">
        <f>IF(L62&gt;0,1,IF(スコア表示!X62=0,0,1))</f>
        <v>1</v>
      </c>
      <c r="L62" s="1609">
        <f>IF(スコア表示!AB62=0,0,1)</f>
        <v>0</v>
      </c>
      <c r="M62"/>
      <c r="N62" s="1707">
        <f>IF(P$61=0,0,R62/P$61)</f>
        <v>0.39999999999999991</v>
      </c>
      <c r="O62" s="1707">
        <f>IF(Q$61=0,0,S62/Q$61)</f>
        <v>0</v>
      </c>
      <c r="P62" s="1710">
        <f>SUM(R63:R74)</f>
        <v>0.39999999999999991</v>
      </c>
      <c r="Q62" s="1710">
        <f>SUM(S63:S74)</f>
        <v>0</v>
      </c>
      <c r="R62" s="1609">
        <f>IF(スコア入力!R62="EB",重み_対象外!D62,U62)</f>
        <v>0.39999999999999991</v>
      </c>
      <c r="S62" s="1609">
        <f>IF(スコア入力!Y62="EB",重み_対象外!E62,V62)</f>
        <v>0</v>
      </c>
      <c r="T62" s="1560"/>
      <c r="U62" s="1607">
        <f>SUM(U63:U74)</f>
        <v>0.39999999999999991</v>
      </c>
      <c r="V62" s="1607">
        <f>SUM(V63:V70)</f>
        <v>0</v>
      </c>
      <c r="W62" s="1560"/>
      <c r="X62" s="1609">
        <f t="shared" si="18"/>
        <v>0.39999999999999997</v>
      </c>
      <c r="Y62" s="1609">
        <v>1</v>
      </c>
      <c r="Z62" s="1642"/>
      <c r="AA62" s="1606">
        <f t="shared" si="37"/>
        <v>1</v>
      </c>
      <c r="AB62" s="1606" t="str">
        <f t="shared" si="38"/>
        <v xml:space="preserve"> Q2</v>
      </c>
      <c r="AC62" s="1606" t="str">
        <f t="shared" si="39"/>
        <v>機能性</v>
      </c>
      <c r="AD62" s="1765">
        <f t="shared" si="40"/>
        <v>0.4</v>
      </c>
      <c r="AE62" s="1765">
        <f t="shared" si="41"/>
        <v>0.4</v>
      </c>
      <c r="AF62" s="1765">
        <f t="shared" si="42"/>
        <v>0.4</v>
      </c>
      <c r="AG62" s="1765">
        <f t="shared" si="43"/>
        <v>0.4</v>
      </c>
      <c r="AH62" s="1765">
        <f t="shared" si="44"/>
        <v>0.4</v>
      </c>
      <c r="AI62" s="1765">
        <f t="shared" si="45"/>
        <v>0.4</v>
      </c>
      <c r="AJ62" s="1765">
        <f t="shared" si="46"/>
        <v>0.4</v>
      </c>
      <c r="AK62" s="1762">
        <f t="shared" si="47"/>
        <v>0.4</v>
      </c>
      <c r="AL62" s="1765">
        <f t="shared" si="48"/>
        <v>0.4</v>
      </c>
      <c r="AM62" s="1765">
        <f t="shared" si="48"/>
        <v>0.4</v>
      </c>
      <c r="AN62" s="1766">
        <f t="shared" si="49"/>
        <v>0</v>
      </c>
      <c r="AO62" s="1765">
        <f t="shared" si="50"/>
        <v>0</v>
      </c>
      <c r="AP62" s="1765">
        <f t="shared" si="51"/>
        <v>0</v>
      </c>
      <c r="AQ62" s="1612"/>
      <c r="AR62" s="1641">
        <v>1</v>
      </c>
      <c r="AS62" s="1744" t="s">
        <v>318</v>
      </c>
      <c r="AT62" s="1780" t="s">
        <v>319</v>
      </c>
      <c r="AU62" s="2079">
        <v>0.4</v>
      </c>
      <c r="AV62" s="2079">
        <v>0.4</v>
      </c>
      <c r="AW62" s="2079">
        <v>0.4</v>
      </c>
      <c r="AX62" s="2079">
        <v>0.4</v>
      </c>
      <c r="AY62" s="2079">
        <v>0.4</v>
      </c>
      <c r="AZ62" s="2079">
        <v>0.4</v>
      </c>
      <c r="BA62" s="2079">
        <v>0.4</v>
      </c>
      <c r="BB62" s="2081">
        <v>0.4</v>
      </c>
      <c r="BC62" s="2079">
        <v>0.4</v>
      </c>
      <c r="BD62" s="2079">
        <v>0.4</v>
      </c>
      <c r="BE62" s="2080"/>
      <c r="BF62" s="2079"/>
      <c r="BG62" s="2079"/>
      <c r="BH62"/>
      <c r="BI62" s="1641">
        <v>1</v>
      </c>
      <c r="BJ62" s="1744" t="s">
        <v>318</v>
      </c>
      <c r="BK62" s="1780" t="s">
        <v>319</v>
      </c>
      <c r="BL62" s="2079">
        <v>0.4</v>
      </c>
      <c r="BM62" s="2079">
        <v>0.4</v>
      </c>
      <c r="BN62" s="2079">
        <v>0.4</v>
      </c>
      <c r="BO62" s="2079">
        <v>0.4</v>
      </c>
      <c r="BP62" s="2079">
        <v>0.4</v>
      </c>
      <c r="BQ62" s="2079">
        <v>0.4</v>
      </c>
      <c r="BR62" s="2079">
        <v>0.4</v>
      </c>
      <c r="BS62" s="2081">
        <v>0.4</v>
      </c>
      <c r="BT62" s="2079">
        <v>0.4</v>
      </c>
      <c r="BU62" s="2079">
        <v>0.4</v>
      </c>
      <c r="BV62" s="2080"/>
      <c r="BW62" s="2079"/>
      <c r="BX62" s="2079"/>
      <c r="BY62"/>
    </row>
    <row r="63" spans="1:77" ht="13.5" customHeight="1">
      <c r="B63" s="1621">
        <f t="shared" si="31"/>
        <v>1.1000000000000001</v>
      </c>
      <c r="C63" s="1614" t="str">
        <f t="shared" si="32"/>
        <v>機能性・使いやすさ</v>
      </c>
      <c r="D63" s="1716">
        <f>IF(I$62=0,0,G63/I$62)</f>
        <v>0.4</v>
      </c>
      <c r="E63" s="1691">
        <f>IF(J$62=0,0,H63/J$62)</f>
        <v>0</v>
      </c>
      <c r="G63" s="1691">
        <f t="shared" si="36"/>
        <v>0.4</v>
      </c>
      <c r="H63" s="1691">
        <f t="shared" si="36"/>
        <v>0</v>
      </c>
      <c r="I63" s="1691">
        <f>SUM(G64:G66)</f>
        <v>1</v>
      </c>
      <c r="J63" s="1691">
        <f>SUM(H64:H66)</f>
        <v>0</v>
      </c>
      <c r="K63" s="1616">
        <f>IF(スコア表示!X63=0,0,1)</f>
        <v>1</v>
      </c>
      <c r="L63" s="1616">
        <f>IF(スコア表示!AB63=0,0,1)</f>
        <v>0</v>
      </c>
      <c r="N63" s="1713">
        <f>IF(P$62=0,0,P63/P$62)</f>
        <v>0.4</v>
      </c>
      <c r="O63" s="1713">
        <f>IF(Q$62=0,0,Q63/Q$62)</f>
        <v>0</v>
      </c>
      <c r="P63" s="1616">
        <f>SUM(R64:R66)</f>
        <v>0.15999999999999998</v>
      </c>
      <c r="Q63" s="1616">
        <f>SUM(S64:S66)</f>
        <v>0</v>
      </c>
      <c r="R63" s="1616">
        <f>IF(スコア入力!R63="EB",重み_対象外!D63,U63)</f>
        <v>0</v>
      </c>
      <c r="S63" s="1616">
        <f>IF(スコア入力!Y63="EB",重み_対象外!E63,V63)</f>
        <v>0</v>
      </c>
      <c r="T63" s="1560"/>
      <c r="U63" s="1614"/>
      <c r="V63" s="1614"/>
      <c r="W63" s="1560"/>
      <c r="X63" s="1616">
        <f t="shared" si="18"/>
        <v>0.39999999999999997</v>
      </c>
      <c r="Y63" s="1616">
        <f t="shared" si="21"/>
        <v>0</v>
      </c>
      <c r="Z63" s="1644"/>
      <c r="AA63" s="1613">
        <f t="shared" si="37"/>
        <v>1.1000000000000001</v>
      </c>
      <c r="AB63" s="1613" t="str">
        <f t="shared" si="38"/>
        <v xml:space="preserve"> Q2 1</v>
      </c>
      <c r="AC63" s="1613" t="str">
        <f t="shared" si="39"/>
        <v>機能性・使いやすさ</v>
      </c>
      <c r="AD63" s="1759">
        <f t="shared" si="40"/>
        <v>0.4</v>
      </c>
      <c r="AE63" s="1759">
        <f t="shared" si="41"/>
        <v>0.4</v>
      </c>
      <c r="AF63" s="1759">
        <f t="shared" si="42"/>
        <v>0.4</v>
      </c>
      <c r="AG63" s="1759">
        <f t="shared" si="43"/>
        <v>0.4</v>
      </c>
      <c r="AH63" s="1759">
        <f t="shared" si="44"/>
        <v>0.4</v>
      </c>
      <c r="AI63" s="1759">
        <f t="shared" si="45"/>
        <v>0.4</v>
      </c>
      <c r="AJ63" s="1759">
        <f t="shared" si="46"/>
        <v>0.4</v>
      </c>
      <c r="AK63" s="1763">
        <f t="shared" si="47"/>
        <v>0.4</v>
      </c>
      <c r="AL63" s="1759">
        <f t="shared" si="48"/>
        <v>0.4</v>
      </c>
      <c r="AM63" s="1759">
        <f t="shared" si="48"/>
        <v>0.4</v>
      </c>
      <c r="AN63" s="1760">
        <f t="shared" si="49"/>
        <v>0.6</v>
      </c>
      <c r="AO63" s="1759">
        <f t="shared" si="50"/>
        <v>0.6</v>
      </c>
      <c r="AP63" s="1759">
        <f t="shared" si="51"/>
        <v>0.6</v>
      </c>
      <c r="AQ63" s="1620"/>
      <c r="AR63" s="1647">
        <v>1.1000000000000001</v>
      </c>
      <c r="AS63" s="1693" t="s">
        <v>320</v>
      </c>
      <c r="AT63" s="2064" t="s">
        <v>417</v>
      </c>
      <c r="AU63" s="1623">
        <v>0.4</v>
      </c>
      <c r="AV63" s="1623">
        <v>0.4</v>
      </c>
      <c r="AW63" s="1623">
        <v>0.4</v>
      </c>
      <c r="AX63" s="1623">
        <v>0.4</v>
      </c>
      <c r="AY63" s="1623">
        <v>0.4</v>
      </c>
      <c r="AZ63" s="1623">
        <v>0.4</v>
      </c>
      <c r="BA63" s="1623">
        <v>0.4</v>
      </c>
      <c r="BB63" s="1624">
        <v>0.4</v>
      </c>
      <c r="BC63" s="1623">
        <v>0.4</v>
      </c>
      <c r="BD63" s="1623">
        <v>0.4</v>
      </c>
      <c r="BE63" s="1623">
        <v>0.6</v>
      </c>
      <c r="BF63" s="1623">
        <v>0.6</v>
      </c>
      <c r="BG63" s="1623">
        <v>0.6</v>
      </c>
      <c r="BI63" s="1647">
        <v>1.1000000000000001</v>
      </c>
      <c r="BJ63" s="1693" t="s">
        <v>320</v>
      </c>
      <c r="BK63" s="2064" t="s">
        <v>417</v>
      </c>
      <c r="BL63" s="1623">
        <v>0.4</v>
      </c>
      <c r="BM63" s="1623">
        <v>0.4</v>
      </c>
      <c r="BN63" s="1623">
        <v>0.4</v>
      </c>
      <c r="BO63" s="1623">
        <v>0.4</v>
      </c>
      <c r="BP63" s="1623">
        <v>0.4</v>
      </c>
      <c r="BQ63" s="1623">
        <v>0.4</v>
      </c>
      <c r="BR63" s="1623">
        <v>0.4</v>
      </c>
      <c r="BS63" s="1624">
        <v>0.4</v>
      </c>
      <c r="BT63" s="1623">
        <v>0.4</v>
      </c>
      <c r="BU63" s="1623">
        <v>0.4</v>
      </c>
      <c r="BV63" s="1623">
        <v>0.6</v>
      </c>
      <c r="BW63" s="1623">
        <v>0.6</v>
      </c>
      <c r="BX63" s="1623">
        <v>0.6</v>
      </c>
    </row>
    <row r="64" spans="1:77" ht="13.5" customHeight="1">
      <c r="B64" s="1621" t="str">
        <f t="shared" si="31"/>
        <v>1.1.1</v>
      </c>
      <c r="C64" s="1614" t="str">
        <f t="shared" si="32"/>
        <v>広さ・収納性</v>
      </c>
      <c r="D64" s="1721">
        <f t="shared" ref="D64:E66" si="61">IF(I$63&gt;0,G64/I$63,0)</f>
        <v>0.23333333333333331</v>
      </c>
      <c r="E64" s="1691">
        <f t="shared" si="61"/>
        <v>0</v>
      </c>
      <c r="G64" s="1691">
        <f t="shared" si="36"/>
        <v>0.23333333333333331</v>
      </c>
      <c r="H64" s="1691">
        <f t="shared" si="36"/>
        <v>0</v>
      </c>
      <c r="I64" s="1691"/>
      <c r="J64" s="1691"/>
      <c r="K64" s="1616">
        <f>IF(スコア表示!X64=0,0,1)</f>
        <v>1</v>
      </c>
      <c r="L64" s="1616">
        <f>IF(スコア表示!AB64=0,0,1)</f>
        <v>1</v>
      </c>
      <c r="N64" s="1708">
        <f t="shared" ref="N64:O66" si="62">IF(P$63&gt;0,R64/P$63,0)</f>
        <v>0.23333333333333331</v>
      </c>
      <c r="O64" s="1708">
        <f t="shared" si="62"/>
        <v>0</v>
      </c>
      <c r="P64" s="1616"/>
      <c r="Q64" s="1616"/>
      <c r="R64" s="1616">
        <f>IF(スコア入力!R64="EB",重み_対象外!D64,U64)</f>
        <v>3.7333333333333323E-2</v>
      </c>
      <c r="S64" s="1616">
        <f>IF(スコア入力!Y64="EB",重み_対象外!E64,V64)</f>
        <v>0</v>
      </c>
      <c r="T64" s="1560"/>
      <c r="U64" s="1614">
        <f t="shared" ref="U64:V66" si="63">X$62*X$63*X64</f>
        <v>3.7333333333333323E-2</v>
      </c>
      <c r="V64" s="1614">
        <f t="shared" si="63"/>
        <v>0</v>
      </c>
      <c r="W64" s="1560"/>
      <c r="X64" s="1616">
        <f t="shared" si="18"/>
        <v>0.23333333333333331</v>
      </c>
      <c r="Y64" s="1616">
        <f t="shared" si="21"/>
        <v>0</v>
      </c>
      <c r="Z64" s="1645"/>
      <c r="AA64" s="1613" t="str">
        <f t="shared" si="37"/>
        <v>1.1.1</v>
      </c>
      <c r="AB64" s="1613" t="str">
        <f t="shared" si="38"/>
        <v xml:space="preserve"> Q2 1.1</v>
      </c>
      <c r="AC64" s="1613" t="str">
        <f t="shared" si="39"/>
        <v>広さ・収納性</v>
      </c>
      <c r="AD64" s="1759">
        <f t="shared" si="40"/>
        <v>0.33333333333333331</v>
      </c>
      <c r="AE64" s="1759">
        <f t="shared" si="41"/>
        <v>0</v>
      </c>
      <c r="AF64" s="1759">
        <f t="shared" si="42"/>
        <v>0</v>
      </c>
      <c r="AG64" s="1759">
        <f t="shared" si="43"/>
        <v>0</v>
      </c>
      <c r="AH64" s="1759">
        <f t="shared" si="44"/>
        <v>0</v>
      </c>
      <c r="AI64" s="1759">
        <f t="shared" si="45"/>
        <v>0</v>
      </c>
      <c r="AJ64" s="1759">
        <f t="shared" si="46"/>
        <v>0</v>
      </c>
      <c r="AK64" s="1763">
        <f t="shared" si="47"/>
        <v>0</v>
      </c>
      <c r="AL64" s="1759">
        <f t="shared" si="48"/>
        <v>0.33333333333333331</v>
      </c>
      <c r="AM64" s="1759">
        <f t="shared" si="48"/>
        <v>0</v>
      </c>
      <c r="AN64" s="1619">
        <f t="shared" si="49"/>
        <v>1</v>
      </c>
      <c r="AO64" s="1618">
        <f t="shared" si="50"/>
        <v>0.5</v>
      </c>
      <c r="AP64" s="1618">
        <f t="shared" si="51"/>
        <v>0</v>
      </c>
      <c r="AQ64" s="1632"/>
      <c r="AR64" s="1647" t="s">
        <v>1518</v>
      </c>
      <c r="AS64" s="1693" t="s">
        <v>321</v>
      </c>
      <c r="AT64" s="2064" t="s">
        <v>322</v>
      </c>
      <c r="AU64" s="1623">
        <v>0.33333333333333331</v>
      </c>
      <c r="AV64" s="1623"/>
      <c r="AW64" s="1623"/>
      <c r="AX64" s="1623"/>
      <c r="AY64" s="1623"/>
      <c r="AZ64" s="1623"/>
      <c r="BA64" s="1623"/>
      <c r="BB64" s="1624"/>
      <c r="BC64" s="1623">
        <v>0.33333333333333331</v>
      </c>
      <c r="BD64" s="1623"/>
      <c r="BE64" s="1625">
        <v>1</v>
      </c>
      <c r="BF64" s="1623">
        <v>0.5</v>
      </c>
      <c r="BG64" s="1623"/>
      <c r="BI64" s="1647" t="s">
        <v>1518</v>
      </c>
      <c r="BJ64" s="1693" t="s">
        <v>321</v>
      </c>
      <c r="BK64" s="2064" t="s">
        <v>322</v>
      </c>
      <c r="BL64" s="1623">
        <v>0.33333333333333331</v>
      </c>
      <c r="BM64" s="1623"/>
      <c r="BN64" s="1623"/>
      <c r="BO64" s="1623"/>
      <c r="BP64" s="1623"/>
      <c r="BQ64" s="1623"/>
      <c r="BR64" s="1623"/>
      <c r="BS64" s="1624"/>
      <c r="BT64" s="1623">
        <v>0.33333333333333331</v>
      </c>
      <c r="BU64" s="1623"/>
      <c r="BV64" s="1625">
        <v>1</v>
      </c>
      <c r="BW64" s="1623">
        <v>0.5</v>
      </c>
      <c r="BX64" s="1623"/>
    </row>
    <row r="65" spans="1:77" ht="13.5" customHeight="1">
      <c r="B65" s="1621" t="str">
        <f t="shared" si="31"/>
        <v>1.1.2</v>
      </c>
      <c r="C65" s="1614" t="str">
        <f t="shared" si="32"/>
        <v>高度情報通信設備対応</v>
      </c>
      <c r="D65" s="1721">
        <f t="shared" si="61"/>
        <v>0.23333333333333331</v>
      </c>
      <c r="E65" s="1691">
        <f t="shared" si="61"/>
        <v>0</v>
      </c>
      <c r="G65" s="1691">
        <f t="shared" si="36"/>
        <v>0.23333333333333331</v>
      </c>
      <c r="H65" s="1691">
        <f t="shared" si="36"/>
        <v>0</v>
      </c>
      <c r="I65" s="1691"/>
      <c r="J65" s="1691"/>
      <c r="K65" s="1616">
        <f>IF(スコア表示!X65=0,0,1)</f>
        <v>1</v>
      </c>
      <c r="L65" s="1616">
        <f>IF(スコア表示!AB65=0,0,1)</f>
        <v>0</v>
      </c>
      <c r="N65" s="1708">
        <f t="shared" si="62"/>
        <v>0.23333333333333331</v>
      </c>
      <c r="O65" s="1708">
        <f t="shared" si="62"/>
        <v>0</v>
      </c>
      <c r="P65" s="1616"/>
      <c r="Q65" s="1616"/>
      <c r="R65" s="1616">
        <f>IF(スコア入力!R65="EB",重み_対象外!D65,U65)</f>
        <v>3.7333333333333323E-2</v>
      </c>
      <c r="S65" s="1616">
        <f>IF(スコア入力!Y65="EB",重み_対象外!E65,V65)</f>
        <v>0</v>
      </c>
      <c r="T65" s="1560"/>
      <c r="U65" s="1614">
        <f t="shared" si="63"/>
        <v>3.7333333333333323E-2</v>
      </c>
      <c r="V65" s="1614">
        <f t="shared" si="63"/>
        <v>0</v>
      </c>
      <c r="W65" s="1560"/>
      <c r="X65" s="1616">
        <f t="shared" si="18"/>
        <v>0.23333333333333331</v>
      </c>
      <c r="Y65" s="1616">
        <f t="shared" si="21"/>
        <v>0</v>
      </c>
      <c r="Z65" s="1645"/>
      <c r="AA65" s="1613" t="str">
        <f t="shared" si="37"/>
        <v>1.1.2</v>
      </c>
      <c r="AB65" s="1613" t="str">
        <f t="shared" si="38"/>
        <v xml:space="preserve"> Q2 1.1</v>
      </c>
      <c r="AC65" s="1613" t="str">
        <f t="shared" si="39"/>
        <v>高度情報通信設備対応</v>
      </c>
      <c r="AD65" s="1759">
        <f t="shared" si="40"/>
        <v>0.33333333333333331</v>
      </c>
      <c r="AE65" s="1759">
        <f t="shared" si="41"/>
        <v>0</v>
      </c>
      <c r="AF65" s="1759">
        <f t="shared" si="42"/>
        <v>0</v>
      </c>
      <c r="AG65" s="1759">
        <f t="shared" si="43"/>
        <v>0</v>
      </c>
      <c r="AH65" s="1759">
        <f t="shared" si="44"/>
        <v>0</v>
      </c>
      <c r="AI65" s="1759">
        <f t="shared" si="45"/>
        <v>0</v>
      </c>
      <c r="AJ65" s="1759">
        <f t="shared" si="46"/>
        <v>0</v>
      </c>
      <c r="AK65" s="1763">
        <f t="shared" si="47"/>
        <v>0</v>
      </c>
      <c r="AL65" s="1759">
        <f t="shared" si="48"/>
        <v>0.33333333333333331</v>
      </c>
      <c r="AM65" s="1759">
        <f t="shared" si="48"/>
        <v>0</v>
      </c>
      <c r="AN65" s="1619">
        <f t="shared" si="49"/>
        <v>0</v>
      </c>
      <c r="AO65" s="1618">
        <f t="shared" si="50"/>
        <v>0.5</v>
      </c>
      <c r="AP65" s="1618">
        <f t="shared" si="51"/>
        <v>1</v>
      </c>
      <c r="AQ65" s="1632"/>
      <c r="AR65" s="1647" t="s">
        <v>1519</v>
      </c>
      <c r="AS65" s="1693" t="s">
        <v>321</v>
      </c>
      <c r="AT65" s="2064" t="s">
        <v>1520</v>
      </c>
      <c r="AU65" s="1623">
        <v>0.33333333333333331</v>
      </c>
      <c r="AV65" s="1623"/>
      <c r="AW65" s="1623"/>
      <c r="AX65" s="1623"/>
      <c r="AY65" s="1623"/>
      <c r="AZ65" s="1623"/>
      <c r="BA65" s="1623"/>
      <c r="BB65" s="1624"/>
      <c r="BC65" s="1623">
        <v>0.33333333333333331</v>
      </c>
      <c r="BD65" s="1623"/>
      <c r="BE65" s="1625"/>
      <c r="BF65" s="1623">
        <v>0.5</v>
      </c>
      <c r="BG65" s="1623">
        <v>1</v>
      </c>
      <c r="BI65" s="1647" t="s">
        <v>1519</v>
      </c>
      <c r="BJ65" s="1693" t="s">
        <v>321</v>
      </c>
      <c r="BK65" s="2064" t="s">
        <v>1520</v>
      </c>
      <c r="BL65" s="1623">
        <v>0.33333333333333331</v>
      </c>
      <c r="BM65" s="1623"/>
      <c r="BN65" s="1623"/>
      <c r="BO65" s="1623"/>
      <c r="BP65" s="1623"/>
      <c r="BQ65" s="1623"/>
      <c r="BR65" s="1623"/>
      <c r="BS65" s="1624"/>
      <c r="BT65" s="1623">
        <v>0.33333333333333331</v>
      </c>
      <c r="BU65" s="1623"/>
      <c r="BV65" s="1625"/>
      <c r="BW65" s="1623">
        <v>0.5</v>
      </c>
      <c r="BX65" s="1623">
        <v>1</v>
      </c>
    </row>
    <row r="66" spans="1:77" ht="13.5" customHeight="1">
      <c r="B66" s="1621" t="str">
        <f t="shared" si="31"/>
        <v>1.1.3</v>
      </c>
      <c r="C66" s="1614" t="str">
        <f t="shared" si="32"/>
        <v>バリアフリー計画</v>
      </c>
      <c r="D66" s="1721">
        <f t="shared" si="61"/>
        <v>0.53333333333333333</v>
      </c>
      <c r="E66" s="1691">
        <f t="shared" si="61"/>
        <v>0</v>
      </c>
      <c r="G66" s="1691">
        <f t="shared" si="36"/>
        <v>0.53333333333333333</v>
      </c>
      <c r="H66" s="1691">
        <f t="shared" si="36"/>
        <v>0</v>
      </c>
      <c r="I66" s="1691"/>
      <c r="J66" s="1691"/>
      <c r="K66" s="1616">
        <f>IF(スコア表示!X66=0,0,1)</f>
        <v>1</v>
      </c>
      <c r="L66" s="1616">
        <f>IF(スコア表示!AB66=0,0,1)</f>
        <v>0</v>
      </c>
      <c r="N66" s="1708">
        <f t="shared" si="62"/>
        <v>0.53333333333333333</v>
      </c>
      <c r="O66" s="1708">
        <f t="shared" si="62"/>
        <v>0</v>
      </c>
      <c r="P66" s="1616"/>
      <c r="Q66" s="1616"/>
      <c r="R66" s="1616">
        <f>IF(スコア入力!R66="EB",重み_対象外!D66,U66)</f>
        <v>8.5333333333333317E-2</v>
      </c>
      <c r="S66" s="1616">
        <f>IF(スコア入力!Y66="EB",重み_対象外!E66,V66)</f>
        <v>0</v>
      </c>
      <c r="T66" s="1560"/>
      <c r="U66" s="1614">
        <f t="shared" si="63"/>
        <v>8.5333333333333317E-2</v>
      </c>
      <c r="V66" s="1614">
        <f t="shared" si="63"/>
        <v>0</v>
      </c>
      <c r="W66" s="1560"/>
      <c r="X66" s="1616">
        <f t="shared" si="18"/>
        <v>0.53333333333333333</v>
      </c>
      <c r="Y66" s="1616">
        <f t="shared" si="21"/>
        <v>0</v>
      </c>
      <c r="Z66" s="1645"/>
      <c r="AA66" s="1613" t="str">
        <f t="shared" si="37"/>
        <v>1.1.3</v>
      </c>
      <c r="AB66" s="1613" t="str">
        <f t="shared" si="38"/>
        <v xml:space="preserve"> Q2 1.1</v>
      </c>
      <c r="AC66" s="1613" t="str">
        <f t="shared" si="39"/>
        <v>バリアフリー計画</v>
      </c>
      <c r="AD66" s="1759">
        <f t="shared" si="40"/>
        <v>0.33333333333333331</v>
      </c>
      <c r="AE66" s="1759">
        <f t="shared" si="41"/>
        <v>1</v>
      </c>
      <c r="AF66" s="1759">
        <f t="shared" si="42"/>
        <v>1</v>
      </c>
      <c r="AG66" s="1759">
        <f t="shared" si="43"/>
        <v>1</v>
      </c>
      <c r="AH66" s="1759">
        <f t="shared" si="44"/>
        <v>1</v>
      </c>
      <c r="AI66" s="1759">
        <f t="shared" si="45"/>
        <v>1</v>
      </c>
      <c r="AJ66" s="1759">
        <f t="shared" si="46"/>
        <v>1</v>
      </c>
      <c r="AK66" s="1763">
        <f t="shared" si="47"/>
        <v>1</v>
      </c>
      <c r="AL66" s="1759">
        <f t="shared" si="48"/>
        <v>0.33333333333333331</v>
      </c>
      <c r="AM66" s="1759">
        <f t="shared" si="48"/>
        <v>1</v>
      </c>
      <c r="AN66" s="1619">
        <f t="shared" si="49"/>
        <v>0</v>
      </c>
      <c r="AO66" s="1618">
        <f t="shared" si="50"/>
        <v>0</v>
      </c>
      <c r="AP66" s="1618">
        <f t="shared" si="51"/>
        <v>0</v>
      </c>
      <c r="AQ66" s="1632"/>
      <c r="AR66" s="1647" t="s">
        <v>1521</v>
      </c>
      <c r="AS66" s="1693" t="s">
        <v>321</v>
      </c>
      <c r="AT66" s="2064" t="s">
        <v>323</v>
      </c>
      <c r="AU66" s="1623">
        <v>0.33333333333333331</v>
      </c>
      <c r="AV66" s="1623">
        <v>1</v>
      </c>
      <c r="AW66" s="1623">
        <v>1</v>
      </c>
      <c r="AX66" s="1623">
        <v>1</v>
      </c>
      <c r="AY66" s="1623">
        <v>1</v>
      </c>
      <c r="AZ66" s="1623">
        <v>1</v>
      </c>
      <c r="BA66" s="1623">
        <v>1</v>
      </c>
      <c r="BB66" s="1624">
        <v>1</v>
      </c>
      <c r="BC66" s="1623">
        <v>0.33333333333333331</v>
      </c>
      <c r="BD66" s="1623">
        <v>1</v>
      </c>
      <c r="BE66" s="1625"/>
      <c r="BF66" s="1623"/>
      <c r="BG66" s="1623"/>
      <c r="BI66" s="1647" t="s">
        <v>1521</v>
      </c>
      <c r="BJ66" s="1693" t="s">
        <v>321</v>
      </c>
      <c r="BK66" s="2064" t="s">
        <v>323</v>
      </c>
      <c r="BL66" s="1623">
        <v>0.33333333333333331</v>
      </c>
      <c r="BM66" s="1623">
        <v>1</v>
      </c>
      <c r="BN66" s="1623">
        <v>1</v>
      </c>
      <c r="BO66" s="1623">
        <v>1</v>
      </c>
      <c r="BP66" s="1623">
        <v>1</v>
      </c>
      <c r="BQ66" s="1623">
        <v>1</v>
      </c>
      <c r="BR66" s="1623">
        <v>1</v>
      </c>
      <c r="BS66" s="1624">
        <v>1</v>
      </c>
      <c r="BT66" s="1623">
        <v>0.33333333333333331</v>
      </c>
      <c r="BU66" s="1623">
        <v>1</v>
      </c>
      <c r="BV66" s="1625"/>
      <c r="BW66" s="1623"/>
      <c r="BX66" s="1623"/>
    </row>
    <row r="67" spans="1:77" ht="13.5" customHeight="1">
      <c r="B67" s="1621">
        <f t="shared" si="31"/>
        <v>1.2</v>
      </c>
      <c r="C67" s="1614" t="str">
        <f t="shared" si="32"/>
        <v>心理性・快適性</v>
      </c>
      <c r="D67" s="1716">
        <f>IF(I$62=0,0,G67/I$62)</f>
        <v>0.30000000000000004</v>
      </c>
      <c r="E67" s="1691">
        <f>IF(J$62=0,0,H67/J$62)</f>
        <v>0</v>
      </c>
      <c r="G67" s="1691">
        <f t="shared" si="36"/>
        <v>0.30000000000000004</v>
      </c>
      <c r="H67" s="1691">
        <f t="shared" si="36"/>
        <v>0</v>
      </c>
      <c r="I67" s="1691">
        <f>G68+G69+G70</f>
        <v>1</v>
      </c>
      <c r="J67" s="1691">
        <f>H68+H69+H70</f>
        <v>0</v>
      </c>
      <c r="K67" s="1616">
        <f>IF(スコア表示!X67=0,0,1)</f>
        <v>1</v>
      </c>
      <c r="L67" s="1616">
        <f>IF(スコア表示!AB67=0,0,1)</f>
        <v>0</v>
      </c>
      <c r="N67" s="1713">
        <f>IF(P$62=0,0,P67/P$62)</f>
        <v>0.30000000000000004</v>
      </c>
      <c r="O67" s="1713">
        <f>IF(Q$62=0,0,Q67/Q$62)</f>
        <v>0</v>
      </c>
      <c r="P67" s="1616">
        <f>R68+R69+R70</f>
        <v>0.11999999999999998</v>
      </c>
      <c r="Q67" s="1616">
        <f>S68+S69+S70</f>
        <v>0</v>
      </c>
      <c r="R67" s="1616">
        <f>IF(スコア入力!R67="EB",重み_対象外!D67,U67)</f>
        <v>0</v>
      </c>
      <c r="S67" s="1616">
        <f>IF(スコア入力!Y67="EB",重み_対象外!E67,V67)</f>
        <v>0</v>
      </c>
      <c r="T67" s="1560"/>
      <c r="U67" s="1614"/>
      <c r="V67" s="1614"/>
      <c r="W67" s="1560"/>
      <c r="X67" s="1616">
        <f t="shared" si="18"/>
        <v>0.3</v>
      </c>
      <c r="Y67" s="1616">
        <f t="shared" si="21"/>
        <v>0</v>
      </c>
      <c r="Z67" s="1644"/>
      <c r="AA67" s="1613">
        <f t="shared" si="37"/>
        <v>1.2</v>
      </c>
      <c r="AB67" s="1613" t="str">
        <f t="shared" si="38"/>
        <v xml:space="preserve"> Q2 1</v>
      </c>
      <c r="AC67" s="1613" t="str">
        <f t="shared" si="39"/>
        <v>心理性・快適性</v>
      </c>
      <c r="AD67" s="1759">
        <f t="shared" si="40"/>
        <v>0.3</v>
      </c>
      <c r="AE67" s="1759">
        <f t="shared" si="41"/>
        <v>0.3</v>
      </c>
      <c r="AF67" s="1759">
        <f t="shared" si="42"/>
        <v>0.3</v>
      </c>
      <c r="AG67" s="1759">
        <f t="shared" si="43"/>
        <v>0.3</v>
      </c>
      <c r="AH67" s="1759">
        <f t="shared" si="44"/>
        <v>0.3</v>
      </c>
      <c r="AI67" s="1759">
        <f t="shared" si="45"/>
        <v>0.3</v>
      </c>
      <c r="AJ67" s="1759">
        <f t="shared" si="46"/>
        <v>0.3</v>
      </c>
      <c r="AK67" s="1763">
        <f t="shared" si="47"/>
        <v>0.3</v>
      </c>
      <c r="AL67" s="1759">
        <f t="shared" si="48"/>
        <v>0.3</v>
      </c>
      <c r="AM67" s="1759">
        <f t="shared" si="48"/>
        <v>0.3</v>
      </c>
      <c r="AN67" s="1619">
        <f t="shared" si="49"/>
        <v>0.4</v>
      </c>
      <c r="AO67" s="1618">
        <f t="shared" si="50"/>
        <v>0.4</v>
      </c>
      <c r="AP67" s="1618">
        <f t="shared" si="51"/>
        <v>0.4</v>
      </c>
      <c r="AQ67" s="1620"/>
      <c r="AR67" s="1647">
        <v>1.2</v>
      </c>
      <c r="AS67" s="1693" t="s">
        <v>320</v>
      </c>
      <c r="AT67" s="2064" t="s">
        <v>715</v>
      </c>
      <c r="AU67" s="1623">
        <v>0.3</v>
      </c>
      <c r="AV67" s="1623">
        <v>0.3</v>
      </c>
      <c r="AW67" s="1623">
        <v>0.3</v>
      </c>
      <c r="AX67" s="1623">
        <v>0.3</v>
      </c>
      <c r="AY67" s="1623">
        <v>0.3</v>
      </c>
      <c r="AZ67" s="1623">
        <v>0.3</v>
      </c>
      <c r="BA67" s="1623">
        <v>0.3</v>
      </c>
      <c r="BB67" s="1624">
        <v>0.3</v>
      </c>
      <c r="BC67" s="1623">
        <v>0.3</v>
      </c>
      <c r="BD67" s="1623">
        <v>0.3</v>
      </c>
      <c r="BE67" s="1623">
        <v>0.4</v>
      </c>
      <c r="BF67" s="1623">
        <v>0.4</v>
      </c>
      <c r="BG67" s="1623">
        <v>0.4</v>
      </c>
      <c r="BI67" s="1647">
        <v>1.2</v>
      </c>
      <c r="BJ67" s="1693" t="s">
        <v>320</v>
      </c>
      <c r="BK67" s="2064" t="s">
        <v>715</v>
      </c>
      <c r="BL67" s="1623">
        <v>0.3</v>
      </c>
      <c r="BM67" s="1623">
        <v>0.3</v>
      </c>
      <c r="BN67" s="1623">
        <v>0.3</v>
      </c>
      <c r="BO67" s="1623">
        <v>0.3</v>
      </c>
      <c r="BP67" s="1623">
        <v>0.3</v>
      </c>
      <c r="BQ67" s="1623">
        <v>0.3</v>
      </c>
      <c r="BR67" s="1623">
        <v>0.3</v>
      </c>
      <c r="BS67" s="1624">
        <v>0.3</v>
      </c>
      <c r="BT67" s="1623">
        <v>0.3</v>
      </c>
      <c r="BU67" s="1623">
        <v>0.3</v>
      </c>
      <c r="BV67" s="1623">
        <v>0.4</v>
      </c>
      <c r="BW67" s="1623">
        <v>0.4</v>
      </c>
      <c r="BX67" s="1623">
        <v>0.4</v>
      </c>
    </row>
    <row r="68" spans="1:77" ht="13.5" customHeight="1">
      <c r="B68" s="1621" t="str">
        <f t="shared" si="31"/>
        <v>1.2.1</v>
      </c>
      <c r="C68" s="1614" t="str">
        <f t="shared" si="32"/>
        <v>広さ感・景観</v>
      </c>
      <c r="D68" s="1721">
        <f t="shared" ref="D68:E70" si="64">IF(I$67&gt;0,G68/I$67,0)</f>
        <v>0.33333333333333331</v>
      </c>
      <c r="E68" s="1691">
        <f t="shared" si="64"/>
        <v>0</v>
      </c>
      <c r="G68" s="1691">
        <f t="shared" si="36"/>
        <v>0.33333333333333331</v>
      </c>
      <c r="H68" s="1691">
        <f t="shared" si="36"/>
        <v>0</v>
      </c>
      <c r="I68" s="1691"/>
      <c r="J68" s="1691"/>
      <c r="K68" s="1616">
        <f>IF(スコア表示!X68=0,0,1)</f>
        <v>1</v>
      </c>
      <c r="L68" s="1616">
        <f>IF(スコア表示!AB68=0,0,1)</f>
        <v>1</v>
      </c>
      <c r="N68" s="1708">
        <f t="shared" ref="N68:O70" si="65">IF(P$67&gt;0,R68/P$67,0)</f>
        <v>0.33333333333333331</v>
      </c>
      <c r="O68" s="1708">
        <f t="shared" si="65"/>
        <v>0</v>
      </c>
      <c r="P68" s="1616"/>
      <c r="Q68" s="1616"/>
      <c r="R68" s="1616">
        <f>IF(スコア入力!R68="EB",重み_対象外!D68,U68)</f>
        <v>3.9999999999999994E-2</v>
      </c>
      <c r="S68" s="1616">
        <f>IF(スコア入力!Y68="EB",重み_対象外!E68,V68)</f>
        <v>0</v>
      </c>
      <c r="T68" s="1560"/>
      <c r="U68" s="1614">
        <f t="shared" ref="U68:V70" si="66">X$62*X$67*X68</f>
        <v>3.9999999999999994E-2</v>
      </c>
      <c r="V68" s="1614">
        <f t="shared" si="66"/>
        <v>0</v>
      </c>
      <c r="W68" s="1560"/>
      <c r="X68" s="1616">
        <f t="shared" si="18"/>
        <v>0.33333333333333331</v>
      </c>
      <c r="Y68" s="1616">
        <f t="shared" si="21"/>
        <v>0</v>
      </c>
      <c r="Z68" s="1645"/>
      <c r="AA68" s="1613" t="str">
        <f t="shared" si="37"/>
        <v>1.2.1</v>
      </c>
      <c r="AB68" s="1613" t="str">
        <f t="shared" si="38"/>
        <v xml:space="preserve"> Q2 1.2</v>
      </c>
      <c r="AC68" s="1613" t="str">
        <f t="shared" si="39"/>
        <v>広さ感・景観</v>
      </c>
      <c r="AD68" s="1759">
        <f t="shared" si="40"/>
        <v>0.33333333333333331</v>
      </c>
      <c r="AE68" s="1759">
        <f t="shared" si="41"/>
        <v>0.5</v>
      </c>
      <c r="AF68" s="1759">
        <f t="shared" si="42"/>
        <v>0.33333333333333331</v>
      </c>
      <c r="AG68" s="1759">
        <f t="shared" si="43"/>
        <v>0.5</v>
      </c>
      <c r="AH68" s="1759">
        <f t="shared" si="44"/>
        <v>0</v>
      </c>
      <c r="AI68" s="1759">
        <f t="shared" si="45"/>
        <v>0</v>
      </c>
      <c r="AJ68" s="1759">
        <f t="shared" si="46"/>
        <v>0</v>
      </c>
      <c r="AK68" s="1763">
        <f t="shared" si="47"/>
        <v>0</v>
      </c>
      <c r="AL68" s="1759">
        <f t="shared" si="48"/>
        <v>0.33333333333333331</v>
      </c>
      <c r="AM68" s="1759">
        <f t="shared" si="48"/>
        <v>0.5</v>
      </c>
      <c r="AN68" s="1760">
        <f t="shared" si="49"/>
        <v>0.5</v>
      </c>
      <c r="AO68" s="1760">
        <f t="shared" si="50"/>
        <v>0.5</v>
      </c>
      <c r="AP68" s="1760">
        <f t="shared" si="51"/>
        <v>0.5</v>
      </c>
      <c r="AQ68" s="1632"/>
      <c r="AR68" s="1647" t="s">
        <v>1522</v>
      </c>
      <c r="AS68" s="1693" t="s">
        <v>324</v>
      </c>
      <c r="AT68" s="2064" t="s">
        <v>325</v>
      </c>
      <c r="AU68" s="1623">
        <v>0.33333333333333331</v>
      </c>
      <c r="AV68" s="1623">
        <v>0.5</v>
      </c>
      <c r="AW68" s="1623">
        <v>0.33333333333333331</v>
      </c>
      <c r="AX68" s="1623">
        <v>0.5</v>
      </c>
      <c r="AY68" s="1623"/>
      <c r="AZ68" s="1623"/>
      <c r="BA68" s="1623"/>
      <c r="BB68" s="1624"/>
      <c r="BC68" s="1623">
        <v>0.33333333333333331</v>
      </c>
      <c r="BD68" s="1623">
        <v>0.5</v>
      </c>
      <c r="BE68" s="1625">
        <v>0.5</v>
      </c>
      <c r="BF68" s="1625">
        <v>0.5</v>
      </c>
      <c r="BG68" s="1625">
        <v>0.5</v>
      </c>
      <c r="BI68" s="1647" t="s">
        <v>1522</v>
      </c>
      <c r="BJ68" s="1693" t="s">
        <v>324</v>
      </c>
      <c r="BK68" s="2064" t="s">
        <v>325</v>
      </c>
      <c r="BL68" s="1623">
        <v>0.33333333333333331</v>
      </c>
      <c r="BM68" s="1623">
        <v>0.5</v>
      </c>
      <c r="BN68" s="1623">
        <v>0.33333333333333331</v>
      </c>
      <c r="BO68" s="1623">
        <v>0.5</v>
      </c>
      <c r="BP68" s="1623"/>
      <c r="BQ68" s="1623"/>
      <c r="BR68" s="1623"/>
      <c r="BS68" s="1624"/>
      <c r="BT68" s="1623">
        <v>0.33333333333333331</v>
      </c>
      <c r="BU68" s="1623">
        <v>0.5</v>
      </c>
      <c r="BV68" s="1625">
        <v>0.5</v>
      </c>
      <c r="BW68" s="1625">
        <v>0.5</v>
      </c>
      <c r="BX68" s="1625">
        <v>0.5</v>
      </c>
    </row>
    <row r="69" spans="1:77" ht="13.5" customHeight="1">
      <c r="B69" s="1621" t="str">
        <f t="shared" si="31"/>
        <v>1.2.2</v>
      </c>
      <c r="C69" s="1614" t="str">
        <f t="shared" si="32"/>
        <v>リフレッシュスペース</v>
      </c>
      <c r="D69" s="1721">
        <f t="shared" si="64"/>
        <v>0.33333333333333331</v>
      </c>
      <c r="E69" s="1691">
        <f t="shared" si="64"/>
        <v>0</v>
      </c>
      <c r="G69" s="1691">
        <f t="shared" si="36"/>
        <v>0.33333333333333331</v>
      </c>
      <c r="H69" s="1691">
        <f t="shared" si="36"/>
        <v>0</v>
      </c>
      <c r="I69" s="1691"/>
      <c r="J69" s="1691"/>
      <c r="K69" s="1616">
        <f>IF(スコア表示!X69=0,0,1)</f>
        <v>1</v>
      </c>
      <c r="L69" s="1616">
        <f>IF(スコア表示!AB69=0,0,1)</f>
        <v>1</v>
      </c>
      <c r="N69" s="1708">
        <f t="shared" si="65"/>
        <v>0.33333333333333331</v>
      </c>
      <c r="O69" s="1708">
        <f t="shared" si="65"/>
        <v>0</v>
      </c>
      <c r="P69" s="1616"/>
      <c r="Q69" s="1616"/>
      <c r="R69" s="1616">
        <f>IF(スコア入力!R69="EB",重み_対象外!D69,U69)</f>
        <v>3.9999999999999994E-2</v>
      </c>
      <c r="S69" s="1616">
        <f>IF(スコア入力!Y69="EB",重み_対象外!E69,V69)</f>
        <v>0</v>
      </c>
      <c r="T69" s="1560"/>
      <c r="U69" s="1614">
        <f t="shared" si="66"/>
        <v>3.9999999999999994E-2</v>
      </c>
      <c r="V69" s="1614">
        <f t="shared" si="66"/>
        <v>0</v>
      </c>
      <c r="W69" s="1560"/>
      <c r="X69" s="1616">
        <f t="shared" si="18"/>
        <v>0.33333333333333331</v>
      </c>
      <c r="Y69" s="1616">
        <f t="shared" si="21"/>
        <v>0</v>
      </c>
      <c r="Z69" s="1645"/>
      <c r="AA69" s="1613" t="str">
        <f t="shared" si="37"/>
        <v>1.2.2</v>
      </c>
      <c r="AB69" s="1613" t="str">
        <f t="shared" si="38"/>
        <v xml:space="preserve"> Q2 1.2</v>
      </c>
      <c r="AC69" s="1613" t="str">
        <f t="shared" si="39"/>
        <v>リフレッシュスペース</v>
      </c>
      <c r="AD69" s="1759">
        <f t="shared" si="40"/>
        <v>0.33333333333333331</v>
      </c>
      <c r="AE69" s="1759">
        <f t="shared" si="41"/>
        <v>0</v>
      </c>
      <c r="AF69" s="1759">
        <f t="shared" si="42"/>
        <v>0.33333333333333331</v>
      </c>
      <c r="AG69" s="1759">
        <f t="shared" si="43"/>
        <v>0</v>
      </c>
      <c r="AH69" s="1759">
        <f t="shared" si="44"/>
        <v>0</v>
      </c>
      <c r="AI69" s="1759">
        <f t="shared" si="45"/>
        <v>0</v>
      </c>
      <c r="AJ69" s="1759">
        <f t="shared" si="46"/>
        <v>0</v>
      </c>
      <c r="AK69" s="1763">
        <f t="shared" si="47"/>
        <v>0</v>
      </c>
      <c r="AL69" s="1759">
        <f t="shared" si="48"/>
        <v>0.33333333333333331</v>
      </c>
      <c r="AM69" s="1759">
        <f t="shared" si="48"/>
        <v>0</v>
      </c>
      <c r="AN69" s="1760">
        <f t="shared" si="49"/>
        <v>0</v>
      </c>
      <c r="AO69" s="1760">
        <f t="shared" si="50"/>
        <v>0</v>
      </c>
      <c r="AP69" s="1760">
        <f t="shared" si="51"/>
        <v>0</v>
      </c>
      <c r="AQ69" s="1632"/>
      <c r="AR69" s="1647" t="s">
        <v>1523</v>
      </c>
      <c r="AS69" s="1693" t="s">
        <v>324</v>
      </c>
      <c r="AT69" s="2064" t="s">
        <v>326</v>
      </c>
      <c r="AU69" s="1623">
        <v>0.33333333333333331</v>
      </c>
      <c r="AV69" s="1623"/>
      <c r="AW69" s="1623">
        <v>0.33333333333333331</v>
      </c>
      <c r="AX69" s="1623"/>
      <c r="AY69" s="1623"/>
      <c r="AZ69" s="1623"/>
      <c r="BA69" s="1623"/>
      <c r="BB69" s="1624"/>
      <c r="BC69" s="1623">
        <v>0.33333333333333331</v>
      </c>
      <c r="BD69" s="1623"/>
      <c r="BE69" s="1625"/>
      <c r="BF69" s="1625"/>
      <c r="BG69" s="1625"/>
      <c r="BI69" s="1647" t="s">
        <v>1523</v>
      </c>
      <c r="BJ69" s="1693" t="s">
        <v>324</v>
      </c>
      <c r="BK69" s="2064" t="s">
        <v>326</v>
      </c>
      <c r="BL69" s="1623">
        <v>0.33333333333333331</v>
      </c>
      <c r="BM69" s="1623"/>
      <c r="BN69" s="1623">
        <v>0.33333333333333331</v>
      </c>
      <c r="BO69" s="1623"/>
      <c r="BP69" s="1623"/>
      <c r="BQ69" s="1623"/>
      <c r="BR69" s="1623"/>
      <c r="BS69" s="1624"/>
      <c r="BT69" s="1623">
        <v>0.33333333333333331</v>
      </c>
      <c r="BU69" s="1623"/>
      <c r="BV69" s="1625"/>
      <c r="BW69" s="1625"/>
      <c r="BX69" s="1625"/>
    </row>
    <row r="70" spans="1:77" ht="13.5" customHeight="1">
      <c r="B70" s="1621" t="str">
        <f t="shared" si="31"/>
        <v>1.2.3</v>
      </c>
      <c r="C70" s="1614" t="str">
        <f t="shared" si="32"/>
        <v>内装計画</v>
      </c>
      <c r="D70" s="1721">
        <f t="shared" si="64"/>
        <v>0.33333333333333331</v>
      </c>
      <c r="E70" s="1691">
        <f t="shared" si="64"/>
        <v>0</v>
      </c>
      <c r="G70" s="1691">
        <f t="shared" si="36"/>
        <v>0.33333333333333331</v>
      </c>
      <c r="H70" s="1691">
        <f t="shared" si="36"/>
        <v>0</v>
      </c>
      <c r="I70" s="1691"/>
      <c r="J70" s="1691"/>
      <c r="K70" s="1616">
        <f>IF(スコア表示!X70=0,0,1)</f>
        <v>1</v>
      </c>
      <c r="L70" s="1616">
        <f>IF(スコア表示!AB70=0,0,1)</f>
        <v>1</v>
      </c>
      <c r="N70" s="1708">
        <f t="shared" si="65"/>
        <v>0.33333333333333331</v>
      </c>
      <c r="O70" s="1708">
        <f t="shared" si="65"/>
        <v>0</v>
      </c>
      <c r="P70" s="1616"/>
      <c r="Q70" s="1616"/>
      <c r="R70" s="1616">
        <f>IF(スコア入力!R70="EB",重み_対象外!D70,U70)</f>
        <v>3.9999999999999994E-2</v>
      </c>
      <c r="S70" s="1616">
        <f>IF(スコア入力!Y70="EB",重み_対象外!E70,V70)</f>
        <v>0</v>
      </c>
      <c r="T70" s="1560"/>
      <c r="U70" s="1614">
        <f t="shared" si="66"/>
        <v>3.9999999999999994E-2</v>
      </c>
      <c r="V70" s="1614">
        <f t="shared" si="66"/>
        <v>0</v>
      </c>
      <c r="W70" s="1560"/>
      <c r="X70" s="1616">
        <f t="shared" si="18"/>
        <v>0.33333333333333331</v>
      </c>
      <c r="Y70" s="1616">
        <f t="shared" si="21"/>
        <v>0</v>
      </c>
      <c r="Z70" s="1645"/>
      <c r="AA70" s="1613" t="str">
        <f t="shared" si="37"/>
        <v>1.2.3</v>
      </c>
      <c r="AB70" s="1613" t="str">
        <f t="shared" si="38"/>
        <v xml:space="preserve"> Q2 1.2</v>
      </c>
      <c r="AC70" s="1613" t="str">
        <f t="shared" si="39"/>
        <v>内装計画</v>
      </c>
      <c r="AD70" s="1759">
        <f t="shared" si="40"/>
        <v>0.33333333333333331</v>
      </c>
      <c r="AE70" s="1759">
        <f t="shared" si="41"/>
        <v>0.5</v>
      </c>
      <c r="AF70" s="1759">
        <f t="shared" si="42"/>
        <v>0.33333333333333331</v>
      </c>
      <c r="AG70" s="1759">
        <f t="shared" si="43"/>
        <v>0.5</v>
      </c>
      <c r="AH70" s="1759">
        <f t="shared" si="44"/>
        <v>1</v>
      </c>
      <c r="AI70" s="1759">
        <f t="shared" si="45"/>
        <v>1</v>
      </c>
      <c r="AJ70" s="1759">
        <f t="shared" si="46"/>
        <v>1</v>
      </c>
      <c r="AK70" s="1763">
        <f t="shared" si="47"/>
        <v>1</v>
      </c>
      <c r="AL70" s="1759">
        <f t="shared" si="48"/>
        <v>0.33333333333333331</v>
      </c>
      <c r="AM70" s="1759">
        <f t="shared" si="48"/>
        <v>0.5</v>
      </c>
      <c r="AN70" s="1760">
        <f t="shared" si="49"/>
        <v>0.5</v>
      </c>
      <c r="AO70" s="1760">
        <f t="shared" si="50"/>
        <v>0.5</v>
      </c>
      <c r="AP70" s="1760">
        <f t="shared" si="51"/>
        <v>0.5</v>
      </c>
      <c r="AQ70" s="1632"/>
      <c r="AR70" s="1647" t="s">
        <v>1524</v>
      </c>
      <c r="AS70" s="1693" t="s">
        <v>324</v>
      </c>
      <c r="AT70" s="2064" t="s">
        <v>327</v>
      </c>
      <c r="AU70" s="1623">
        <v>0.33333333333333331</v>
      </c>
      <c r="AV70" s="1623">
        <v>0.5</v>
      </c>
      <c r="AW70" s="1623">
        <v>0.33333333333333331</v>
      </c>
      <c r="AX70" s="1623">
        <v>0.5</v>
      </c>
      <c r="AY70" s="1623">
        <v>1</v>
      </c>
      <c r="AZ70" s="1623">
        <v>1</v>
      </c>
      <c r="BA70" s="1623">
        <v>1</v>
      </c>
      <c r="BB70" s="1624">
        <v>1</v>
      </c>
      <c r="BC70" s="1623">
        <v>0.33333333333333331</v>
      </c>
      <c r="BD70" s="1623">
        <v>0.5</v>
      </c>
      <c r="BE70" s="1625">
        <v>0.5</v>
      </c>
      <c r="BF70" s="1625">
        <v>0.5</v>
      </c>
      <c r="BG70" s="1625">
        <v>0.5</v>
      </c>
      <c r="BI70" s="1647" t="s">
        <v>1524</v>
      </c>
      <c r="BJ70" s="1693" t="s">
        <v>324</v>
      </c>
      <c r="BK70" s="2064" t="s">
        <v>327</v>
      </c>
      <c r="BL70" s="1623">
        <v>0.33333333333333331</v>
      </c>
      <c r="BM70" s="1623">
        <v>0.5</v>
      </c>
      <c r="BN70" s="1623">
        <v>0.33333333333333331</v>
      </c>
      <c r="BO70" s="1623">
        <v>0.5</v>
      </c>
      <c r="BP70" s="1623">
        <v>1</v>
      </c>
      <c r="BQ70" s="1623">
        <v>1</v>
      </c>
      <c r="BR70" s="1623">
        <v>1</v>
      </c>
      <c r="BS70" s="1624">
        <v>1</v>
      </c>
      <c r="BT70" s="1623">
        <v>0.33333333333333331</v>
      </c>
      <c r="BU70" s="1623">
        <v>0.5</v>
      </c>
      <c r="BV70" s="1625">
        <v>0.5</v>
      </c>
      <c r="BW70" s="1625">
        <v>0.5</v>
      </c>
      <c r="BX70" s="1625">
        <v>0.5</v>
      </c>
    </row>
    <row r="71" spans="1:77" ht="13.5" customHeight="1">
      <c r="B71" s="1621">
        <f t="shared" si="31"/>
        <v>1.3</v>
      </c>
      <c r="C71" s="1614" t="str">
        <f t="shared" si="32"/>
        <v>維持管理</v>
      </c>
      <c r="D71" s="1716">
        <f>IF(I$62=0,0,G71/I$62)</f>
        <v>0.30000000000000004</v>
      </c>
      <c r="E71" s="1691">
        <f>IF(J$62=0,0,H71/J$62)</f>
        <v>0</v>
      </c>
      <c r="G71" s="1691">
        <f t="shared" si="36"/>
        <v>0.30000000000000004</v>
      </c>
      <c r="H71" s="1691">
        <f t="shared" si="36"/>
        <v>0</v>
      </c>
      <c r="I71" s="1691">
        <f>G72+G73+G74</f>
        <v>1</v>
      </c>
      <c r="J71" s="1691">
        <f>H72+H73+H74</f>
        <v>0</v>
      </c>
      <c r="K71" s="1616">
        <f>IF(スコア表示!X71=0,0,1)</f>
        <v>1</v>
      </c>
      <c r="L71" s="1616">
        <f>IF(スコア表示!AB71=0,0,1)</f>
        <v>0</v>
      </c>
      <c r="N71" s="1708">
        <f>IF(P$62=0,0,P71/P$62)</f>
        <v>0.30000000000000004</v>
      </c>
      <c r="O71" s="1708">
        <f>IF(Q$62=0,0,Q71/Q$62)</f>
        <v>0</v>
      </c>
      <c r="P71" s="1616">
        <f>SUM(R72:R74)</f>
        <v>0.11999999999999998</v>
      </c>
      <c r="Q71" s="1616">
        <f>SUM(S72:S74)</f>
        <v>0</v>
      </c>
      <c r="R71" s="1616">
        <f>IF(スコア入力!R71="EB",重み_対象外!D71,U71)</f>
        <v>0</v>
      </c>
      <c r="S71" s="1616">
        <f>IF(スコア入力!Y71="EB",重み_対象外!E71,V71)</f>
        <v>0</v>
      </c>
      <c r="T71" s="1560"/>
      <c r="U71" s="1614"/>
      <c r="V71" s="1614"/>
      <c r="W71" s="1560"/>
      <c r="X71" s="1616">
        <f t="shared" si="18"/>
        <v>0.3</v>
      </c>
      <c r="Y71" s="1616">
        <f t="shared" si="21"/>
        <v>0</v>
      </c>
      <c r="Z71" s="1645"/>
      <c r="AA71" s="1613">
        <f t="shared" si="37"/>
        <v>1.3</v>
      </c>
      <c r="AB71" s="1613" t="str">
        <f t="shared" si="38"/>
        <v xml:space="preserve"> Q2 1</v>
      </c>
      <c r="AC71" s="1613" t="str">
        <f t="shared" si="39"/>
        <v>維持管理</v>
      </c>
      <c r="AD71" s="1759">
        <f t="shared" si="40"/>
        <v>0.3</v>
      </c>
      <c r="AE71" s="1759">
        <f t="shared" si="41"/>
        <v>0.3</v>
      </c>
      <c r="AF71" s="1759">
        <f t="shared" si="42"/>
        <v>0.3</v>
      </c>
      <c r="AG71" s="1759">
        <f t="shared" si="43"/>
        <v>0.3</v>
      </c>
      <c r="AH71" s="1759">
        <f t="shared" si="44"/>
        <v>0.3</v>
      </c>
      <c r="AI71" s="1759">
        <f t="shared" si="45"/>
        <v>0.3</v>
      </c>
      <c r="AJ71" s="1759">
        <f t="shared" si="46"/>
        <v>0.3</v>
      </c>
      <c r="AK71" s="1763">
        <f t="shared" si="47"/>
        <v>0.3</v>
      </c>
      <c r="AL71" s="1759">
        <f t="shared" si="48"/>
        <v>0.3</v>
      </c>
      <c r="AM71" s="1759">
        <f t="shared" si="48"/>
        <v>0.3</v>
      </c>
      <c r="AN71" s="1760">
        <f t="shared" si="49"/>
        <v>0</v>
      </c>
      <c r="AO71" s="1760">
        <f t="shared" si="50"/>
        <v>0</v>
      </c>
      <c r="AP71" s="1760">
        <f t="shared" si="51"/>
        <v>0</v>
      </c>
      <c r="AQ71" s="1632"/>
      <c r="AR71" s="1647">
        <v>1.3</v>
      </c>
      <c r="AS71" s="1693" t="s">
        <v>320</v>
      </c>
      <c r="AT71" s="2064" t="s">
        <v>328</v>
      </c>
      <c r="AU71" s="1623">
        <v>0.3</v>
      </c>
      <c r="AV71" s="1623">
        <v>0.3</v>
      </c>
      <c r="AW71" s="1623">
        <v>0.3</v>
      </c>
      <c r="AX71" s="1623">
        <v>0.3</v>
      </c>
      <c r="AY71" s="1623">
        <v>0.3</v>
      </c>
      <c r="AZ71" s="1623">
        <v>0.3</v>
      </c>
      <c r="BA71" s="1623">
        <v>0.3</v>
      </c>
      <c r="BB71" s="1624">
        <v>0.3</v>
      </c>
      <c r="BC71" s="1623">
        <v>0.3</v>
      </c>
      <c r="BD71" s="1623">
        <v>0.3</v>
      </c>
      <c r="BE71" s="1625"/>
      <c r="BF71" s="1625"/>
      <c r="BG71" s="1625"/>
      <c r="BI71" s="1647">
        <v>1.3</v>
      </c>
      <c r="BJ71" s="1693" t="s">
        <v>320</v>
      </c>
      <c r="BK71" s="2064" t="s">
        <v>328</v>
      </c>
      <c r="BL71" s="1623">
        <v>0.3</v>
      </c>
      <c r="BM71" s="1623">
        <v>0.3</v>
      </c>
      <c r="BN71" s="1623">
        <v>0.3</v>
      </c>
      <c r="BO71" s="1623">
        <v>0.3</v>
      </c>
      <c r="BP71" s="1623">
        <v>0.3</v>
      </c>
      <c r="BQ71" s="1623">
        <v>0.3</v>
      </c>
      <c r="BR71" s="1623">
        <v>0.3</v>
      </c>
      <c r="BS71" s="1624">
        <v>0.3</v>
      </c>
      <c r="BT71" s="1623">
        <v>0.3</v>
      </c>
      <c r="BU71" s="1623">
        <v>0.3</v>
      </c>
      <c r="BV71" s="1625"/>
      <c r="BW71" s="1625"/>
      <c r="BX71" s="1625"/>
    </row>
    <row r="72" spans="1:77" ht="13.5" customHeight="1">
      <c r="B72" s="1621" t="str">
        <f t="shared" si="31"/>
        <v>1.3.1</v>
      </c>
      <c r="C72" s="1614" t="str">
        <f t="shared" si="32"/>
        <v>維持管理に配慮した設計</v>
      </c>
      <c r="D72" s="1721">
        <f t="shared" ref="D72:E74" si="67">IF(I$71&gt;0,G72/I$71,0)</f>
        <v>0.5</v>
      </c>
      <c r="E72" s="1721">
        <f t="shared" si="67"/>
        <v>0</v>
      </c>
      <c r="G72" s="1691">
        <f t="shared" si="36"/>
        <v>0.5</v>
      </c>
      <c r="H72" s="1691">
        <f t="shared" si="36"/>
        <v>0</v>
      </c>
      <c r="I72" s="1691"/>
      <c r="J72" s="1691"/>
      <c r="K72" s="1616">
        <f>IF(スコア表示!X72=0,0,1)</f>
        <v>1</v>
      </c>
      <c r="L72" s="1616">
        <f>IF(スコア表示!AB72=0,0,1)</f>
        <v>0</v>
      </c>
      <c r="N72" s="1708">
        <f t="shared" ref="N72:O74" si="68">IF(P$71&gt;0,R72/P$71,0)</f>
        <v>0.5</v>
      </c>
      <c r="O72" s="1708">
        <f t="shared" si="68"/>
        <v>0</v>
      </c>
      <c r="P72" s="1616"/>
      <c r="Q72" s="1616"/>
      <c r="R72" s="1616">
        <f>IF(スコア入力!R72="EB",重み_対象外!D72,U72)</f>
        <v>5.9999999999999991E-2</v>
      </c>
      <c r="S72" s="1616">
        <f>IF(スコア入力!Y72="EB",重み_対象外!E72,V72)</f>
        <v>0</v>
      </c>
      <c r="T72" s="1560"/>
      <c r="U72" s="1614">
        <f t="shared" ref="U72:V74" si="69">X$62*X$71*X72</f>
        <v>5.9999999999999991E-2</v>
      </c>
      <c r="V72" s="1614">
        <f t="shared" si="69"/>
        <v>0</v>
      </c>
      <c r="W72" s="1560"/>
      <c r="X72" s="1616">
        <f t="shared" si="18"/>
        <v>0.5</v>
      </c>
      <c r="Y72" s="1616">
        <f t="shared" si="21"/>
        <v>0</v>
      </c>
      <c r="Z72" s="1645"/>
      <c r="AA72" s="1613" t="str">
        <f t="shared" si="37"/>
        <v>1.3.1</v>
      </c>
      <c r="AB72" s="1613" t="str">
        <f t="shared" si="38"/>
        <v xml:space="preserve"> Q2 1.3</v>
      </c>
      <c r="AC72" s="1613" t="str">
        <f t="shared" si="39"/>
        <v>維持管理に配慮した設計</v>
      </c>
      <c r="AD72" s="1759">
        <f t="shared" si="40"/>
        <v>0.5</v>
      </c>
      <c r="AE72" s="1759">
        <f t="shared" si="41"/>
        <v>0.5</v>
      </c>
      <c r="AF72" s="1759">
        <f t="shared" si="42"/>
        <v>0.5</v>
      </c>
      <c r="AG72" s="1759">
        <f t="shared" si="43"/>
        <v>0.5</v>
      </c>
      <c r="AH72" s="1759">
        <f t="shared" si="44"/>
        <v>0.5</v>
      </c>
      <c r="AI72" s="1759">
        <f t="shared" si="45"/>
        <v>0.5</v>
      </c>
      <c r="AJ72" s="1759">
        <f t="shared" si="46"/>
        <v>0.5</v>
      </c>
      <c r="AK72" s="1763">
        <f t="shared" si="47"/>
        <v>0.5</v>
      </c>
      <c r="AL72" s="1759">
        <f t="shared" si="48"/>
        <v>0.5</v>
      </c>
      <c r="AM72" s="1759">
        <f t="shared" si="48"/>
        <v>0.5</v>
      </c>
      <c r="AN72" s="1760">
        <f t="shared" si="49"/>
        <v>0</v>
      </c>
      <c r="AO72" s="1760">
        <f t="shared" si="50"/>
        <v>0</v>
      </c>
      <c r="AP72" s="1760">
        <f t="shared" si="51"/>
        <v>0</v>
      </c>
      <c r="AQ72" s="1632"/>
      <c r="AR72" s="1647" t="s">
        <v>329</v>
      </c>
      <c r="AS72" s="1693" t="s">
        <v>330</v>
      </c>
      <c r="AT72" s="2064" t="s">
        <v>856</v>
      </c>
      <c r="AU72" s="1623">
        <v>0.5</v>
      </c>
      <c r="AV72" s="1623">
        <v>0.5</v>
      </c>
      <c r="AW72" s="1623">
        <v>0.5</v>
      </c>
      <c r="AX72" s="1623">
        <v>0.5</v>
      </c>
      <c r="AY72" s="1623">
        <v>0.5</v>
      </c>
      <c r="AZ72" s="1623">
        <v>0.5</v>
      </c>
      <c r="BA72" s="1623">
        <v>0.5</v>
      </c>
      <c r="BB72" s="1624">
        <v>0.5</v>
      </c>
      <c r="BC72" s="1623">
        <v>0.5</v>
      </c>
      <c r="BD72" s="1623">
        <v>0.5</v>
      </c>
      <c r="BE72" s="1625"/>
      <c r="BF72" s="1625"/>
      <c r="BG72" s="1625"/>
      <c r="BI72" s="1647" t="s">
        <v>329</v>
      </c>
      <c r="BJ72" s="1693" t="s">
        <v>330</v>
      </c>
      <c r="BK72" s="2064" t="s">
        <v>856</v>
      </c>
      <c r="BL72" s="1623">
        <v>0.5</v>
      </c>
      <c r="BM72" s="1623">
        <v>0.5</v>
      </c>
      <c r="BN72" s="1623">
        <v>0.5</v>
      </c>
      <c r="BO72" s="1623">
        <v>0.5</v>
      </c>
      <c r="BP72" s="1623">
        <v>0.5</v>
      </c>
      <c r="BQ72" s="1623">
        <v>0.5</v>
      </c>
      <c r="BR72" s="1623">
        <v>0.5</v>
      </c>
      <c r="BS72" s="1624">
        <v>0.5</v>
      </c>
      <c r="BT72" s="1623">
        <v>0.5</v>
      </c>
      <c r="BU72" s="1623">
        <v>0.5</v>
      </c>
      <c r="BV72" s="1625"/>
      <c r="BW72" s="1625"/>
      <c r="BX72" s="1625"/>
    </row>
    <row r="73" spans="1:77" ht="13.5" customHeight="1">
      <c r="B73" s="1621" t="str">
        <f t="shared" ref="B73:B104" si="70">AA73</f>
        <v>1.3.2</v>
      </c>
      <c r="C73" s="1614" t="str">
        <f t="shared" ref="C73:C104" si="71">AC73</f>
        <v>維持管理用機能の確保</v>
      </c>
      <c r="D73" s="1721">
        <f t="shared" si="67"/>
        <v>0.5</v>
      </c>
      <c r="E73" s="1721">
        <f t="shared" si="67"/>
        <v>0</v>
      </c>
      <c r="G73" s="1691">
        <f t="shared" ref="G73:H104" si="72">K73*N73</f>
        <v>0.5</v>
      </c>
      <c r="H73" s="1691">
        <f t="shared" si="72"/>
        <v>0</v>
      </c>
      <c r="I73" s="1691"/>
      <c r="J73" s="1691"/>
      <c r="K73" s="1616">
        <f>IF(スコア表示!X73=0,0,1)</f>
        <v>1</v>
      </c>
      <c r="L73" s="1616">
        <f>IF(スコア表示!AB73=0,0,1)</f>
        <v>0</v>
      </c>
      <c r="N73" s="1708">
        <f t="shared" si="68"/>
        <v>0.5</v>
      </c>
      <c r="O73" s="1708">
        <f t="shared" si="68"/>
        <v>0</v>
      </c>
      <c r="P73" s="1616"/>
      <c r="Q73" s="1616"/>
      <c r="R73" s="1616">
        <f>IF(スコア入力!R73="EB",重み_対象外!D73,U73)</f>
        <v>5.9999999999999991E-2</v>
      </c>
      <c r="S73" s="1616">
        <f>IF(スコア入力!Y73="EB",重み_対象外!E73,V73)</f>
        <v>0</v>
      </c>
      <c r="T73" s="1560"/>
      <c r="U73" s="1614">
        <f t="shared" si="69"/>
        <v>5.9999999999999991E-2</v>
      </c>
      <c r="V73" s="1614">
        <f t="shared" si="69"/>
        <v>0</v>
      </c>
      <c r="W73" s="1560"/>
      <c r="X73" s="1616">
        <f t="shared" si="18"/>
        <v>0.5</v>
      </c>
      <c r="Y73" s="1616">
        <f t="shared" si="21"/>
        <v>0</v>
      </c>
      <c r="Z73" s="1645"/>
      <c r="AA73" s="1613" t="str">
        <f t="shared" si="37"/>
        <v>1.3.2</v>
      </c>
      <c r="AB73" s="1613" t="str">
        <f t="shared" si="38"/>
        <v xml:space="preserve"> Q2 1.3</v>
      </c>
      <c r="AC73" s="1613" t="str">
        <f t="shared" si="39"/>
        <v>維持管理用機能の確保</v>
      </c>
      <c r="AD73" s="1759">
        <f t="shared" si="40"/>
        <v>0.5</v>
      </c>
      <c r="AE73" s="1759">
        <f t="shared" si="41"/>
        <v>0.5</v>
      </c>
      <c r="AF73" s="1759">
        <f t="shared" si="42"/>
        <v>0.5</v>
      </c>
      <c r="AG73" s="1759">
        <f t="shared" si="43"/>
        <v>0.5</v>
      </c>
      <c r="AH73" s="1759">
        <f t="shared" si="44"/>
        <v>0.5</v>
      </c>
      <c r="AI73" s="1759">
        <f t="shared" si="45"/>
        <v>0.5</v>
      </c>
      <c r="AJ73" s="1759">
        <f t="shared" si="46"/>
        <v>0.5</v>
      </c>
      <c r="AK73" s="1763">
        <f t="shared" si="47"/>
        <v>0.5</v>
      </c>
      <c r="AL73" s="1759">
        <f t="shared" si="48"/>
        <v>0.5</v>
      </c>
      <c r="AM73" s="1759">
        <f t="shared" si="48"/>
        <v>0.5</v>
      </c>
      <c r="AN73" s="1760">
        <f t="shared" si="49"/>
        <v>0</v>
      </c>
      <c r="AO73" s="1760">
        <f t="shared" si="50"/>
        <v>0</v>
      </c>
      <c r="AP73" s="1760">
        <f t="shared" si="51"/>
        <v>0</v>
      </c>
      <c r="AQ73" s="1632"/>
      <c r="AR73" s="1647" t="s">
        <v>331</v>
      </c>
      <c r="AS73" s="1693" t="s">
        <v>330</v>
      </c>
      <c r="AT73" s="2064" t="s">
        <v>418</v>
      </c>
      <c r="AU73" s="1623">
        <v>0.5</v>
      </c>
      <c r="AV73" s="1623">
        <v>0.5</v>
      </c>
      <c r="AW73" s="1623">
        <v>0.5</v>
      </c>
      <c r="AX73" s="1623">
        <v>0.5</v>
      </c>
      <c r="AY73" s="1623">
        <v>0.5</v>
      </c>
      <c r="AZ73" s="1623">
        <v>0.5</v>
      </c>
      <c r="BA73" s="1623">
        <v>0.5</v>
      </c>
      <c r="BB73" s="1624">
        <v>0.5</v>
      </c>
      <c r="BC73" s="1623">
        <v>0.5</v>
      </c>
      <c r="BD73" s="1623">
        <v>0.5</v>
      </c>
      <c r="BE73" s="1625"/>
      <c r="BF73" s="1625"/>
      <c r="BG73" s="1625"/>
      <c r="BI73" s="1647" t="s">
        <v>331</v>
      </c>
      <c r="BJ73" s="1693" t="s">
        <v>330</v>
      </c>
      <c r="BK73" s="2064" t="s">
        <v>418</v>
      </c>
      <c r="BL73" s="1623">
        <v>0.5</v>
      </c>
      <c r="BM73" s="1623">
        <v>0.5</v>
      </c>
      <c r="BN73" s="1623">
        <v>0.5</v>
      </c>
      <c r="BO73" s="1623">
        <v>0.5</v>
      </c>
      <c r="BP73" s="1623">
        <v>0.5</v>
      </c>
      <c r="BQ73" s="1623">
        <v>0.5</v>
      </c>
      <c r="BR73" s="1623">
        <v>0.5</v>
      </c>
      <c r="BS73" s="1624">
        <v>0.5</v>
      </c>
      <c r="BT73" s="1623">
        <v>0.5</v>
      </c>
      <c r="BU73" s="1623">
        <v>0.5</v>
      </c>
      <c r="BV73" s="1625"/>
      <c r="BW73" s="1625"/>
      <c r="BX73" s="1625"/>
    </row>
    <row r="74" spans="1:77" s="1767" customFormat="1" ht="13.5" hidden="1" customHeight="1">
      <c r="A74"/>
      <c r="B74" s="1621">
        <f t="shared" si="70"/>
        <v>0</v>
      </c>
      <c r="C74" s="1614">
        <f t="shared" si="71"/>
        <v>0</v>
      </c>
      <c r="D74" s="1721">
        <f t="shared" si="67"/>
        <v>0</v>
      </c>
      <c r="E74" s="1721">
        <f t="shared" si="67"/>
        <v>0</v>
      </c>
      <c r="F74"/>
      <c r="G74" s="1691">
        <f t="shared" si="72"/>
        <v>0</v>
      </c>
      <c r="H74" s="1691">
        <f t="shared" si="72"/>
        <v>0</v>
      </c>
      <c r="I74" s="1691"/>
      <c r="J74" s="1691"/>
      <c r="K74" s="1616">
        <f>IF(スコア表示!X74=0,0,1)</f>
        <v>1</v>
      </c>
      <c r="L74" s="1616">
        <f>IF(スコア表示!AB74=0,0,1)</f>
        <v>0</v>
      </c>
      <c r="M74"/>
      <c r="N74" s="1708">
        <f t="shared" si="68"/>
        <v>0</v>
      </c>
      <c r="O74" s="1708">
        <f t="shared" si="68"/>
        <v>0</v>
      </c>
      <c r="P74" s="1616"/>
      <c r="Q74" s="1616"/>
      <c r="R74" s="1616">
        <f>IF(スコア入力!R74="EB",重み_対象外!D74,U74)</f>
        <v>0</v>
      </c>
      <c r="S74" s="1616">
        <f>IF(スコア入力!Y74="EB",重み_対象外!E74,V74)</f>
        <v>0</v>
      </c>
      <c r="T74" s="1560"/>
      <c r="U74" s="1614">
        <f t="shared" si="69"/>
        <v>0</v>
      </c>
      <c r="V74" s="1614">
        <f t="shared" si="69"/>
        <v>0</v>
      </c>
      <c r="W74" s="1560"/>
      <c r="X74" s="1616">
        <f t="shared" ref="X74:X141" si="73">SUMPRODUCT($AD$7:$AM$7,AD74:AM74)</f>
        <v>0</v>
      </c>
      <c r="Y74" s="1616">
        <f t="shared" ref="Y74:Y141" si="74">(AN$7*AN74)+(AO$7*AO74)+(AP$7*AP74)</f>
        <v>0</v>
      </c>
      <c r="Z74" s="1645"/>
      <c r="AA74" s="1613">
        <f t="shared" ref="AA74:AA83" si="75">IF($AA$3=1,AR74,BI74)</f>
        <v>0</v>
      </c>
      <c r="AB74" s="1613" t="str">
        <f t="shared" ref="AB74:AB83" si="76">IF($AA$3=1,AS74,BJ74)</f>
        <v>0</v>
      </c>
      <c r="AC74" s="1613">
        <f t="shared" ref="AC74:AC83" si="77">IF($AA$3=1,AT74,BK74)</f>
        <v>0</v>
      </c>
      <c r="AD74" s="1759">
        <f t="shared" ref="AD74:AD83" si="78">IF($AA$3=1,AU74,BL74)</f>
        <v>0</v>
      </c>
      <c r="AE74" s="1759">
        <f t="shared" ref="AE74:AE83" si="79">IF($AA$3=1,AV74,BM74)</f>
        <v>0</v>
      </c>
      <c r="AF74" s="1759">
        <f t="shared" ref="AF74:AF83" si="80">IF($AA$3=1,AW74,BN74)</f>
        <v>0</v>
      </c>
      <c r="AG74" s="1759">
        <f t="shared" ref="AG74:AG83" si="81">IF($AA$3=1,AX74,BO74)</f>
        <v>0</v>
      </c>
      <c r="AH74" s="1759">
        <f t="shared" ref="AH74:AH83" si="82">IF($AA$3=1,AY74,BP74)</f>
        <v>0</v>
      </c>
      <c r="AI74" s="1759">
        <f t="shared" ref="AI74:AI83" si="83">IF($AA$3=1,AZ74,BQ74)</f>
        <v>0</v>
      </c>
      <c r="AJ74" s="1759">
        <f t="shared" ref="AJ74:AJ83" si="84">IF($AA$3=1,BA74,BR74)</f>
        <v>0</v>
      </c>
      <c r="AK74" s="1763">
        <f t="shared" ref="AK74:AK83" si="85">IF($AA$3=1,BB74,BS74)</f>
        <v>0</v>
      </c>
      <c r="AL74" s="1759">
        <f t="shared" ref="AL74:AM83" si="86">IF($AA$3=1,BC74,BT74)</f>
        <v>0</v>
      </c>
      <c r="AM74" s="1759">
        <f t="shared" si="86"/>
        <v>0</v>
      </c>
      <c r="AN74" s="1760">
        <f t="shared" ref="AN74:AN83" si="87">IF($AA$3=1,BE74,BV74)</f>
        <v>0</v>
      </c>
      <c r="AO74" s="1760">
        <f t="shared" ref="AO74:AO83" si="88">IF($AA$3=1,BF74,BW74)</f>
        <v>0</v>
      </c>
      <c r="AP74" s="1760">
        <f t="shared" ref="AP74:AP83" si="89">IF($AA$3=1,BG74,BX74)</f>
        <v>0</v>
      </c>
      <c r="AQ74" s="1632"/>
      <c r="AR74" s="1647">
        <v>0</v>
      </c>
      <c r="AS74" s="1693" t="s">
        <v>1525</v>
      </c>
      <c r="AT74" s="2064"/>
      <c r="AU74" s="1623"/>
      <c r="AV74" s="1623"/>
      <c r="AW74" s="1623"/>
      <c r="AX74" s="1623"/>
      <c r="AY74" s="1623"/>
      <c r="AZ74" s="1623"/>
      <c r="BA74" s="1623"/>
      <c r="BB74" s="1821"/>
      <c r="BC74" s="1623"/>
      <c r="BD74" s="1623"/>
      <c r="BE74" s="1625"/>
      <c r="BF74" s="1625"/>
      <c r="BG74" s="1625"/>
      <c r="BH74"/>
      <c r="BI74" s="1647">
        <v>0</v>
      </c>
      <c r="BJ74" s="1693" t="s">
        <v>1525</v>
      </c>
      <c r="BK74" s="2064"/>
      <c r="BL74" s="1623"/>
      <c r="BM74" s="1623"/>
      <c r="BN74" s="1623"/>
      <c r="BO74" s="1623"/>
      <c r="BP74" s="1623"/>
      <c r="BQ74" s="1623"/>
      <c r="BR74" s="1623"/>
      <c r="BS74" s="1821"/>
      <c r="BT74" s="1623"/>
      <c r="BU74" s="1623"/>
      <c r="BV74" s="1625"/>
      <c r="BW74" s="1625"/>
      <c r="BX74" s="1625"/>
      <c r="BY74"/>
    </row>
    <row r="75" spans="1:77" s="1605" customFormat="1" ht="13.5" customHeight="1">
      <c r="A75"/>
      <c r="B75" s="1606">
        <f t="shared" si="70"/>
        <v>2</v>
      </c>
      <c r="C75" s="1628" t="str">
        <f t="shared" si="71"/>
        <v>耐用性・信頼性</v>
      </c>
      <c r="D75" s="2062">
        <f>IF(I$61=0,0,G75/I$61)</f>
        <v>0.3</v>
      </c>
      <c r="E75" s="1743">
        <f>IF(J$61=0,0,H75/J$61)</f>
        <v>0</v>
      </c>
      <c r="F75"/>
      <c r="G75" s="1743">
        <f t="shared" si="72"/>
        <v>0.3</v>
      </c>
      <c r="H75" s="1743">
        <f t="shared" si="72"/>
        <v>0</v>
      </c>
      <c r="I75" s="1743">
        <f>G76+G79++G86+G90</f>
        <v>0.99999999999999978</v>
      </c>
      <c r="J75" s="1743">
        <f>H76+H79++H86+H90</f>
        <v>0</v>
      </c>
      <c r="K75" s="1609">
        <f>IF(スコア表示!X75=0,0,1)</f>
        <v>1</v>
      </c>
      <c r="L75" s="1609">
        <f>IF(スコア表示!AB75=0,0,1)</f>
        <v>0</v>
      </c>
      <c r="M75"/>
      <c r="N75" s="1707">
        <f>IF(P$61=0,0,R75/P$61)</f>
        <v>0.3</v>
      </c>
      <c r="O75" s="1707">
        <f>IF(Q$61=0,0,S75/Q$61)</f>
        <v>0</v>
      </c>
      <c r="P75" s="1710">
        <f>SUM(R76:R95)</f>
        <v>0.3</v>
      </c>
      <c r="Q75" s="1710">
        <f>SUM(S76:S95)</f>
        <v>0</v>
      </c>
      <c r="R75" s="1609">
        <f>IF(スコア入力!R75="EB",重み_対象外!D75,U75)</f>
        <v>0.3</v>
      </c>
      <c r="S75" s="1609">
        <f>IF(スコア入力!Y75="EB",重み_対象外!E75,V75)</f>
        <v>0</v>
      </c>
      <c r="T75" s="1560"/>
      <c r="U75" s="1607">
        <f>SUM(U76:U95)</f>
        <v>0.3</v>
      </c>
      <c r="V75" s="1607">
        <f>SUM(V76:V95)</f>
        <v>0</v>
      </c>
      <c r="W75" s="1560"/>
      <c r="X75" s="1609">
        <f t="shared" si="73"/>
        <v>0.3</v>
      </c>
      <c r="Y75" s="1609">
        <v>1</v>
      </c>
      <c r="Z75" s="1642"/>
      <c r="AA75" s="1606">
        <f t="shared" si="75"/>
        <v>2</v>
      </c>
      <c r="AB75" s="1606" t="str">
        <f t="shared" si="76"/>
        <v xml:space="preserve"> Q2</v>
      </c>
      <c r="AC75" s="1606" t="str">
        <f t="shared" si="77"/>
        <v>耐用性・信頼性</v>
      </c>
      <c r="AD75" s="1756">
        <f t="shared" si="78"/>
        <v>0.3</v>
      </c>
      <c r="AE75" s="1756">
        <f t="shared" si="79"/>
        <v>0.3</v>
      </c>
      <c r="AF75" s="1756">
        <f t="shared" si="80"/>
        <v>0.3</v>
      </c>
      <c r="AG75" s="1756">
        <f t="shared" si="81"/>
        <v>0.3</v>
      </c>
      <c r="AH75" s="1756">
        <f t="shared" si="82"/>
        <v>0.3</v>
      </c>
      <c r="AI75" s="1756">
        <f t="shared" si="83"/>
        <v>0.3</v>
      </c>
      <c r="AJ75" s="1756">
        <f t="shared" si="84"/>
        <v>0.3</v>
      </c>
      <c r="AK75" s="1768">
        <f t="shared" si="85"/>
        <v>0.3</v>
      </c>
      <c r="AL75" s="1756">
        <f t="shared" si="86"/>
        <v>0.3</v>
      </c>
      <c r="AM75" s="1756">
        <f t="shared" si="86"/>
        <v>0.3</v>
      </c>
      <c r="AN75" s="1758">
        <f t="shared" si="87"/>
        <v>0</v>
      </c>
      <c r="AO75" s="1756">
        <f t="shared" si="88"/>
        <v>0</v>
      </c>
      <c r="AP75" s="1756">
        <f t="shared" si="89"/>
        <v>0</v>
      </c>
      <c r="AQ75" s="1612"/>
      <c r="AR75" s="1641">
        <v>2</v>
      </c>
      <c r="AS75" s="1744" t="s">
        <v>318</v>
      </c>
      <c r="AT75" s="1787" t="s">
        <v>419</v>
      </c>
      <c r="AU75" s="1711">
        <v>0.3</v>
      </c>
      <c r="AV75" s="1711">
        <v>0.3</v>
      </c>
      <c r="AW75" s="1711">
        <v>0.3</v>
      </c>
      <c r="AX75" s="1711">
        <v>0.3</v>
      </c>
      <c r="AY75" s="1711">
        <v>0.3</v>
      </c>
      <c r="AZ75" s="1711">
        <v>0.3</v>
      </c>
      <c r="BA75" s="1711">
        <v>0.3</v>
      </c>
      <c r="BB75" s="1711">
        <v>0.3</v>
      </c>
      <c r="BC75" s="1711">
        <v>0.3</v>
      </c>
      <c r="BD75" s="1711">
        <v>0.3</v>
      </c>
      <c r="BE75" s="2063"/>
      <c r="BF75" s="1711"/>
      <c r="BG75" s="1711"/>
      <c r="BH75"/>
      <c r="BI75" s="1641">
        <v>2</v>
      </c>
      <c r="BJ75" s="1744" t="s">
        <v>318</v>
      </c>
      <c r="BK75" s="1787" t="s">
        <v>419</v>
      </c>
      <c r="BL75" s="1711">
        <v>0.3</v>
      </c>
      <c r="BM75" s="1711">
        <v>0.3</v>
      </c>
      <c r="BN75" s="1711">
        <v>0.3</v>
      </c>
      <c r="BO75" s="1711">
        <v>0.3</v>
      </c>
      <c r="BP75" s="1711">
        <v>0.3</v>
      </c>
      <c r="BQ75" s="1711">
        <v>0.3</v>
      </c>
      <c r="BR75" s="1711">
        <v>0.3</v>
      </c>
      <c r="BS75" s="1711">
        <v>0.3</v>
      </c>
      <c r="BT75" s="1711">
        <v>0.3</v>
      </c>
      <c r="BU75" s="1711">
        <v>0.3</v>
      </c>
      <c r="BV75" s="2063"/>
      <c r="BW75" s="1711"/>
      <c r="BX75" s="1711"/>
      <c r="BY75"/>
    </row>
    <row r="76" spans="1:77" ht="13.5" customHeight="1">
      <c r="B76" s="1613">
        <f t="shared" si="70"/>
        <v>2.1</v>
      </c>
      <c r="C76" s="1647" t="str">
        <f t="shared" si="71"/>
        <v>耐震･免震</v>
      </c>
      <c r="D76" s="1716">
        <f>IF(I$75=0,0,G76/I$75)</f>
        <v>0.5</v>
      </c>
      <c r="E76" s="1691">
        <f>IF(J$75=0,0,H76/J$75)</f>
        <v>0</v>
      </c>
      <c r="G76" s="1691">
        <f t="shared" si="72"/>
        <v>0.49999999999999989</v>
      </c>
      <c r="H76" s="1691">
        <f t="shared" si="72"/>
        <v>0</v>
      </c>
      <c r="I76" s="1691">
        <f>SUM(G77:G78)</f>
        <v>1</v>
      </c>
      <c r="J76" s="1691">
        <f>SUM(H77:H78)</f>
        <v>0</v>
      </c>
      <c r="K76" s="1616">
        <f>IF(スコア表示!X76=0,0,1)</f>
        <v>1</v>
      </c>
      <c r="L76" s="1616">
        <f>IF(スコア表示!AB76=0,0,1)</f>
        <v>0</v>
      </c>
      <c r="N76" s="1713">
        <f>IF(P$75=0,0,P76/P$75)</f>
        <v>0.49999999999999989</v>
      </c>
      <c r="O76" s="1713">
        <f>IF(Q$75=0,0,Q76/Q$75)</f>
        <v>0</v>
      </c>
      <c r="P76" s="1616">
        <f>SUM(R77:R78)</f>
        <v>0.14999999999999997</v>
      </c>
      <c r="Q76" s="1616">
        <f>SUM(S77:S78)</f>
        <v>0</v>
      </c>
      <c r="R76" s="1616">
        <f>IF(スコア入力!R76="EB",重み_対象外!D76,U76)</f>
        <v>0</v>
      </c>
      <c r="S76" s="1616">
        <f>IF(スコア入力!Y76="EB",重み_対象外!E76,V76)</f>
        <v>0</v>
      </c>
      <c r="T76" s="1560"/>
      <c r="U76" s="1630"/>
      <c r="V76" s="1630"/>
      <c r="W76" s="1560"/>
      <c r="X76" s="1616">
        <f t="shared" si="73"/>
        <v>0.5</v>
      </c>
      <c r="Y76" s="1616">
        <f t="shared" si="74"/>
        <v>0</v>
      </c>
      <c r="Z76" s="1644"/>
      <c r="AA76" s="1613">
        <f t="shared" si="75"/>
        <v>2.1</v>
      </c>
      <c r="AB76" s="1613" t="str">
        <f t="shared" si="76"/>
        <v xml:space="preserve"> Q2 2</v>
      </c>
      <c r="AC76" s="1613" t="str">
        <f t="shared" si="77"/>
        <v>耐震･免震</v>
      </c>
      <c r="AD76" s="1759">
        <f t="shared" si="78"/>
        <v>0.5</v>
      </c>
      <c r="AE76" s="1759">
        <f t="shared" si="79"/>
        <v>0.5</v>
      </c>
      <c r="AF76" s="1759">
        <f t="shared" si="80"/>
        <v>0.5</v>
      </c>
      <c r="AG76" s="1759">
        <f t="shared" si="81"/>
        <v>0.5</v>
      </c>
      <c r="AH76" s="1759">
        <f t="shared" si="82"/>
        <v>0.5</v>
      </c>
      <c r="AI76" s="1759">
        <f t="shared" si="83"/>
        <v>0.5</v>
      </c>
      <c r="AJ76" s="1759">
        <f t="shared" si="84"/>
        <v>0.5</v>
      </c>
      <c r="AK76" s="1761">
        <f t="shared" si="85"/>
        <v>0.5</v>
      </c>
      <c r="AL76" s="1759">
        <f t="shared" si="86"/>
        <v>0.5</v>
      </c>
      <c r="AM76" s="1759">
        <f t="shared" si="86"/>
        <v>0.5</v>
      </c>
      <c r="AN76" s="1760">
        <f t="shared" si="87"/>
        <v>0</v>
      </c>
      <c r="AO76" s="1759">
        <f t="shared" si="88"/>
        <v>0</v>
      </c>
      <c r="AP76" s="1759">
        <f t="shared" si="89"/>
        <v>0</v>
      </c>
      <c r="AQ76" s="1620"/>
      <c r="AR76" s="1647">
        <v>2.1</v>
      </c>
      <c r="AS76" s="1693" t="s">
        <v>333</v>
      </c>
      <c r="AT76" s="1737" t="s">
        <v>728</v>
      </c>
      <c r="AU76" s="1623">
        <v>0.5</v>
      </c>
      <c r="AV76" s="1623">
        <v>0.5</v>
      </c>
      <c r="AW76" s="1623">
        <v>0.5</v>
      </c>
      <c r="AX76" s="1623">
        <v>0.5</v>
      </c>
      <c r="AY76" s="1623">
        <v>0.5</v>
      </c>
      <c r="AZ76" s="1623">
        <v>0.5</v>
      </c>
      <c r="BA76" s="1623">
        <v>0.5</v>
      </c>
      <c r="BB76" s="1624">
        <v>0.5</v>
      </c>
      <c r="BC76" s="1623">
        <v>0.5</v>
      </c>
      <c r="BD76" s="1623">
        <v>0.5</v>
      </c>
      <c r="BE76" s="1625"/>
      <c r="BF76" s="1623"/>
      <c r="BG76" s="1623"/>
      <c r="BI76" s="1647">
        <v>2.1</v>
      </c>
      <c r="BJ76" s="1693" t="s">
        <v>333</v>
      </c>
      <c r="BK76" s="1737" t="s">
        <v>728</v>
      </c>
      <c r="BL76" s="1623">
        <v>0.5</v>
      </c>
      <c r="BM76" s="1623">
        <v>0.5</v>
      </c>
      <c r="BN76" s="1623">
        <v>0.5</v>
      </c>
      <c r="BO76" s="1623">
        <v>0.5</v>
      </c>
      <c r="BP76" s="1623">
        <v>0.5</v>
      </c>
      <c r="BQ76" s="1623">
        <v>0.5</v>
      </c>
      <c r="BR76" s="1623">
        <v>0.5</v>
      </c>
      <c r="BS76" s="1624">
        <v>0.5</v>
      </c>
      <c r="BT76" s="1623">
        <v>0.5</v>
      </c>
      <c r="BU76" s="1623">
        <v>0.5</v>
      </c>
      <c r="BV76" s="1625"/>
      <c r="BW76" s="1623"/>
      <c r="BX76" s="1623"/>
    </row>
    <row r="77" spans="1:77" ht="13.5" customHeight="1">
      <c r="B77" s="1621" t="str">
        <f t="shared" si="70"/>
        <v>2.1.1</v>
      </c>
      <c r="C77" s="1614" t="str">
        <f t="shared" si="71"/>
        <v>耐震性</v>
      </c>
      <c r="D77" s="1721">
        <f>IF(I$76&gt;0,G77/I$76,0)</f>
        <v>0.8</v>
      </c>
      <c r="E77" s="1691">
        <f>IF(J$76&gt;0,H77/J$76,0)</f>
        <v>0</v>
      </c>
      <c r="G77" s="1691">
        <f t="shared" si="72"/>
        <v>0.8</v>
      </c>
      <c r="H77" s="1691">
        <f t="shared" si="72"/>
        <v>0</v>
      </c>
      <c r="I77" s="1691"/>
      <c r="J77" s="1691"/>
      <c r="K77" s="1616">
        <f>IF(スコア表示!X77=0,0,1)</f>
        <v>1</v>
      </c>
      <c r="L77" s="1616">
        <f>IF(スコア表示!AB77=0,0,1)</f>
        <v>0</v>
      </c>
      <c r="N77" s="1708">
        <f>IF(P$76&gt;0,R77/P$76,0)</f>
        <v>0.8</v>
      </c>
      <c r="O77" s="1708">
        <f>IF(Q$76&gt;0,S77/Q$76,0)</f>
        <v>0</v>
      </c>
      <c r="P77" s="1616"/>
      <c r="Q77" s="1616"/>
      <c r="R77" s="1616">
        <f>IF(スコア入力!R77="EB",重み_対象外!D77,U77)</f>
        <v>0.11999999999999998</v>
      </c>
      <c r="S77" s="1616">
        <f>IF(スコア入力!Y77="EB",重み_対象外!E77,V77)</f>
        <v>0</v>
      </c>
      <c r="T77" s="1560"/>
      <c r="U77" s="1614">
        <f>X$75*X$76*X77</f>
        <v>0.11999999999999998</v>
      </c>
      <c r="V77" s="1614">
        <f>Y$75*Y$76*Y77</f>
        <v>0</v>
      </c>
      <c r="W77" s="1560"/>
      <c r="X77" s="1616">
        <f t="shared" si="73"/>
        <v>0.79999999999999993</v>
      </c>
      <c r="Y77" s="1616">
        <f t="shared" si="74"/>
        <v>0</v>
      </c>
      <c r="Z77" s="1645"/>
      <c r="AA77" s="1613" t="str">
        <f t="shared" si="75"/>
        <v>2.1.1</v>
      </c>
      <c r="AB77" s="1613" t="str">
        <f t="shared" si="76"/>
        <v xml:space="preserve"> Q2 2.1</v>
      </c>
      <c r="AC77" s="1613" t="str">
        <f t="shared" si="77"/>
        <v>耐震性</v>
      </c>
      <c r="AD77" s="1759">
        <f t="shared" si="78"/>
        <v>0.8</v>
      </c>
      <c r="AE77" s="1759">
        <f t="shared" si="79"/>
        <v>0.8</v>
      </c>
      <c r="AF77" s="1759">
        <f t="shared" si="80"/>
        <v>0.8</v>
      </c>
      <c r="AG77" s="1759">
        <f t="shared" si="81"/>
        <v>0.8</v>
      </c>
      <c r="AH77" s="1759">
        <f t="shared" si="82"/>
        <v>0.8</v>
      </c>
      <c r="AI77" s="1759">
        <f t="shared" si="83"/>
        <v>0.8</v>
      </c>
      <c r="AJ77" s="1759">
        <f t="shared" si="84"/>
        <v>0.8</v>
      </c>
      <c r="AK77" s="1761">
        <f t="shared" si="85"/>
        <v>0.8</v>
      </c>
      <c r="AL77" s="1759">
        <f t="shared" si="86"/>
        <v>0.8</v>
      </c>
      <c r="AM77" s="1759">
        <f t="shared" si="86"/>
        <v>0.8</v>
      </c>
      <c r="AN77" s="1760">
        <f t="shared" si="87"/>
        <v>0</v>
      </c>
      <c r="AO77" s="1759">
        <f t="shared" si="88"/>
        <v>0</v>
      </c>
      <c r="AP77" s="1759">
        <f t="shared" si="89"/>
        <v>0</v>
      </c>
      <c r="AQ77" s="1632"/>
      <c r="AR77" s="1647" t="s">
        <v>1526</v>
      </c>
      <c r="AS77" s="1693" t="s">
        <v>334</v>
      </c>
      <c r="AT77" s="2064" t="s">
        <v>335</v>
      </c>
      <c r="AU77" s="1623">
        <v>0.8</v>
      </c>
      <c r="AV77" s="1623">
        <v>0.8</v>
      </c>
      <c r="AW77" s="1623">
        <v>0.8</v>
      </c>
      <c r="AX77" s="1623">
        <v>0.8</v>
      </c>
      <c r="AY77" s="1623">
        <v>0.8</v>
      </c>
      <c r="AZ77" s="1623">
        <v>0.8</v>
      </c>
      <c r="BA77" s="1623">
        <v>0.8</v>
      </c>
      <c r="BB77" s="1624">
        <v>0.8</v>
      </c>
      <c r="BC77" s="1623">
        <v>0.8</v>
      </c>
      <c r="BD77" s="1623">
        <v>0.8</v>
      </c>
      <c r="BE77" s="1625"/>
      <c r="BF77" s="1623"/>
      <c r="BG77" s="1623"/>
      <c r="BI77" s="1647" t="s">
        <v>1526</v>
      </c>
      <c r="BJ77" s="1693" t="s">
        <v>334</v>
      </c>
      <c r="BK77" s="2064" t="s">
        <v>335</v>
      </c>
      <c r="BL77" s="1623">
        <v>0.8</v>
      </c>
      <c r="BM77" s="1623">
        <v>0.8</v>
      </c>
      <c r="BN77" s="1623">
        <v>0.8</v>
      </c>
      <c r="BO77" s="1623">
        <v>0.8</v>
      </c>
      <c r="BP77" s="1623">
        <v>0.8</v>
      </c>
      <c r="BQ77" s="1623">
        <v>0.8</v>
      </c>
      <c r="BR77" s="1623">
        <v>0.8</v>
      </c>
      <c r="BS77" s="1624">
        <v>0.8</v>
      </c>
      <c r="BT77" s="1623">
        <v>0.8</v>
      </c>
      <c r="BU77" s="1623">
        <v>0.8</v>
      </c>
      <c r="BV77" s="1625"/>
      <c r="BW77" s="1623"/>
      <c r="BX77" s="1623"/>
    </row>
    <row r="78" spans="1:77" ht="13.5" customHeight="1">
      <c r="B78" s="1621" t="str">
        <f t="shared" si="70"/>
        <v>2.1.2</v>
      </c>
      <c r="C78" s="1614" t="str">
        <f t="shared" si="71"/>
        <v>免震・制振性能</v>
      </c>
      <c r="D78" s="1721">
        <f>IF(I$76&gt;0,G78/I$76,0)</f>
        <v>0.2</v>
      </c>
      <c r="E78" s="1691">
        <f>IF(J$76&gt;0,H78/J$76,0)</f>
        <v>0</v>
      </c>
      <c r="G78" s="1691">
        <f t="shared" si="72"/>
        <v>0.2</v>
      </c>
      <c r="H78" s="1691">
        <f t="shared" si="72"/>
        <v>0</v>
      </c>
      <c r="I78" s="1691"/>
      <c r="J78" s="1691"/>
      <c r="K78" s="1616">
        <f>IF(スコア表示!X78=0,0,1)</f>
        <v>1</v>
      </c>
      <c r="L78" s="1616">
        <f>IF(スコア表示!AB78=0,0,1)</f>
        <v>0</v>
      </c>
      <c r="N78" s="1708">
        <f>IF(P$76&gt;0,R78/P$76,0)</f>
        <v>0.2</v>
      </c>
      <c r="O78" s="1708">
        <f>IF(Q$76&gt;0,S78/Q$76,0)</f>
        <v>0</v>
      </c>
      <c r="P78" s="1616"/>
      <c r="Q78" s="1616"/>
      <c r="R78" s="1616">
        <f>IF(スコア入力!R78="EB",重み_対象外!D78,U78)</f>
        <v>2.9999999999999995E-2</v>
      </c>
      <c r="S78" s="1616">
        <f>IF(スコア入力!Y78="EB",重み_対象外!E78,V78)</f>
        <v>0</v>
      </c>
      <c r="T78" s="1560"/>
      <c r="U78" s="1614">
        <f>X$75*X$76*X78</f>
        <v>2.9999999999999995E-2</v>
      </c>
      <c r="V78" s="1614">
        <f>Y$75*Y$76*Y78</f>
        <v>0</v>
      </c>
      <c r="W78" s="1560"/>
      <c r="X78" s="1616">
        <f t="shared" si="73"/>
        <v>0.19999999999999998</v>
      </c>
      <c r="Y78" s="1616">
        <f t="shared" si="74"/>
        <v>0</v>
      </c>
      <c r="Z78" s="1645"/>
      <c r="AA78" s="1613" t="str">
        <f t="shared" si="75"/>
        <v>2.1.2</v>
      </c>
      <c r="AB78" s="1613" t="str">
        <f t="shared" si="76"/>
        <v xml:space="preserve"> Q2 2.1</v>
      </c>
      <c r="AC78" s="1613" t="str">
        <f t="shared" si="77"/>
        <v>免震・制振性能</v>
      </c>
      <c r="AD78" s="1759">
        <f t="shared" si="78"/>
        <v>0.2</v>
      </c>
      <c r="AE78" s="1759">
        <f t="shared" si="79"/>
        <v>0.2</v>
      </c>
      <c r="AF78" s="1759">
        <f t="shared" si="80"/>
        <v>0.2</v>
      </c>
      <c r="AG78" s="1759">
        <f t="shared" si="81"/>
        <v>0.2</v>
      </c>
      <c r="AH78" s="1759">
        <f t="shared" si="82"/>
        <v>0.2</v>
      </c>
      <c r="AI78" s="1759">
        <f t="shared" si="83"/>
        <v>0.2</v>
      </c>
      <c r="AJ78" s="1759">
        <f t="shared" si="84"/>
        <v>0.2</v>
      </c>
      <c r="AK78" s="1761">
        <f t="shared" si="85"/>
        <v>0.2</v>
      </c>
      <c r="AL78" s="1759">
        <f t="shared" si="86"/>
        <v>0.2</v>
      </c>
      <c r="AM78" s="1759">
        <f t="shared" si="86"/>
        <v>0.2</v>
      </c>
      <c r="AN78" s="1760">
        <f t="shared" si="87"/>
        <v>0</v>
      </c>
      <c r="AO78" s="1759">
        <f t="shared" si="88"/>
        <v>0</v>
      </c>
      <c r="AP78" s="1759">
        <f t="shared" si="89"/>
        <v>0</v>
      </c>
      <c r="AQ78" s="1632"/>
      <c r="AR78" s="1647" t="s">
        <v>1527</v>
      </c>
      <c r="AS78" s="1693" t="s">
        <v>334</v>
      </c>
      <c r="AT78" s="2064" t="s">
        <v>420</v>
      </c>
      <c r="AU78" s="1623">
        <v>0.2</v>
      </c>
      <c r="AV78" s="1623">
        <v>0.2</v>
      </c>
      <c r="AW78" s="1623">
        <v>0.2</v>
      </c>
      <c r="AX78" s="1623">
        <v>0.2</v>
      </c>
      <c r="AY78" s="1623">
        <v>0.2</v>
      </c>
      <c r="AZ78" s="1623">
        <v>0.2</v>
      </c>
      <c r="BA78" s="1623">
        <v>0.2</v>
      </c>
      <c r="BB78" s="1624">
        <v>0.2</v>
      </c>
      <c r="BC78" s="1623">
        <v>0.2</v>
      </c>
      <c r="BD78" s="1623">
        <v>0.2</v>
      </c>
      <c r="BE78" s="1625"/>
      <c r="BF78" s="1623"/>
      <c r="BG78" s="1623"/>
      <c r="BI78" s="1647" t="s">
        <v>1527</v>
      </c>
      <c r="BJ78" s="1693" t="s">
        <v>334</v>
      </c>
      <c r="BK78" s="2064" t="s">
        <v>420</v>
      </c>
      <c r="BL78" s="1623">
        <v>0.2</v>
      </c>
      <c r="BM78" s="1623">
        <v>0.2</v>
      </c>
      <c r="BN78" s="1623">
        <v>0.2</v>
      </c>
      <c r="BO78" s="1623">
        <v>0.2</v>
      </c>
      <c r="BP78" s="1623">
        <v>0.2</v>
      </c>
      <c r="BQ78" s="1623">
        <v>0.2</v>
      </c>
      <c r="BR78" s="1623">
        <v>0.2</v>
      </c>
      <c r="BS78" s="1624">
        <v>0.2</v>
      </c>
      <c r="BT78" s="1623">
        <v>0.2</v>
      </c>
      <c r="BU78" s="1623">
        <v>0.2</v>
      </c>
      <c r="BV78" s="1625"/>
      <c r="BW78" s="1623"/>
      <c r="BX78" s="1623"/>
    </row>
    <row r="79" spans="1:77" ht="13.5" customHeight="1">
      <c r="B79" s="1647">
        <f t="shared" si="70"/>
        <v>2.2000000000000002</v>
      </c>
      <c r="C79" s="1647" t="str">
        <f t="shared" si="71"/>
        <v>部品・部材の耐用年数</v>
      </c>
      <c r="D79" s="1716">
        <f>IF(I$75=0,0,G79/I$75)</f>
        <v>0.30000000000000004</v>
      </c>
      <c r="E79" s="1691">
        <f>IF(J$75=0,0,H79/J$75)</f>
        <v>0</v>
      </c>
      <c r="G79" s="1691">
        <f t="shared" si="72"/>
        <v>0.3</v>
      </c>
      <c r="H79" s="1691">
        <f t="shared" si="72"/>
        <v>0</v>
      </c>
      <c r="I79" s="1691">
        <f>SUM(G80:G85)</f>
        <v>0.99999999999999989</v>
      </c>
      <c r="J79" s="1691">
        <f>SUM(H80:H85)</f>
        <v>0</v>
      </c>
      <c r="K79" s="1616">
        <f>IF(スコア表示!X79=0,0,1)</f>
        <v>1</v>
      </c>
      <c r="L79" s="1616">
        <f>IF(スコア表示!AB79=0,0,1)</f>
        <v>0</v>
      </c>
      <c r="N79" s="1716">
        <f>IF(P$75=0,0,P79/P$75)</f>
        <v>0.3</v>
      </c>
      <c r="O79" s="1716">
        <f>IF(Q$75=0,0,Q79/Q$75)</f>
        <v>0</v>
      </c>
      <c r="P79" s="1691">
        <f>SUM(R80:R85)</f>
        <v>0.09</v>
      </c>
      <c r="Q79" s="1691">
        <f>SUM(S80:S85)</f>
        <v>0</v>
      </c>
      <c r="R79" s="1616">
        <f>IF(スコア入力!R79="EB",重み_対象外!D79,U79)</f>
        <v>0</v>
      </c>
      <c r="S79" s="1616">
        <f>IF(スコア入力!Y79="EB",重み_対象外!E79,V79)</f>
        <v>0</v>
      </c>
      <c r="T79" s="1560"/>
      <c r="U79" s="1630"/>
      <c r="V79" s="1630"/>
      <c r="W79" s="1560"/>
      <c r="X79" s="1691">
        <f t="shared" si="73"/>
        <v>0.3</v>
      </c>
      <c r="Y79" s="1691">
        <f t="shared" si="74"/>
        <v>0</v>
      </c>
      <c r="Z79" s="1717"/>
      <c r="AA79" s="1718">
        <f t="shared" si="75"/>
        <v>2.2000000000000002</v>
      </c>
      <c r="AB79" s="1693" t="str">
        <f t="shared" si="76"/>
        <v xml:space="preserve"> Q2 2</v>
      </c>
      <c r="AC79" s="1720" t="str">
        <f t="shared" si="77"/>
        <v>部品・部材の耐用年数</v>
      </c>
      <c r="AD79" s="1623">
        <f t="shared" si="78"/>
        <v>0.3</v>
      </c>
      <c r="AE79" s="1623">
        <f t="shared" si="79"/>
        <v>0.3</v>
      </c>
      <c r="AF79" s="1623">
        <f t="shared" si="80"/>
        <v>0.3</v>
      </c>
      <c r="AG79" s="1623">
        <f t="shared" si="81"/>
        <v>0.3</v>
      </c>
      <c r="AH79" s="1623">
        <f t="shared" si="82"/>
        <v>0.3</v>
      </c>
      <c r="AI79" s="1623">
        <f t="shared" si="83"/>
        <v>0.3</v>
      </c>
      <c r="AJ79" s="1623">
        <f t="shared" si="84"/>
        <v>0.3</v>
      </c>
      <c r="AK79" s="1623">
        <f t="shared" si="85"/>
        <v>0.3</v>
      </c>
      <c r="AL79" s="1623">
        <f t="shared" si="86"/>
        <v>0.3</v>
      </c>
      <c r="AM79" s="1623">
        <f t="shared" si="86"/>
        <v>0.3</v>
      </c>
      <c r="AN79" s="1625">
        <f t="shared" si="87"/>
        <v>0</v>
      </c>
      <c r="AO79" s="1623">
        <f t="shared" si="88"/>
        <v>0</v>
      </c>
      <c r="AP79" s="1623">
        <f t="shared" si="89"/>
        <v>0</v>
      </c>
      <c r="AQ79" s="1719"/>
      <c r="AR79" s="1647">
        <v>2.2000000000000002</v>
      </c>
      <c r="AS79" s="1693" t="s">
        <v>333</v>
      </c>
      <c r="AT79" s="1737" t="s">
        <v>734</v>
      </c>
      <c r="AU79" s="1623">
        <v>0.3</v>
      </c>
      <c r="AV79" s="1623">
        <v>0.3</v>
      </c>
      <c r="AW79" s="1623">
        <v>0.3</v>
      </c>
      <c r="AX79" s="1623">
        <v>0.3</v>
      </c>
      <c r="AY79" s="1623">
        <v>0.3</v>
      </c>
      <c r="AZ79" s="1623">
        <v>0.3</v>
      </c>
      <c r="BA79" s="1623">
        <v>0.3</v>
      </c>
      <c r="BB79" s="1624">
        <v>0.3</v>
      </c>
      <c r="BC79" s="1623">
        <v>0.3</v>
      </c>
      <c r="BD79" s="1623">
        <v>0.3</v>
      </c>
      <c r="BE79" s="1625"/>
      <c r="BF79" s="1623"/>
      <c r="BG79" s="1623"/>
      <c r="BI79" s="1647">
        <v>2.2000000000000002</v>
      </c>
      <c r="BJ79" s="1693" t="s">
        <v>333</v>
      </c>
      <c r="BK79" s="1737" t="s">
        <v>734</v>
      </c>
      <c r="BL79" s="1623">
        <v>0.3</v>
      </c>
      <c r="BM79" s="1623">
        <v>0.3</v>
      </c>
      <c r="BN79" s="1623">
        <v>0.3</v>
      </c>
      <c r="BO79" s="1623">
        <v>0.3</v>
      </c>
      <c r="BP79" s="1623">
        <v>0.3</v>
      </c>
      <c r="BQ79" s="1623">
        <v>0.3</v>
      </c>
      <c r="BR79" s="1623">
        <v>0.3</v>
      </c>
      <c r="BS79" s="1624">
        <v>0.3</v>
      </c>
      <c r="BT79" s="1623">
        <v>0.3</v>
      </c>
      <c r="BU79" s="1623">
        <v>0.3</v>
      </c>
      <c r="BV79" s="1625"/>
      <c r="BW79" s="1623"/>
      <c r="BX79" s="1623"/>
    </row>
    <row r="80" spans="1:77" ht="13.5" customHeight="1">
      <c r="B80" s="1679" t="str">
        <f t="shared" si="70"/>
        <v>2.2.1</v>
      </c>
      <c r="C80" s="1614" t="str">
        <f t="shared" si="71"/>
        <v>躯体材料の耐用年数</v>
      </c>
      <c r="D80" s="1721">
        <f t="shared" ref="D80:E85" si="90">IF(I$79&gt;0,G80/I$79,0)</f>
        <v>0.2</v>
      </c>
      <c r="E80" s="1691">
        <f t="shared" si="90"/>
        <v>0</v>
      </c>
      <c r="G80" s="1691">
        <f t="shared" si="72"/>
        <v>0.19999999999999998</v>
      </c>
      <c r="H80" s="1691">
        <f t="shared" si="72"/>
        <v>0</v>
      </c>
      <c r="I80" s="1691"/>
      <c r="J80" s="1691"/>
      <c r="K80" s="1616">
        <f>IF(スコア表示!X80=0,0,1)</f>
        <v>1</v>
      </c>
      <c r="L80" s="1616">
        <f>IF(スコア表示!AB80=0,0,1)</f>
        <v>0</v>
      </c>
      <c r="N80" s="1721">
        <f t="shared" ref="N80:O85" si="91">IF(P$79&gt;0,R80/P$79,0)</f>
        <v>0.19999999999999998</v>
      </c>
      <c r="O80" s="1721">
        <f t="shared" si="91"/>
        <v>0</v>
      </c>
      <c r="P80" s="1691"/>
      <c r="Q80" s="1691"/>
      <c r="R80" s="1616">
        <f>IF(スコア入力!R80="EB",重み_対象外!D80,U80)</f>
        <v>1.7999999999999999E-2</v>
      </c>
      <c r="S80" s="1616">
        <f>IF(スコア入力!Y80="EB",重み_対象外!E80,V80)</f>
        <v>0</v>
      </c>
      <c r="T80" s="1560"/>
      <c r="U80" s="1614">
        <f>X$75*X$79*X80</f>
        <v>1.7999999999999999E-2</v>
      </c>
      <c r="V80" s="1614">
        <f>Y$75*Y$79*Y80</f>
        <v>0</v>
      </c>
      <c r="W80" s="1560"/>
      <c r="X80" s="1691">
        <f t="shared" si="73"/>
        <v>0.19999999999999998</v>
      </c>
      <c r="Y80" s="1691">
        <f t="shared" si="74"/>
        <v>0</v>
      </c>
      <c r="Z80" s="1717"/>
      <c r="AA80" s="1722" t="str">
        <f t="shared" si="75"/>
        <v>2.2.1</v>
      </c>
      <c r="AB80" s="1693" t="str">
        <f t="shared" si="76"/>
        <v xml:space="preserve"> Q2 2.2</v>
      </c>
      <c r="AC80" s="1720" t="str">
        <f t="shared" si="77"/>
        <v>躯体材料の耐用年数</v>
      </c>
      <c r="AD80" s="1623">
        <f t="shared" si="78"/>
        <v>0.2</v>
      </c>
      <c r="AE80" s="1623">
        <f t="shared" si="79"/>
        <v>0.2</v>
      </c>
      <c r="AF80" s="1623">
        <f t="shared" si="80"/>
        <v>0.2</v>
      </c>
      <c r="AG80" s="1623">
        <f t="shared" si="81"/>
        <v>0.2</v>
      </c>
      <c r="AH80" s="1623">
        <f t="shared" si="82"/>
        <v>0.2</v>
      </c>
      <c r="AI80" s="1623">
        <f t="shared" si="83"/>
        <v>0.2</v>
      </c>
      <c r="AJ80" s="1623">
        <f t="shared" si="84"/>
        <v>0.2</v>
      </c>
      <c r="AK80" s="1623">
        <f t="shared" si="85"/>
        <v>0.2</v>
      </c>
      <c r="AL80" s="1623">
        <f t="shared" si="86"/>
        <v>0.2</v>
      </c>
      <c r="AM80" s="1623">
        <f t="shared" si="86"/>
        <v>0.2</v>
      </c>
      <c r="AN80" s="1625">
        <f t="shared" si="87"/>
        <v>0</v>
      </c>
      <c r="AO80" s="1623">
        <f t="shared" si="88"/>
        <v>0</v>
      </c>
      <c r="AP80" s="1623">
        <f t="shared" si="89"/>
        <v>0</v>
      </c>
      <c r="AQ80" s="1719"/>
      <c r="AR80" s="1647" t="s">
        <v>1528</v>
      </c>
      <c r="AS80" s="1693" t="s">
        <v>336</v>
      </c>
      <c r="AT80" s="2064" t="s">
        <v>736</v>
      </c>
      <c r="AU80" s="1623">
        <v>0.2</v>
      </c>
      <c r="AV80" s="1623">
        <v>0.2</v>
      </c>
      <c r="AW80" s="1623">
        <v>0.2</v>
      </c>
      <c r="AX80" s="1623">
        <v>0.2</v>
      </c>
      <c r="AY80" s="1623">
        <v>0.2</v>
      </c>
      <c r="AZ80" s="1623">
        <v>0.2</v>
      </c>
      <c r="BA80" s="1623">
        <v>0.2</v>
      </c>
      <c r="BB80" s="1623">
        <v>0.2</v>
      </c>
      <c r="BC80" s="1623">
        <v>0.2</v>
      </c>
      <c r="BD80" s="1623">
        <v>0.2</v>
      </c>
      <c r="BE80" s="1625"/>
      <c r="BF80" s="1623"/>
      <c r="BG80" s="1623"/>
      <c r="BI80" s="1647" t="s">
        <v>1528</v>
      </c>
      <c r="BJ80" s="1693" t="s">
        <v>336</v>
      </c>
      <c r="BK80" s="2064" t="s">
        <v>736</v>
      </c>
      <c r="BL80" s="1623">
        <v>0.2</v>
      </c>
      <c r="BM80" s="1623">
        <v>0.2</v>
      </c>
      <c r="BN80" s="1623">
        <v>0.2</v>
      </c>
      <c r="BO80" s="1623">
        <v>0.2</v>
      </c>
      <c r="BP80" s="1623">
        <v>0.2</v>
      </c>
      <c r="BQ80" s="1623">
        <v>0.2</v>
      </c>
      <c r="BR80" s="1623">
        <v>0.2</v>
      </c>
      <c r="BS80" s="1623">
        <v>0.2</v>
      </c>
      <c r="BT80" s="1623">
        <v>0.2</v>
      </c>
      <c r="BU80" s="1623">
        <v>0.2</v>
      </c>
      <c r="BV80" s="1625"/>
      <c r="BW80" s="1623"/>
      <c r="BX80" s="1623"/>
    </row>
    <row r="81" spans="2:76" ht="13.5" customHeight="1">
      <c r="B81" s="1679" t="str">
        <f t="shared" si="70"/>
        <v>2.2.2</v>
      </c>
      <c r="C81" s="1614" t="str">
        <f t="shared" si="71"/>
        <v>外壁仕上げ材の補修必要間隔</v>
      </c>
      <c r="D81" s="1721">
        <f t="shared" si="90"/>
        <v>0.2</v>
      </c>
      <c r="E81" s="1691">
        <f t="shared" si="90"/>
        <v>0</v>
      </c>
      <c r="G81" s="1691">
        <f t="shared" si="72"/>
        <v>0.19999999999999998</v>
      </c>
      <c r="H81" s="1691">
        <f t="shared" si="72"/>
        <v>0</v>
      </c>
      <c r="I81" s="1691"/>
      <c r="J81" s="1691"/>
      <c r="K81" s="1616">
        <f>IF(スコア表示!X81=0,0,1)</f>
        <v>1</v>
      </c>
      <c r="L81" s="1616">
        <f>IF(スコア表示!AB81=0,0,1)</f>
        <v>0</v>
      </c>
      <c r="N81" s="1721">
        <f t="shared" si="91"/>
        <v>0.19999999999999998</v>
      </c>
      <c r="O81" s="1721">
        <f t="shared" si="91"/>
        <v>0</v>
      </c>
      <c r="P81" s="1691"/>
      <c r="Q81" s="1691"/>
      <c r="R81" s="1616">
        <f>IF(スコア入力!R81="EB",重み_対象外!D81,U81)</f>
        <v>1.7999999999999999E-2</v>
      </c>
      <c r="S81" s="1616">
        <f>IF(スコア入力!Y81="EB",重み_対象外!E81,V81)</f>
        <v>0</v>
      </c>
      <c r="T81" s="1560"/>
      <c r="U81" s="1614">
        <f>X$75*X$79*X81</f>
        <v>1.7999999999999999E-2</v>
      </c>
      <c r="V81" s="1614"/>
      <c r="W81" s="1560"/>
      <c r="X81" s="1691">
        <f t="shared" si="73"/>
        <v>0.19999999999999998</v>
      </c>
      <c r="Y81" s="1691">
        <f t="shared" si="74"/>
        <v>0</v>
      </c>
      <c r="Z81" s="1717"/>
      <c r="AA81" s="1722" t="str">
        <f t="shared" si="75"/>
        <v>2.2.2</v>
      </c>
      <c r="AB81" s="1693" t="str">
        <f t="shared" si="76"/>
        <v xml:space="preserve"> Q2 2.2</v>
      </c>
      <c r="AC81" s="1720" t="str">
        <f t="shared" si="77"/>
        <v>外壁仕上げ材の補修必要間隔</v>
      </c>
      <c r="AD81" s="1623">
        <f t="shared" si="78"/>
        <v>0.2</v>
      </c>
      <c r="AE81" s="1623">
        <f t="shared" si="79"/>
        <v>0.2</v>
      </c>
      <c r="AF81" s="1623">
        <f t="shared" si="80"/>
        <v>0.2</v>
      </c>
      <c r="AG81" s="1623">
        <f t="shared" si="81"/>
        <v>0.2</v>
      </c>
      <c r="AH81" s="1623">
        <f t="shared" si="82"/>
        <v>0.2</v>
      </c>
      <c r="AI81" s="1623">
        <f t="shared" si="83"/>
        <v>0.2</v>
      </c>
      <c r="AJ81" s="1623">
        <f t="shared" si="84"/>
        <v>0.2</v>
      </c>
      <c r="AK81" s="1623">
        <f t="shared" si="85"/>
        <v>0.2</v>
      </c>
      <c r="AL81" s="1623">
        <f t="shared" si="86"/>
        <v>0.2</v>
      </c>
      <c r="AM81" s="1623">
        <f t="shared" si="86"/>
        <v>0.2</v>
      </c>
      <c r="AN81" s="1625">
        <f t="shared" si="87"/>
        <v>0</v>
      </c>
      <c r="AO81" s="1623">
        <f t="shared" si="88"/>
        <v>0</v>
      </c>
      <c r="AP81" s="1623">
        <f t="shared" si="89"/>
        <v>0</v>
      </c>
      <c r="AQ81" s="1719"/>
      <c r="AR81" s="1647" t="s">
        <v>1529</v>
      </c>
      <c r="AS81" s="1693" t="s">
        <v>336</v>
      </c>
      <c r="AT81" s="2064" t="s">
        <v>337</v>
      </c>
      <c r="AU81" s="1623">
        <v>0.2</v>
      </c>
      <c r="AV81" s="1623">
        <v>0.2</v>
      </c>
      <c r="AW81" s="1623">
        <v>0.2</v>
      </c>
      <c r="AX81" s="1623">
        <v>0.2</v>
      </c>
      <c r="AY81" s="1623">
        <v>0.2</v>
      </c>
      <c r="AZ81" s="1623">
        <v>0.2</v>
      </c>
      <c r="BA81" s="1623">
        <v>0.2</v>
      </c>
      <c r="BB81" s="1623">
        <v>0.2</v>
      </c>
      <c r="BC81" s="1623">
        <v>0.2</v>
      </c>
      <c r="BD81" s="1623">
        <v>0.2</v>
      </c>
      <c r="BE81" s="1625"/>
      <c r="BF81" s="1623"/>
      <c r="BG81" s="1623"/>
      <c r="BI81" s="1647" t="s">
        <v>1529</v>
      </c>
      <c r="BJ81" s="1693" t="s">
        <v>336</v>
      </c>
      <c r="BK81" s="2064" t="s">
        <v>337</v>
      </c>
      <c r="BL81" s="1623">
        <v>0.2</v>
      </c>
      <c r="BM81" s="1623">
        <v>0.2</v>
      </c>
      <c r="BN81" s="1623">
        <v>0.2</v>
      </c>
      <c r="BO81" s="1623">
        <v>0.2</v>
      </c>
      <c r="BP81" s="1623">
        <v>0.2</v>
      </c>
      <c r="BQ81" s="1623">
        <v>0.2</v>
      </c>
      <c r="BR81" s="1623">
        <v>0.2</v>
      </c>
      <c r="BS81" s="1623">
        <v>0.2</v>
      </c>
      <c r="BT81" s="1623">
        <v>0.2</v>
      </c>
      <c r="BU81" s="1623">
        <v>0.2</v>
      </c>
      <c r="BV81" s="1625"/>
      <c r="BW81" s="1623"/>
      <c r="BX81" s="1623"/>
    </row>
    <row r="82" spans="2:76" ht="13.5" customHeight="1">
      <c r="B82" s="1679" t="str">
        <f t="shared" si="70"/>
        <v>2.2.3</v>
      </c>
      <c r="C82" s="1614" t="str">
        <f t="shared" si="71"/>
        <v>主要内装仕上げ材の更新必要間隔</v>
      </c>
      <c r="D82" s="1721">
        <f t="shared" si="90"/>
        <v>0.1</v>
      </c>
      <c r="E82" s="1691">
        <f t="shared" si="90"/>
        <v>0</v>
      </c>
      <c r="G82" s="1691">
        <f t="shared" si="72"/>
        <v>9.9999999999999992E-2</v>
      </c>
      <c r="H82" s="1691">
        <f t="shared" si="72"/>
        <v>0</v>
      </c>
      <c r="I82" s="1691"/>
      <c r="J82" s="1691"/>
      <c r="K82" s="1616">
        <f>IF(スコア表示!X82=0,0,1)</f>
        <v>1</v>
      </c>
      <c r="L82" s="1616">
        <f>IF(スコア表示!AB82=0,0,1)</f>
        <v>0</v>
      </c>
      <c r="N82" s="1721">
        <f t="shared" si="91"/>
        <v>9.9999999999999992E-2</v>
      </c>
      <c r="O82" s="1721">
        <f t="shared" si="91"/>
        <v>0</v>
      </c>
      <c r="P82" s="1691"/>
      <c r="Q82" s="1691"/>
      <c r="R82" s="1616">
        <f>IF(スコア入力!R82="EB",重み_対象外!D82,U82)</f>
        <v>8.9999999999999993E-3</v>
      </c>
      <c r="S82" s="1616">
        <f>IF(スコア入力!Y82="EB",重み_対象外!E82,V82)</f>
        <v>0</v>
      </c>
      <c r="T82" s="1560"/>
      <c r="U82" s="1614">
        <f>X$75*X$79*X82</f>
        <v>8.9999999999999993E-3</v>
      </c>
      <c r="V82" s="1614">
        <f>Y$75*Y$79*Y82</f>
        <v>0</v>
      </c>
      <c r="W82" s="1560"/>
      <c r="X82" s="1691">
        <f t="shared" si="73"/>
        <v>9.9999999999999992E-2</v>
      </c>
      <c r="Y82" s="1691">
        <f t="shared" si="74"/>
        <v>0</v>
      </c>
      <c r="Z82" s="1717"/>
      <c r="AA82" s="1722" t="str">
        <f t="shared" si="75"/>
        <v>2.2.3</v>
      </c>
      <c r="AB82" s="1693" t="str">
        <f t="shared" si="76"/>
        <v xml:space="preserve"> Q2 2.2</v>
      </c>
      <c r="AC82" s="1720" t="str">
        <f t="shared" si="77"/>
        <v>主要内装仕上げ材の更新必要間隔</v>
      </c>
      <c r="AD82" s="1623">
        <f t="shared" si="78"/>
        <v>0.1</v>
      </c>
      <c r="AE82" s="1623">
        <f t="shared" si="79"/>
        <v>0.1</v>
      </c>
      <c r="AF82" s="1623">
        <f t="shared" si="80"/>
        <v>0.1</v>
      </c>
      <c r="AG82" s="1623">
        <f t="shared" si="81"/>
        <v>0.1</v>
      </c>
      <c r="AH82" s="1623">
        <f t="shared" si="82"/>
        <v>0.1</v>
      </c>
      <c r="AI82" s="1623">
        <f t="shared" si="83"/>
        <v>0.1</v>
      </c>
      <c r="AJ82" s="1623">
        <f t="shared" si="84"/>
        <v>0.1</v>
      </c>
      <c r="AK82" s="1623">
        <f t="shared" si="85"/>
        <v>0.1</v>
      </c>
      <c r="AL82" s="1623">
        <f t="shared" si="86"/>
        <v>0.1</v>
      </c>
      <c r="AM82" s="1623">
        <f t="shared" si="86"/>
        <v>0.1</v>
      </c>
      <c r="AN82" s="1625">
        <f t="shared" si="87"/>
        <v>0</v>
      </c>
      <c r="AO82" s="1623">
        <f t="shared" si="88"/>
        <v>0</v>
      </c>
      <c r="AP82" s="1623">
        <f t="shared" si="89"/>
        <v>0</v>
      </c>
      <c r="AQ82" s="1719"/>
      <c r="AR82" s="1647" t="s">
        <v>1530</v>
      </c>
      <c r="AS82" s="1693" t="s">
        <v>336</v>
      </c>
      <c r="AT82" s="2064" t="s">
        <v>338</v>
      </c>
      <c r="AU82" s="1623">
        <v>0.1</v>
      </c>
      <c r="AV82" s="1623">
        <v>0.1</v>
      </c>
      <c r="AW82" s="1623">
        <v>0.1</v>
      </c>
      <c r="AX82" s="1623">
        <v>0.1</v>
      </c>
      <c r="AY82" s="1623">
        <v>0.1</v>
      </c>
      <c r="AZ82" s="1623">
        <v>0.1</v>
      </c>
      <c r="BA82" s="1623">
        <v>0.1</v>
      </c>
      <c r="BB82" s="1623">
        <v>0.1</v>
      </c>
      <c r="BC82" s="1623">
        <v>0.1</v>
      </c>
      <c r="BD82" s="1623">
        <v>0.1</v>
      </c>
      <c r="BE82" s="1625"/>
      <c r="BF82" s="1623"/>
      <c r="BG82" s="1623"/>
      <c r="BI82" s="1647" t="s">
        <v>1530</v>
      </c>
      <c r="BJ82" s="1693" t="s">
        <v>336</v>
      </c>
      <c r="BK82" s="2064" t="s">
        <v>338</v>
      </c>
      <c r="BL82" s="1623">
        <v>0.1</v>
      </c>
      <c r="BM82" s="1623">
        <v>0.1</v>
      </c>
      <c r="BN82" s="1623">
        <v>0.1</v>
      </c>
      <c r="BO82" s="1623">
        <v>0.1</v>
      </c>
      <c r="BP82" s="1623">
        <v>0.1</v>
      </c>
      <c r="BQ82" s="1623">
        <v>0.1</v>
      </c>
      <c r="BR82" s="1623">
        <v>0.1</v>
      </c>
      <c r="BS82" s="1623">
        <v>0.1</v>
      </c>
      <c r="BT82" s="1623">
        <v>0.1</v>
      </c>
      <c r="BU82" s="1623">
        <v>0.1</v>
      </c>
      <c r="BV82" s="1625"/>
      <c r="BW82" s="1623"/>
      <c r="BX82" s="1623"/>
    </row>
    <row r="83" spans="2:76" ht="13.5" customHeight="1">
      <c r="B83" s="1679" t="str">
        <f t="shared" si="70"/>
        <v>2.2.4</v>
      </c>
      <c r="C83" s="1614" t="str">
        <f t="shared" si="71"/>
        <v>空調換気ダクトの更新必要間隔</v>
      </c>
      <c r="D83" s="1721">
        <f t="shared" si="90"/>
        <v>0.1</v>
      </c>
      <c r="E83" s="1691">
        <f t="shared" si="90"/>
        <v>0</v>
      </c>
      <c r="G83" s="1691">
        <f t="shared" si="72"/>
        <v>9.9999999999999992E-2</v>
      </c>
      <c r="H83" s="1691">
        <f t="shared" si="72"/>
        <v>0</v>
      </c>
      <c r="I83" s="1691"/>
      <c r="J83" s="1691"/>
      <c r="K83" s="1616">
        <f>IF(スコア表示!X83=0,0,1)</f>
        <v>1</v>
      </c>
      <c r="L83" s="1616">
        <f>IF(スコア表示!AB83=0,0,1)</f>
        <v>0</v>
      </c>
      <c r="N83" s="1721">
        <f t="shared" si="91"/>
        <v>9.9999999999999992E-2</v>
      </c>
      <c r="O83" s="1721">
        <f t="shared" si="91"/>
        <v>0</v>
      </c>
      <c r="P83" s="1691"/>
      <c r="Q83" s="1691"/>
      <c r="R83" s="1616">
        <f>IF(スコア入力!R83="EB",重み_対象外!D83,U83)</f>
        <v>8.9999999999999993E-3</v>
      </c>
      <c r="S83" s="1616">
        <f>IF(スコア入力!Y83="EB",重み_対象外!E83,V83)</f>
        <v>0</v>
      </c>
      <c r="T83" s="1560"/>
      <c r="U83" s="1614">
        <f>X$75*X$79*X83</f>
        <v>8.9999999999999993E-3</v>
      </c>
      <c r="V83" s="1614">
        <f>Y$75*Y$79*Y83</f>
        <v>0</v>
      </c>
      <c r="W83" s="1560"/>
      <c r="X83" s="1691">
        <f t="shared" si="73"/>
        <v>9.9999999999999992E-2</v>
      </c>
      <c r="Y83" s="1691">
        <f t="shared" si="74"/>
        <v>0</v>
      </c>
      <c r="Z83" s="1717"/>
      <c r="AA83" s="1722" t="str">
        <f t="shared" si="75"/>
        <v>2.2.4</v>
      </c>
      <c r="AB83" s="1693" t="str">
        <f t="shared" si="76"/>
        <v xml:space="preserve"> Q2 2.2</v>
      </c>
      <c r="AC83" s="1720" t="str">
        <f t="shared" si="77"/>
        <v>空調換気ダクトの更新必要間隔</v>
      </c>
      <c r="AD83" s="1623">
        <f t="shared" si="78"/>
        <v>0.1</v>
      </c>
      <c r="AE83" s="1623">
        <f t="shared" si="79"/>
        <v>0.1</v>
      </c>
      <c r="AF83" s="1623">
        <f t="shared" si="80"/>
        <v>0.1</v>
      </c>
      <c r="AG83" s="1623">
        <f t="shared" si="81"/>
        <v>0.1</v>
      </c>
      <c r="AH83" s="1623">
        <f t="shared" si="82"/>
        <v>0.1</v>
      </c>
      <c r="AI83" s="1623">
        <f t="shared" si="83"/>
        <v>0.1</v>
      </c>
      <c r="AJ83" s="1623">
        <f t="shared" si="84"/>
        <v>0.1</v>
      </c>
      <c r="AK83" s="1623">
        <f t="shared" si="85"/>
        <v>0.1</v>
      </c>
      <c r="AL83" s="1623">
        <f t="shared" si="86"/>
        <v>0.1</v>
      </c>
      <c r="AM83" s="1623">
        <f t="shared" si="86"/>
        <v>0.1</v>
      </c>
      <c r="AN83" s="1625">
        <f t="shared" si="87"/>
        <v>0</v>
      </c>
      <c r="AO83" s="1623">
        <f t="shared" si="88"/>
        <v>0</v>
      </c>
      <c r="AP83" s="1623">
        <f t="shared" si="89"/>
        <v>0</v>
      </c>
      <c r="AQ83" s="1719"/>
      <c r="AR83" s="1647" t="s">
        <v>1531</v>
      </c>
      <c r="AS83" s="1693" t="s">
        <v>336</v>
      </c>
      <c r="AT83" s="2064" t="s">
        <v>341</v>
      </c>
      <c r="AU83" s="1623">
        <v>0.1</v>
      </c>
      <c r="AV83" s="1623">
        <v>0.1</v>
      </c>
      <c r="AW83" s="1623">
        <v>0.1</v>
      </c>
      <c r="AX83" s="1623">
        <v>0.1</v>
      </c>
      <c r="AY83" s="1623">
        <v>0.1</v>
      </c>
      <c r="AZ83" s="1623">
        <v>0.1</v>
      </c>
      <c r="BA83" s="1623">
        <v>0.1</v>
      </c>
      <c r="BB83" s="1623">
        <v>0.1</v>
      </c>
      <c r="BC83" s="1623">
        <v>0.1</v>
      </c>
      <c r="BD83" s="1623">
        <v>0.1</v>
      </c>
      <c r="BE83" s="1625"/>
      <c r="BF83" s="1623"/>
      <c r="BG83" s="1623"/>
      <c r="BI83" s="1647" t="s">
        <v>1531</v>
      </c>
      <c r="BJ83" s="1693" t="s">
        <v>336</v>
      </c>
      <c r="BK83" s="2064" t="s">
        <v>341</v>
      </c>
      <c r="BL83" s="1623">
        <v>0.1</v>
      </c>
      <c r="BM83" s="1623">
        <v>0.1</v>
      </c>
      <c r="BN83" s="1623">
        <v>0.1</v>
      </c>
      <c r="BO83" s="1623">
        <v>0.1</v>
      </c>
      <c r="BP83" s="1623">
        <v>0.1</v>
      </c>
      <c r="BQ83" s="1623">
        <v>0.1</v>
      </c>
      <c r="BR83" s="1623">
        <v>0.1</v>
      </c>
      <c r="BS83" s="1623">
        <v>0.1</v>
      </c>
      <c r="BT83" s="1623">
        <v>0.1</v>
      </c>
      <c r="BU83" s="1623">
        <v>0.1</v>
      </c>
      <c r="BV83" s="1625"/>
      <c r="BW83" s="1623"/>
      <c r="BX83" s="1623"/>
    </row>
    <row r="84" spans="2:76" ht="13.5" customHeight="1">
      <c r="B84" s="1679" t="str">
        <f t="shared" si="70"/>
        <v>2.2.5</v>
      </c>
      <c r="C84" s="1614" t="str">
        <f t="shared" si="71"/>
        <v>空調・給排水配管の更新必要間隔</v>
      </c>
      <c r="D84" s="1721">
        <f t="shared" si="90"/>
        <v>0.2</v>
      </c>
      <c r="E84" s="1691">
        <f t="shared" si="90"/>
        <v>0</v>
      </c>
      <c r="G84" s="1691">
        <f t="shared" si="72"/>
        <v>0.19999999999999998</v>
      </c>
      <c r="H84" s="1691">
        <f t="shared" si="72"/>
        <v>0</v>
      </c>
      <c r="I84" s="1691"/>
      <c r="J84" s="1691"/>
      <c r="K84" s="1616">
        <f>IF(スコア表示!X84=0,0,1)</f>
        <v>1</v>
      </c>
      <c r="L84" s="1616">
        <f>IF(スコア表示!AB84=0,0,1)</f>
        <v>0</v>
      </c>
      <c r="N84" s="1721">
        <f t="shared" si="91"/>
        <v>0.19999999999999998</v>
      </c>
      <c r="O84" s="1721">
        <f t="shared" si="91"/>
        <v>0</v>
      </c>
      <c r="P84" s="1691"/>
      <c r="Q84" s="1691"/>
      <c r="R84" s="1616">
        <f>IF(スコア入力!R84="EB",重み_対象外!D84,U84)</f>
        <v>1.7999999999999999E-2</v>
      </c>
      <c r="S84" s="1616">
        <f>IF(スコア入力!Y84="EB",重み_対象外!E84,V84)</f>
        <v>0</v>
      </c>
      <c r="T84" s="1560"/>
      <c r="U84" s="1614">
        <f>X$75*X$79*X84</f>
        <v>1.7999999999999999E-2</v>
      </c>
      <c r="V84" s="1614"/>
      <c r="W84" s="1560"/>
      <c r="X84" s="1691">
        <f t="shared" si="73"/>
        <v>0.19999999999999998</v>
      </c>
      <c r="Y84" s="1691">
        <f t="shared" si="74"/>
        <v>0</v>
      </c>
      <c r="Z84" s="1717"/>
      <c r="AA84" s="1722" t="str">
        <f t="shared" ref="AA84:AA115" si="92">IF($AA$3=1,AR84,BI84)</f>
        <v>2.2.5</v>
      </c>
      <c r="AB84" s="1693" t="s">
        <v>336</v>
      </c>
      <c r="AC84" s="1720" t="str">
        <f t="shared" ref="AC84:AC117" si="93">IF($AA$3=1,AT84,BK84)</f>
        <v>空調・給排水配管の更新必要間隔</v>
      </c>
      <c r="AD84" s="1623">
        <f t="shared" ref="AD84:AD126" si="94">IF($AA$3=1,AU84,BL84)</f>
        <v>0.2</v>
      </c>
      <c r="AE84" s="1623">
        <f t="shared" ref="AE84:AE126" si="95">IF($AA$3=1,AV84,BM84)</f>
        <v>0.2</v>
      </c>
      <c r="AF84" s="1623">
        <f t="shared" ref="AF84:AF126" si="96">IF($AA$3=1,AW84,BN84)</f>
        <v>0.2</v>
      </c>
      <c r="AG84" s="1623">
        <f t="shared" ref="AG84:AG126" si="97">IF($AA$3=1,AX84,BO84)</f>
        <v>0.2</v>
      </c>
      <c r="AH84" s="1623">
        <f t="shared" ref="AH84:AH126" si="98">IF($AA$3=1,AY84,BP84)</f>
        <v>0.2</v>
      </c>
      <c r="AI84" s="1623">
        <f t="shared" ref="AI84:AI126" si="99">IF($AA$3=1,AZ84,BQ84)</f>
        <v>0.2</v>
      </c>
      <c r="AJ84" s="1623">
        <f t="shared" ref="AJ84:AJ126" si="100">IF($AA$3=1,BA84,BR84)</f>
        <v>0.2</v>
      </c>
      <c r="AK84" s="1623">
        <f t="shared" ref="AK84:AK126" si="101">IF($AA$3=1,BB84,BS84)</f>
        <v>0.2</v>
      </c>
      <c r="AL84" s="1623">
        <f t="shared" ref="AL84:AM126" si="102">IF($AA$3=1,BC84,BT84)</f>
        <v>0.2</v>
      </c>
      <c r="AM84" s="1623">
        <f t="shared" si="102"/>
        <v>0.2</v>
      </c>
      <c r="AN84" s="1625"/>
      <c r="AO84" s="1623"/>
      <c r="AP84" s="1623"/>
      <c r="AQ84" s="1719"/>
      <c r="AR84" s="1647" t="s">
        <v>1532</v>
      </c>
      <c r="AS84" s="1693" t="s">
        <v>336</v>
      </c>
      <c r="AT84" s="2064" t="s">
        <v>342</v>
      </c>
      <c r="AU84" s="1623">
        <v>0.2</v>
      </c>
      <c r="AV84" s="1623">
        <v>0.2</v>
      </c>
      <c r="AW84" s="1623">
        <v>0.2</v>
      </c>
      <c r="AX84" s="1623">
        <v>0.2</v>
      </c>
      <c r="AY84" s="1623">
        <v>0.2</v>
      </c>
      <c r="AZ84" s="1623">
        <v>0.2</v>
      </c>
      <c r="BA84" s="1623">
        <v>0.2</v>
      </c>
      <c r="BB84" s="1623">
        <v>0.2</v>
      </c>
      <c r="BC84" s="1623">
        <v>0.2</v>
      </c>
      <c r="BD84" s="1623">
        <v>0.2</v>
      </c>
      <c r="BE84" s="1625"/>
      <c r="BF84" s="1623"/>
      <c r="BG84" s="1623"/>
      <c r="BI84" s="1647" t="s">
        <v>1532</v>
      </c>
      <c r="BJ84" s="1693" t="s">
        <v>336</v>
      </c>
      <c r="BK84" s="2064" t="s">
        <v>342</v>
      </c>
      <c r="BL84" s="1623">
        <v>0.2</v>
      </c>
      <c r="BM84" s="1623">
        <v>0.2</v>
      </c>
      <c r="BN84" s="1623">
        <v>0.2</v>
      </c>
      <c r="BO84" s="1623">
        <v>0.2</v>
      </c>
      <c r="BP84" s="1623">
        <v>0.2</v>
      </c>
      <c r="BQ84" s="1623">
        <v>0.2</v>
      </c>
      <c r="BR84" s="1623">
        <v>0.2</v>
      </c>
      <c r="BS84" s="1623">
        <v>0.2</v>
      </c>
      <c r="BT84" s="1623">
        <v>0.2</v>
      </c>
      <c r="BU84" s="1623">
        <v>0.2</v>
      </c>
      <c r="BV84" s="1625"/>
      <c r="BW84" s="1623"/>
      <c r="BX84" s="1623"/>
    </row>
    <row r="85" spans="2:76" ht="13.5" customHeight="1">
      <c r="B85" s="1679" t="str">
        <f t="shared" si="70"/>
        <v>2.2.6</v>
      </c>
      <c r="C85" s="1614" t="str">
        <f t="shared" si="71"/>
        <v>主要設備機器の更新必要間隔</v>
      </c>
      <c r="D85" s="1721">
        <f t="shared" si="90"/>
        <v>0.2</v>
      </c>
      <c r="E85" s="1691">
        <f t="shared" si="90"/>
        <v>0</v>
      </c>
      <c r="G85" s="1691">
        <f t="shared" si="72"/>
        <v>0.19999999999999998</v>
      </c>
      <c r="H85" s="1691">
        <f t="shared" si="72"/>
        <v>0</v>
      </c>
      <c r="I85" s="1691"/>
      <c r="J85" s="1691"/>
      <c r="K85" s="1616">
        <f>IF(スコア表示!X85=0,0,1)</f>
        <v>1</v>
      </c>
      <c r="L85" s="1616">
        <f>IF(スコア表示!AB85=0,0,1)</f>
        <v>0</v>
      </c>
      <c r="N85" s="1721">
        <f t="shared" si="91"/>
        <v>0.19999999999999998</v>
      </c>
      <c r="O85" s="1721">
        <f t="shared" si="91"/>
        <v>0</v>
      </c>
      <c r="P85" s="1691"/>
      <c r="Q85" s="1691"/>
      <c r="R85" s="1616">
        <f>IF(スコア入力!R85="EB",重み_対象外!D85,U85)</f>
        <v>1.7999999999999999E-2</v>
      </c>
      <c r="S85" s="1616">
        <f>IF(スコア入力!Y85="EB",重み_対象外!E85,V85)</f>
        <v>0</v>
      </c>
      <c r="T85" s="1560"/>
      <c r="U85" s="1614">
        <f>X$75*X$79*X85</f>
        <v>1.7999999999999999E-2</v>
      </c>
      <c r="V85" s="1614">
        <f>Y$75*Y$79*Y85</f>
        <v>0</v>
      </c>
      <c r="W85" s="1560"/>
      <c r="X85" s="1691">
        <f t="shared" si="73"/>
        <v>0.19999999999999998</v>
      </c>
      <c r="Y85" s="1691">
        <f t="shared" si="74"/>
        <v>0</v>
      </c>
      <c r="Z85" s="1717"/>
      <c r="AA85" s="1722" t="str">
        <f t="shared" si="92"/>
        <v>2.2.6</v>
      </c>
      <c r="AB85" s="1693" t="str">
        <f t="shared" ref="AB85:AB116" si="103">IF($AA$3=1,AS85,BJ85)</f>
        <v xml:space="preserve"> Q2 2.2</v>
      </c>
      <c r="AC85" s="1720" t="str">
        <f t="shared" si="93"/>
        <v>主要設備機器の更新必要間隔</v>
      </c>
      <c r="AD85" s="1623">
        <f t="shared" si="94"/>
        <v>0.2</v>
      </c>
      <c r="AE85" s="1623">
        <f t="shared" si="95"/>
        <v>0.2</v>
      </c>
      <c r="AF85" s="1623">
        <f t="shared" si="96"/>
        <v>0.2</v>
      </c>
      <c r="AG85" s="1623">
        <f t="shared" si="97"/>
        <v>0.2</v>
      </c>
      <c r="AH85" s="1623">
        <f t="shared" si="98"/>
        <v>0.2</v>
      </c>
      <c r="AI85" s="1623">
        <f t="shared" si="99"/>
        <v>0.2</v>
      </c>
      <c r="AJ85" s="1623">
        <f t="shared" si="100"/>
        <v>0.2</v>
      </c>
      <c r="AK85" s="1623">
        <f t="shared" si="101"/>
        <v>0.2</v>
      </c>
      <c r="AL85" s="1623">
        <f t="shared" si="102"/>
        <v>0.2</v>
      </c>
      <c r="AM85" s="1623">
        <f t="shared" si="102"/>
        <v>0.2</v>
      </c>
      <c r="AN85" s="1625">
        <f>IF($AA$3=1,BE85,BV85)</f>
        <v>0</v>
      </c>
      <c r="AO85" s="1623">
        <f>IF($AA$3=1,BF85,BW85)</f>
        <v>0</v>
      </c>
      <c r="AP85" s="1623">
        <f>IF($AA$3=1,BG85,BX85)</f>
        <v>0</v>
      </c>
      <c r="AQ85" s="1719"/>
      <c r="AR85" s="1647" t="s">
        <v>1533</v>
      </c>
      <c r="AS85" s="1693" t="s">
        <v>336</v>
      </c>
      <c r="AT85" s="2064" t="s">
        <v>343</v>
      </c>
      <c r="AU85" s="1623">
        <v>0.2</v>
      </c>
      <c r="AV85" s="1623">
        <v>0.2</v>
      </c>
      <c r="AW85" s="1623">
        <v>0.2</v>
      </c>
      <c r="AX85" s="1623">
        <v>0.2</v>
      </c>
      <c r="AY85" s="1623">
        <v>0.2</v>
      </c>
      <c r="AZ85" s="1623">
        <v>0.2</v>
      </c>
      <c r="BA85" s="1623">
        <v>0.2</v>
      </c>
      <c r="BB85" s="1623">
        <v>0.2</v>
      </c>
      <c r="BC85" s="1623">
        <v>0.2</v>
      </c>
      <c r="BD85" s="1623">
        <v>0.2</v>
      </c>
      <c r="BE85" s="1625"/>
      <c r="BF85" s="1623"/>
      <c r="BG85" s="1623"/>
      <c r="BI85" s="1647" t="s">
        <v>1533</v>
      </c>
      <c r="BJ85" s="1693" t="s">
        <v>336</v>
      </c>
      <c r="BK85" s="2064" t="s">
        <v>343</v>
      </c>
      <c r="BL85" s="1623">
        <v>0.2</v>
      </c>
      <c r="BM85" s="1623">
        <v>0.2</v>
      </c>
      <c r="BN85" s="1623">
        <v>0.2</v>
      </c>
      <c r="BO85" s="1623">
        <v>0.2</v>
      </c>
      <c r="BP85" s="1623">
        <v>0.2</v>
      </c>
      <c r="BQ85" s="1623">
        <v>0.2</v>
      </c>
      <c r="BR85" s="1623">
        <v>0.2</v>
      </c>
      <c r="BS85" s="1623">
        <v>0.2</v>
      </c>
      <c r="BT85" s="1623">
        <v>0.2</v>
      </c>
      <c r="BU85" s="1623">
        <v>0.2</v>
      </c>
      <c r="BV85" s="1625"/>
      <c r="BW85" s="1623"/>
      <c r="BX85" s="1623"/>
    </row>
    <row r="86" spans="2:76" ht="13.5" customHeight="1">
      <c r="B86" s="1647">
        <f t="shared" si="70"/>
        <v>2.2999999999999998</v>
      </c>
      <c r="C86" s="1647" t="str">
        <f t="shared" si="71"/>
        <v>適切な更新</v>
      </c>
      <c r="D86" s="1716">
        <f>IF(I$75=0,0,G86/I$75)</f>
        <v>0</v>
      </c>
      <c r="E86" s="1691">
        <f>IF(J$75=0,0,H86/J$75)</f>
        <v>0</v>
      </c>
      <c r="G86" s="1691">
        <f t="shared" si="72"/>
        <v>0</v>
      </c>
      <c r="H86" s="1691">
        <f t="shared" si="72"/>
        <v>0</v>
      </c>
      <c r="I86" s="1691">
        <f>G87+G88+G89</f>
        <v>0</v>
      </c>
      <c r="J86" s="1691">
        <f>H87+H88+H89</f>
        <v>0</v>
      </c>
      <c r="K86" s="1616">
        <f>IF(スコア表示!X86=0,0,1)</f>
        <v>0</v>
      </c>
      <c r="L86" s="1616">
        <f>IF(スコア表示!AB86=0,0,1)</f>
        <v>0</v>
      </c>
      <c r="N86" s="1716">
        <f>IF(P$75=0,0,P86/P$75)</f>
        <v>0</v>
      </c>
      <c r="O86" s="1716">
        <f>IF(Q$75=0,0,Q86/Q$75)</f>
        <v>0</v>
      </c>
      <c r="P86" s="1691">
        <f>SUM(R87:R89)</f>
        <v>0</v>
      </c>
      <c r="Q86" s="1691">
        <f>SUM(S87:S89)</f>
        <v>0</v>
      </c>
      <c r="R86" s="1616">
        <f>IF(スコア入力!R86="EB",重み_対象外!D86,U86)</f>
        <v>0</v>
      </c>
      <c r="S86" s="1616">
        <f>IF(スコア入力!Y86="EB",重み_対象外!E86,V86)</f>
        <v>0</v>
      </c>
      <c r="T86" s="1560"/>
      <c r="U86" s="1614"/>
      <c r="V86" s="1614"/>
      <c r="W86" s="1560"/>
      <c r="X86" s="1691">
        <f t="shared" si="73"/>
        <v>0</v>
      </c>
      <c r="Y86" s="1691">
        <f t="shared" si="74"/>
        <v>0</v>
      </c>
      <c r="Z86" s="1717"/>
      <c r="AA86" s="1722">
        <f t="shared" si="92"/>
        <v>2.2999999999999998</v>
      </c>
      <c r="AB86" s="1693" t="str">
        <f t="shared" si="103"/>
        <v xml:space="preserve"> Q2 2</v>
      </c>
      <c r="AC86" s="1720" t="str">
        <f t="shared" si="93"/>
        <v>適切な更新</v>
      </c>
      <c r="AD86" s="1623">
        <f t="shared" si="94"/>
        <v>0</v>
      </c>
      <c r="AE86" s="1623">
        <f t="shared" si="95"/>
        <v>0</v>
      </c>
      <c r="AF86" s="1623">
        <f t="shared" si="96"/>
        <v>0</v>
      </c>
      <c r="AG86" s="1623">
        <f t="shared" si="97"/>
        <v>0</v>
      </c>
      <c r="AH86" s="1623">
        <f t="shared" si="98"/>
        <v>0</v>
      </c>
      <c r="AI86" s="1623">
        <f t="shared" si="99"/>
        <v>0</v>
      </c>
      <c r="AJ86" s="1623">
        <f t="shared" si="100"/>
        <v>0</v>
      </c>
      <c r="AK86" s="1623">
        <f t="shared" si="101"/>
        <v>0</v>
      </c>
      <c r="AL86" s="1623">
        <f t="shared" si="102"/>
        <v>0</v>
      </c>
      <c r="AM86" s="1623">
        <f t="shared" si="102"/>
        <v>0</v>
      </c>
      <c r="AN86" s="1625"/>
      <c r="AO86" s="1623"/>
      <c r="AP86" s="1623"/>
      <c r="AQ86" s="1719"/>
      <c r="AR86" s="2067">
        <v>2.2999999999999998</v>
      </c>
      <c r="AS86" s="2084" t="s">
        <v>333</v>
      </c>
      <c r="AT86" s="2070" t="s">
        <v>421</v>
      </c>
      <c r="AU86" s="2072">
        <v>0</v>
      </c>
      <c r="AV86" s="2072">
        <v>0</v>
      </c>
      <c r="AW86" s="2072">
        <v>0</v>
      </c>
      <c r="AX86" s="2072">
        <v>0</v>
      </c>
      <c r="AY86" s="2072">
        <v>0</v>
      </c>
      <c r="AZ86" s="2072">
        <v>0</v>
      </c>
      <c r="BA86" s="2072">
        <v>0</v>
      </c>
      <c r="BB86" s="2072">
        <v>0</v>
      </c>
      <c r="BC86" s="2072">
        <v>0</v>
      </c>
      <c r="BD86" s="2072">
        <v>0</v>
      </c>
      <c r="BE86" s="2072"/>
      <c r="BF86" s="2072"/>
      <c r="BG86" s="2072"/>
      <c r="BI86" s="2067">
        <v>2.2999999999999998</v>
      </c>
      <c r="BJ86" s="2084" t="s">
        <v>333</v>
      </c>
      <c r="BK86" s="2070" t="s">
        <v>421</v>
      </c>
      <c r="BL86" s="2072">
        <v>0</v>
      </c>
      <c r="BM86" s="2072">
        <v>0</v>
      </c>
      <c r="BN86" s="2072">
        <v>0</v>
      </c>
      <c r="BO86" s="2072">
        <v>0</v>
      </c>
      <c r="BP86" s="2072">
        <v>0</v>
      </c>
      <c r="BQ86" s="2072">
        <v>0</v>
      </c>
      <c r="BR86" s="2072">
        <v>0</v>
      </c>
      <c r="BS86" s="2072">
        <v>0</v>
      </c>
      <c r="BT86" s="2072">
        <v>0</v>
      </c>
      <c r="BU86" s="2072">
        <v>0</v>
      </c>
      <c r="BV86" s="2072"/>
      <c r="BW86" s="2072"/>
      <c r="BX86" s="2072"/>
    </row>
    <row r="87" spans="2:76" ht="13.5" customHeight="1">
      <c r="B87" s="1679" t="str">
        <f t="shared" si="70"/>
        <v>2.3.1</v>
      </c>
      <c r="C87" s="1614" t="str">
        <f t="shared" si="71"/>
        <v>屋上（屋根）・外壁仕上げ材の更新</v>
      </c>
      <c r="D87" s="1721">
        <f t="shared" ref="D87:E89" si="104">IF(I$79&gt;0,G87/I$79,0)</f>
        <v>0</v>
      </c>
      <c r="E87" s="1691">
        <f t="shared" si="104"/>
        <v>0</v>
      </c>
      <c r="G87" s="1691">
        <f t="shared" si="72"/>
        <v>0</v>
      </c>
      <c r="H87" s="1691">
        <f t="shared" si="72"/>
        <v>0</v>
      </c>
      <c r="I87" s="1691"/>
      <c r="J87" s="1691"/>
      <c r="K87" s="1616">
        <f>IF(スコア表示!X87=0,0,1)</f>
        <v>1</v>
      </c>
      <c r="L87" s="1616">
        <f>IF(スコア表示!AB87=0,0,1)</f>
        <v>0</v>
      </c>
      <c r="N87" s="1721">
        <f t="shared" ref="N87:O89" si="105">IF(P$86&gt;0,R87/P$86,0)</f>
        <v>0</v>
      </c>
      <c r="O87" s="1721">
        <f t="shared" si="105"/>
        <v>0</v>
      </c>
      <c r="P87" s="1691"/>
      <c r="Q87" s="1691"/>
      <c r="R87" s="1616">
        <f>IF(スコア入力!R87="EB",重み_対象外!D87,U87)</f>
        <v>0</v>
      </c>
      <c r="S87" s="1616">
        <f>IF(スコア入力!Y87="EB",重み_対象外!E87,V87)</f>
        <v>0</v>
      </c>
      <c r="T87" s="1560"/>
      <c r="U87" s="1614">
        <f t="shared" ref="U87:V89" si="106">X$75*X$86*X87</f>
        <v>0</v>
      </c>
      <c r="V87" s="1614">
        <f t="shared" si="106"/>
        <v>0</v>
      </c>
      <c r="W87" s="1560"/>
      <c r="X87" s="1691">
        <f t="shared" si="73"/>
        <v>0</v>
      </c>
      <c r="Y87" s="1691">
        <f t="shared" si="74"/>
        <v>0</v>
      </c>
      <c r="Z87" s="1717"/>
      <c r="AA87" s="1722" t="str">
        <f t="shared" si="92"/>
        <v>2.3.1</v>
      </c>
      <c r="AB87" s="1693" t="str">
        <f t="shared" si="103"/>
        <v xml:space="preserve"> Q2 2.3</v>
      </c>
      <c r="AC87" s="1720" t="str">
        <f t="shared" si="93"/>
        <v>屋上（屋根）・外壁仕上げ材の更新</v>
      </c>
      <c r="AD87" s="1623">
        <f t="shared" si="94"/>
        <v>0</v>
      </c>
      <c r="AE87" s="1623">
        <f t="shared" si="95"/>
        <v>0</v>
      </c>
      <c r="AF87" s="1623">
        <f t="shared" si="96"/>
        <v>0</v>
      </c>
      <c r="AG87" s="1623">
        <f t="shared" si="97"/>
        <v>0</v>
      </c>
      <c r="AH87" s="1623">
        <f t="shared" si="98"/>
        <v>0</v>
      </c>
      <c r="AI87" s="1623">
        <f t="shared" si="99"/>
        <v>0</v>
      </c>
      <c r="AJ87" s="1623">
        <f t="shared" si="100"/>
        <v>0</v>
      </c>
      <c r="AK87" s="1623">
        <f t="shared" si="101"/>
        <v>0</v>
      </c>
      <c r="AL87" s="1623">
        <f t="shared" si="102"/>
        <v>0</v>
      </c>
      <c r="AM87" s="1623">
        <f t="shared" si="102"/>
        <v>0</v>
      </c>
      <c r="AN87" s="1625"/>
      <c r="AO87" s="1623"/>
      <c r="AP87" s="1623"/>
      <c r="AQ87" s="1719"/>
      <c r="AR87" s="2067" t="s">
        <v>1534</v>
      </c>
      <c r="AS87" s="2085" t="s">
        <v>344</v>
      </c>
      <c r="AT87" s="2070" t="s">
        <v>422</v>
      </c>
      <c r="AU87" s="2072">
        <v>0</v>
      </c>
      <c r="AV87" s="2072">
        <v>0</v>
      </c>
      <c r="AW87" s="2072">
        <v>0</v>
      </c>
      <c r="AX87" s="2072">
        <v>0</v>
      </c>
      <c r="AY87" s="2072">
        <v>0</v>
      </c>
      <c r="AZ87" s="2072">
        <v>0</v>
      </c>
      <c r="BA87" s="2072">
        <v>0</v>
      </c>
      <c r="BB87" s="2072">
        <v>0</v>
      </c>
      <c r="BC87" s="2072">
        <v>0</v>
      </c>
      <c r="BD87" s="2072">
        <v>0</v>
      </c>
      <c r="BE87" s="2072"/>
      <c r="BF87" s="2072"/>
      <c r="BG87" s="2072"/>
      <c r="BI87" s="2067" t="s">
        <v>1534</v>
      </c>
      <c r="BJ87" s="2085" t="s">
        <v>344</v>
      </c>
      <c r="BK87" s="2070" t="s">
        <v>422</v>
      </c>
      <c r="BL87" s="2072">
        <v>0</v>
      </c>
      <c r="BM87" s="2072">
        <v>0</v>
      </c>
      <c r="BN87" s="2072">
        <v>0</v>
      </c>
      <c r="BO87" s="2072">
        <v>0</v>
      </c>
      <c r="BP87" s="2072">
        <v>0</v>
      </c>
      <c r="BQ87" s="2072">
        <v>0</v>
      </c>
      <c r="BR87" s="2072">
        <v>0</v>
      </c>
      <c r="BS87" s="2072">
        <v>0</v>
      </c>
      <c r="BT87" s="2072">
        <v>0</v>
      </c>
      <c r="BU87" s="2072">
        <v>0</v>
      </c>
      <c r="BV87" s="2072"/>
      <c r="BW87" s="2072"/>
      <c r="BX87" s="2072"/>
    </row>
    <row r="88" spans="2:76" ht="13.5" customHeight="1">
      <c r="B88" s="1679" t="str">
        <f t="shared" si="70"/>
        <v>2.3.2</v>
      </c>
      <c r="C88" s="1614" t="str">
        <f t="shared" si="71"/>
        <v>配管・配線材の更新</v>
      </c>
      <c r="D88" s="1721">
        <f t="shared" si="104"/>
        <v>0</v>
      </c>
      <c r="E88" s="1691">
        <f t="shared" si="104"/>
        <v>0</v>
      </c>
      <c r="G88" s="1691">
        <f t="shared" si="72"/>
        <v>0</v>
      </c>
      <c r="H88" s="1691">
        <f t="shared" si="72"/>
        <v>0</v>
      </c>
      <c r="I88" s="1691"/>
      <c r="J88" s="1691"/>
      <c r="K88" s="1616">
        <f>IF(スコア表示!X88=0,0,1)</f>
        <v>1</v>
      </c>
      <c r="L88" s="1616">
        <f>IF(スコア表示!AB88=0,0,1)</f>
        <v>0</v>
      </c>
      <c r="N88" s="1721">
        <f t="shared" si="105"/>
        <v>0</v>
      </c>
      <c r="O88" s="1721">
        <f t="shared" si="105"/>
        <v>0</v>
      </c>
      <c r="P88" s="1691"/>
      <c r="Q88" s="1691"/>
      <c r="R88" s="1616">
        <f>IF(スコア入力!R88="EB",重み_対象外!D88,U88)</f>
        <v>0</v>
      </c>
      <c r="S88" s="1616">
        <f>IF(スコア入力!Y88="EB",重み_対象外!E88,V88)</f>
        <v>0</v>
      </c>
      <c r="T88" s="1560"/>
      <c r="U88" s="1614">
        <f t="shared" si="106"/>
        <v>0</v>
      </c>
      <c r="V88" s="1614">
        <f t="shared" si="106"/>
        <v>0</v>
      </c>
      <c r="W88" s="1560"/>
      <c r="X88" s="1691">
        <f t="shared" si="73"/>
        <v>0</v>
      </c>
      <c r="Y88" s="1691">
        <f t="shared" si="74"/>
        <v>0</v>
      </c>
      <c r="Z88" s="1717"/>
      <c r="AA88" s="1722" t="str">
        <f t="shared" si="92"/>
        <v>2.3.2</v>
      </c>
      <c r="AB88" s="1693" t="str">
        <f t="shared" si="103"/>
        <v xml:space="preserve"> Q2 2.3</v>
      </c>
      <c r="AC88" s="1720" t="str">
        <f t="shared" si="93"/>
        <v>配管・配線材の更新</v>
      </c>
      <c r="AD88" s="1623">
        <f t="shared" si="94"/>
        <v>0</v>
      </c>
      <c r="AE88" s="1623">
        <f t="shared" si="95"/>
        <v>0</v>
      </c>
      <c r="AF88" s="1623">
        <f t="shared" si="96"/>
        <v>0</v>
      </c>
      <c r="AG88" s="1623">
        <f t="shared" si="97"/>
        <v>0</v>
      </c>
      <c r="AH88" s="1623">
        <f t="shared" si="98"/>
        <v>0</v>
      </c>
      <c r="AI88" s="1623">
        <f t="shared" si="99"/>
        <v>0</v>
      </c>
      <c r="AJ88" s="1623">
        <f t="shared" si="100"/>
        <v>0</v>
      </c>
      <c r="AK88" s="1623">
        <f t="shared" si="101"/>
        <v>0</v>
      </c>
      <c r="AL88" s="1623">
        <f t="shared" si="102"/>
        <v>0</v>
      </c>
      <c r="AM88" s="1623">
        <f t="shared" si="102"/>
        <v>0</v>
      </c>
      <c r="AN88" s="1625"/>
      <c r="AO88" s="1623"/>
      <c r="AP88" s="1623"/>
      <c r="AQ88" s="1719"/>
      <c r="AR88" s="2067" t="s">
        <v>1535</v>
      </c>
      <c r="AS88" s="2085" t="s">
        <v>344</v>
      </c>
      <c r="AT88" s="2070" t="s">
        <v>423</v>
      </c>
      <c r="AU88" s="2072">
        <v>0</v>
      </c>
      <c r="AV88" s="2072">
        <v>0</v>
      </c>
      <c r="AW88" s="2072">
        <v>0</v>
      </c>
      <c r="AX88" s="2072">
        <v>0</v>
      </c>
      <c r="AY88" s="2072">
        <v>0</v>
      </c>
      <c r="AZ88" s="2072">
        <v>0</v>
      </c>
      <c r="BA88" s="2072">
        <v>0</v>
      </c>
      <c r="BB88" s="2072">
        <v>0</v>
      </c>
      <c r="BC88" s="2072">
        <v>0</v>
      </c>
      <c r="BD88" s="2072">
        <v>0</v>
      </c>
      <c r="BE88" s="2072"/>
      <c r="BF88" s="2072"/>
      <c r="BG88" s="2072"/>
      <c r="BI88" s="2067" t="s">
        <v>1535</v>
      </c>
      <c r="BJ88" s="2085" t="s">
        <v>344</v>
      </c>
      <c r="BK88" s="2070" t="s">
        <v>423</v>
      </c>
      <c r="BL88" s="2072">
        <v>0</v>
      </c>
      <c r="BM88" s="2072">
        <v>0</v>
      </c>
      <c r="BN88" s="2072">
        <v>0</v>
      </c>
      <c r="BO88" s="2072">
        <v>0</v>
      </c>
      <c r="BP88" s="2072">
        <v>0</v>
      </c>
      <c r="BQ88" s="2072">
        <v>0</v>
      </c>
      <c r="BR88" s="2072">
        <v>0</v>
      </c>
      <c r="BS88" s="2072">
        <v>0</v>
      </c>
      <c r="BT88" s="2072">
        <v>0</v>
      </c>
      <c r="BU88" s="2072">
        <v>0</v>
      </c>
      <c r="BV88" s="2072"/>
      <c r="BW88" s="2072"/>
      <c r="BX88" s="2072"/>
    </row>
    <row r="89" spans="2:76" ht="13.5" customHeight="1">
      <c r="B89" s="1679" t="str">
        <f t="shared" si="70"/>
        <v>2.3.3</v>
      </c>
      <c r="C89" s="1614" t="str">
        <f t="shared" si="71"/>
        <v>主要設備機器の更新</v>
      </c>
      <c r="D89" s="1721">
        <f t="shared" si="104"/>
        <v>0</v>
      </c>
      <c r="E89" s="1691">
        <f t="shared" si="104"/>
        <v>0</v>
      </c>
      <c r="G89" s="1691">
        <f t="shared" si="72"/>
        <v>0</v>
      </c>
      <c r="H89" s="1691">
        <f t="shared" si="72"/>
        <v>0</v>
      </c>
      <c r="I89" s="1691"/>
      <c r="J89" s="1691"/>
      <c r="K89" s="1616">
        <f>IF(スコア表示!X89=0,0,1)</f>
        <v>1</v>
      </c>
      <c r="L89" s="1616">
        <f>IF(スコア表示!AB89=0,0,1)</f>
        <v>0</v>
      </c>
      <c r="N89" s="1721">
        <f t="shared" si="105"/>
        <v>0</v>
      </c>
      <c r="O89" s="1721">
        <f t="shared" si="105"/>
        <v>0</v>
      </c>
      <c r="P89" s="1691"/>
      <c r="Q89" s="1691"/>
      <c r="R89" s="1616">
        <f>IF(スコア入力!R89="EB",重み_対象外!D89,U89)</f>
        <v>0</v>
      </c>
      <c r="S89" s="1616">
        <f>IF(スコア入力!Y89="EB",重み_対象外!E89,V89)</f>
        <v>0</v>
      </c>
      <c r="T89" s="1560"/>
      <c r="U89" s="1614">
        <f t="shared" si="106"/>
        <v>0</v>
      </c>
      <c r="V89" s="1614">
        <f t="shared" si="106"/>
        <v>0</v>
      </c>
      <c r="W89" s="1560"/>
      <c r="X89" s="1691">
        <f t="shared" si="73"/>
        <v>0</v>
      </c>
      <c r="Y89" s="1691">
        <f t="shared" si="74"/>
        <v>0</v>
      </c>
      <c r="Z89" s="1717"/>
      <c r="AA89" s="1722" t="str">
        <f t="shared" si="92"/>
        <v>2.3.3</v>
      </c>
      <c r="AB89" s="1693" t="str">
        <f t="shared" si="103"/>
        <v xml:space="preserve"> Q2 2.3</v>
      </c>
      <c r="AC89" s="1720" t="str">
        <f t="shared" si="93"/>
        <v>主要設備機器の更新</v>
      </c>
      <c r="AD89" s="1623">
        <f t="shared" si="94"/>
        <v>0</v>
      </c>
      <c r="AE89" s="1623">
        <f t="shared" si="95"/>
        <v>0</v>
      </c>
      <c r="AF89" s="1623">
        <f t="shared" si="96"/>
        <v>0</v>
      </c>
      <c r="AG89" s="1623">
        <f t="shared" si="97"/>
        <v>0</v>
      </c>
      <c r="AH89" s="1623">
        <f t="shared" si="98"/>
        <v>0</v>
      </c>
      <c r="AI89" s="1623">
        <f t="shared" si="99"/>
        <v>0</v>
      </c>
      <c r="AJ89" s="1623">
        <f t="shared" si="100"/>
        <v>0</v>
      </c>
      <c r="AK89" s="1623">
        <f t="shared" si="101"/>
        <v>0</v>
      </c>
      <c r="AL89" s="1623">
        <f t="shared" si="102"/>
        <v>0</v>
      </c>
      <c r="AM89" s="1623">
        <f t="shared" si="102"/>
        <v>0</v>
      </c>
      <c r="AN89" s="1625"/>
      <c r="AO89" s="1623"/>
      <c r="AP89" s="1623"/>
      <c r="AQ89" s="1719"/>
      <c r="AR89" s="2067" t="s">
        <v>1536</v>
      </c>
      <c r="AS89" s="2085" t="s">
        <v>344</v>
      </c>
      <c r="AT89" s="2070" t="s">
        <v>424</v>
      </c>
      <c r="AU89" s="2072">
        <v>0</v>
      </c>
      <c r="AV89" s="2072">
        <v>0</v>
      </c>
      <c r="AW89" s="2072">
        <v>0</v>
      </c>
      <c r="AX89" s="2072">
        <v>0</v>
      </c>
      <c r="AY89" s="2072">
        <v>0</v>
      </c>
      <c r="AZ89" s="2072">
        <v>0</v>
      </c>
      <c r="BA89" s="2072">
        <v>0</v>
      </c>
      <c r="BB89" s="2072">
        <v>0</v>
      </c>
      <c r="BC89" s="2072">
        <v>0</v>
      </c>
      <c r="BD89" s="2072">
        <v>0</v>
      </c>
      <c r="BE89" s="2072"/>
      <c r="BF89" s="2072"/>
      <c r="BG89" s="2072"/>
      <c r="BI89" s="2067" t="s">
        <v>1536</v>
      </c>
      <c r="BJ89" s="2085" t="s">
        <v>344</v>
      </c>
      <c r="BK89" s="2070" t="s">
        <v>424</v>
      </c>
      <c r="BL89" s="2072">
        <v>0</v>
      </c>
      <c r="BM89" s="2072">
        <v>0</v>
      </c>
      <c r="BN89" s="2072">
        <v>0</v>
      </c>
      <c r="BO89" s="2072">
        <v>0</v>
      </c>
      <c r="BP89" s="2072">
        <v>0</v>
      </c>
      <c r="BQ89" s="2072">
        <v>0</v>
      </c>
      <c r="BR89" s="2072">
        <v>0</v>
      </c>
      <c r="BS89" s="2072">
        <v>0</v>
      </c>
      <c r="BT89" s="2072">
        <v>0</v>
      </c>
      <c r="BU89" s="2072">
        <v>0</v>
      </c>
      <c r="BV89" s="2072"/>
      <c r="BW89" s="2072"/>
      <c r="BX89" s="2072"/>
    </row>
    <row r="90" spans="2:76" ht="13.5" customHeight="1">
      <c r="B90" s="1613">
        <f t="shared" si="70"/>
        <v>2.4</v>
      </c>
      <c r="C90" s="1647" t="str">
        <f t="shared" si="71"/>
        <v>信頼性</v>
      </c>
      <c r="D90" s="1716">
        <f>IF(I$75=0,0,G90/I$75)</f>
        <v>0.2</v>
      </c>
      <c r="E90" s="1691">
        <f>IF(J$75=0,0,H90/J$75)</f>
        <v>0</v>
      </c>
      <c r="G90" s="1691">
        <f t="shared" si="72"/>
        <v>0.19999999999999996</v>
      </c>
      <c r="H90" s="1691">
        <f t="shared" si="72"/>
        <v>0</v>
      </c>
      <c r="I90" s="1691">
        <f>SUM(G91:G95)</f>
        <v>1</v>
      </c>
      <c r="J90" s="1691">
        <f>SUM(H91:H95)</f>
        <v>0</v>
      </c>
      <c r="K90" s="1616">
        <f>IF(スコア表示!X90=0,0,1)</f>
        <v>1</v>
      </c>
      <c r="L90" s="1616">
        <f>IF(スコア表示!AB90=0,0,1)</f>
        <v>0</v>
      </c>
      <c r="N90" s="1713">
        <f>IF(P$75=0,0,P90/P$75)</f>
        <v>0.19999999999999996</v>
      </c>
      <c r="O90" s="1713">
        <f>IF(Q$75=0,0,Q90/Q$75)</f>
        <v>0</v>
      </c>
      <c r="P90" s="1616">
        <f>SUM(R91:R95)</f>
        <v>5.9999999999999984E-2</v>
      </c>
      <c r="Q90" s="1616">
        <f>SUM(S91:S95)</f>
        <v>0</v>
      </c>
      <c r="R90" s="1616">
        <f>IF(スコア入力!R90="EB",重み_対象外!D90,U90)</f>
        <v>0</v>
      </c>
      <c r="S90" s="1616">
        <f>IF(スコア入力!Y90="EB",重み_対象外!E90,V90)</f>
        <v>0</v>
      </c>
      <c r="T90" s="1560"/>
      <c r="U90" s="1630"/>
      <c r="V90" s="1630"/>
      <c r="W90" s="1560"/>
      <c r="X90" s="1616">
        <f t="shared" si="73"/>
        <v>0.19999999999999998</v>
      </c>
      <c r="Y90" s="1616">
        <f t="shared" si="74"/>
        <v>0</v>
      </c>
      <c r="Z90" s="1644"/>
      <c r="AA90" s="1613">
        <f t="shared" si="92"/>
        <v>2.4</v>
      </c>
      <c r="AB90" s="1613" t="str">
        <f t="shared" si="103"/>
        <v xml:space="preserve"> Q2 2</v>
      </c>
      <c r="AC90" s="1613" t="str">
        <f t="shared" si="93"/>
        <v>信頼性</v>
      </c>
      <c r="AD90" s="1759">
        <f t="shared" si="94"/>
        <v>0.2</v>
      </c>
      <c r="AE90" s="1759">
        <f t="shared" si="95"/>
        <v>0.2</v>
      </c>
      <c r="AF90" s="1759">
        <f t="shared" si="96"/>
        <v>0.2</v>
      </c>
      <c r="AG90" s="1759">
        <f t="shared" si="97"/>
        <v>0.2</v>
      </c>
      <c r="AH90" s="1759">
        <f t="shared" si="98"/>
        <v>0.2</v>
      </c>
      <c r="AI90" s="1759">
        <f t="shared" si="99"/>
        <v>0.2</v>
      </c>
      <c r="AJ90" s="1759">
        <f t="shared" si="100"/>
        <v>0.2</v>
      </c>
      <c r="AK90" s="1761">
        <f t="shared" si="101"/>
        <v>0.2</v>
      </c>
      <c r="AL90" s="1759">
        <f t="shared" si="102"/>
        <v>0.2</v>
      </c>
      <c r="AM90" s="1759">
        <f t="shared" si="102"/>
        <v>0.2</v>
      </c>
      <c r="AN90" s="1760">
        <f t="shared" ref="AN90:AN129" si="107">IF($AA$3=1,BE90,BV90)</f>
        <v>0</v>
      </c>
      <c r="AO90" s="1759">
        <f t="shared" ref="AO90:AO129" si="108">IF($AA$3=1,BF90,BW90)</f>
        <v>0</v>
      </c>
      <c r="AP90" s="1759">
        <f t="shared" ref="AP90:AP129" si="109">IF($AA$3=1,BG90,BX90)</f>
        <v>0</v>
      </c>
      <c r="AQ90" s="1620"/>
      <c r="AR90" s="1647">
        <v>2.4</v>
      </c>
      <c r="AS90" s="1693" t="s">
        <v>333</v>
      </c>
      <c r="AT90" s="1737" t="s">
        <v>748</v>
      </c>
      <c r="AU90" s="1623">
        <v>0.2</v>
      </c>
      <c r="AV90" s="1623">
        <v>0.2</v>
      </c>
      <c r="AW90" s="1623">
        <v>0.2</v>
      </c>
      <c r="AX90" s="1623">
        <v>0.2</v>
      </c>
      <c r="AY90" s="1623">
        <v>0.2</v>
      </c>
      <c r="AZ90" s="1623">
        <v>0.2</v>
      </c>
      <c r="BA90" s="1623">
        <v>0.2</v>
      </c>
      <c r="BB90" s="1624">
        <v>0.2</v>
      </c>
      <c r="BC90" s="1623">
        <v>0.2</v>
      </c>
      <c r="BD90" s="1623">
        <v>0.2</v>
      </c>
      <c r="BE90" s="1625"/>
      <c r="BF90" s="1623"/>
      <c r="BG90" s="1623"/>
      <c r="BI90" s="1647">
        <v>2.4</v>
      </c>
      <c r="BJ90" s="1693" t="s">
        <v>333</v>
      </c>
      <c r="BK90" s="1737" t="s">
        <v>748</v>
      </c>
      <c r="BL90" s="1623">
        <v>0.2</v>
      </c>
      <c r="BM90" s="1623">
        <v>0.2</v>
      </c>
      <c r="BN90" s="1623">
        <v>0.2</v>
      </c>
      <c r="BO90" s="1623">
        <v>0.2</v>
      </c>
      <c r="BP90" s="1623">
        <v>0.2</v>
      </c>
      <c r="BQ90" s="1623">
        <v>0.2</v>
      </c>
      <c r="BR90" s="1623">
        <v>0.2</v>
      </c>
      <c r="BS90" s="1624">
        <v>0.2</v>
      </c>
      <c r="BT90" s="1623">
        <v>0.2</v>
      </c>
      <c r="BU90" s="1623">
        <v>0.2</v>
      </c>
      <c r="BV90" s="1625"/>
      <c r="BW90" s="1623"/>
      <c r="BX90" s="1623"/>
    </row>
    <row r="91" spans="2:76" ht="13.5" customHeight="1">
      <c r="B91" s="1621" t="str">
        <f t="shared" si="70"/>
        <v>2.4.1</v>
      </c>
      <c r="C91" s="1614" t="str">
        <f t="shared" si="71"/>
        <v>空調・換気設備</v>
      </c>
      <c r="D91" s="1721">
        <f t="shared" ref="D91:E95" si="110">IF(I$90&gt;0,G91/I$90,0)</f>
        <v>0.2</v>
      </c>
      <c r="E91" s="1691">
        <f t="shared" si="110"/>
        <v>0</v>
      </c>
      <c r="G91" s="1691">
        <f t="shared" si="72"/>
        <v>0.2</v>
      </c>
      <c r="H91" s="1691">
        <f t="shared" si="72"/>
        <v>0</v>
      </c>
      <c r="I91" s="1691"/>
      <c r="J91" s="1691"/>
      <c r="K91" s="1616">
        <f>IF(スコア表示!X91=0,0,1)</f>
        <v>1</v>
      </c>
      <c r="L91" s="1616">
        <f>IF(スコア表示!AB91=0,0,1)</f>
        <v>0</v>
      </c>
      <c r="N91" s="1708">
        <f t="shared" ref="N91:O95" si="111">IF(P$90&gt;0,R91/P$90,0)</f>
        <v>0.2</v>
      </c>
      <c r="O91" s="1708">
        <f t="shared" si="111"/>
        <v>0</v>
      </c>
      <c r="P91" s="1616"/>
      <c r="Q91" s="1616"/>
      <c r="R91" s="1616">
        <f>IF(スコア入力!R91="EB",重み_対象外!D91,U91)</f>
        <v>1.1999999999999997E-2</v>
      </c>
      <c r="S91" s="1616">
        <f>IF(スコア入力!Y91="EB",重み_対象外!E91,V91)</f>
        <v>0</v>
      </c>
      <c r="T91" s="1560"/>
      <c r="U91" s="1614">
        <f t="shared" ref="U91:V95" si="112">X$75*X$90*X91</f>
        <v>1.1999999999999997E-2</v>
      </c>
      <c r="V91" s="1614">
        <f t="shared" si="112"/>
        <v>0</v>
      </c>
      <c r="W91" s="1560"/>
      <c r="X91" s="1616">
        <f t="shared" si="73"/>
        <v>0.19999999999999998</v>
      </c>
      <c r="Y91" s="1616">
        <f t="shared" si="74"/>
        <v>0</v>
      </c>
      <c r="Z91" s="1644"/>
      <c r="AA91" s="1613" t="str">
        <f t="shared" si="92"/>
        <v>2.4.1</v>
      </c>
      <c r="AB91" s="1613" t="str">
        <f t="shared" si="103"/>
        <v xml:space="preserve"> Q2 2.4</v>
      </c>
      <c r="AC91" s="1613" t="str">
        <f t="shared" si="93"/>
        <v>空調・換気設備</v>
      </c>
      <c r="AD91" s="1759">
        <f t="shared" si="94"/>
        <v>0.2</v>
      </c>
      <c r="AE91" s="1759">
        <f t="shared" si="95"/>
        <v>0.2</v>
      </c>
      <c r="AF91" s="1759">
        <f t="shared" si="96"/>
        <v>0.2</v>
      </c>
      <c r="AG91" s="1759">
        <f t="shared" si="97"/>
        <v>0.2</v>
      </c>
      <c r="AH91" s="1759">
        <f t="shared" si="98"/>
        <v>0.2</v>
      </c>
      <c r="AI91" s="1759">
        <f t="shared" si="99"/>
        <v>0.2</v>
      </c>
      <c r="AJ91" s="1759">
        <f t="shared" si="100"/>
        <v>0.2</v>
      </c>
      <c r="AK91" s="1761">
        <f t="shared" si="101"/>
        <v>0.2</v>
      </c>
      <c r="AL91" s="1759">
        <f t="shared" si="102"/>
        <v>0.2</v>
      </c>
      <c r="AM91" s="1759">
        <f t="shared" si="102"/>
        <v>0.2</v>
      </c>
      <c r="AN91" s="1760">
        <f t="shared" si="107"/>
        <v>0</v>
      </c>
      <c r="AO91" s="1759">
        <f t="shared" si="108"/>
        <v>0</v>
      </c>
      <c r="AP91" s="1759">
        <f t="shared" si="109"/>
        <v>0</v>
      </c>
      <c r="AQ91" s="1620"/>
      <c r="AR91" s="1647" t="s">
        <v>1537</v>
      </c>
      <c r="AS91" s="1693" t="s">
        <v>345</v>
      </c>
      <c r="AT91" s="2064" t="s">
        <v>346</v>
      </c>
      <c r="AU91" s="1623">
        <v>0.2</v>
      </c>
      <c r="AV91" s="1623">
        <v>0.2</v>
      </c>
      <c r="AW91" s="1623">
        <v>0.2</v>
      </c>
      <c r="AX91" s="1623">
        <v>0.2</v>
      </c>
      <c r="AY91" s="1623">
        <v>0.2</v>
      </c>
      <c r="AZ91" s="1623">
        <v>0.2</v>
      </c>
      <c r="BA91" s="1623">
        <v>0.2</v>
      </c>
      <c r="BB91" s="1624">
        <v>0.2</v>
      </c>
      <c r="BC91" s="1623">
        <v>0.2</v>
      </c>
      <c r="BD91" s="1623">
        <v>0.2</v>
      </c>
      <c r="BE91" s="1625"/>
      <c r="BF91" s="1623"/>
      <c r="BG91" s="1623"/>
      <c r="BI91" s="1647" t="s">
        <v>1537</v>
      </c>
      <c r="BJ91" s="1693" t="s">
        <v>345</v>
      </c>
      <c r="BK91" s="2064" t="s">
        <v>346</v>
      </c>
      <c r="BL91" s="1623">
        <v>0.2</v>
      </c>
      <c r="BM91" s="1623">
        <v>0.2</v>
      </c>
      <c r="BN91" s="1623">
        <v>0.2</v>
      </c>
      <c r="BO91" s="1623">
        <v>0.2</v>
      </c>
      <c r="BP91" s="1623">
        <v>0.2</v>
      </c>
      <c r="BQ91" s="1623">
        <v>0.2</v>
      </c>
      <c r="BR91" s="1623">
        <v>0.2</v>
      </c>
      <c r="BS91" s="1624">
        <v>0.2</v>
      </c>
      <c r="BT91" s="1623">
        <v>0.2</v>
      </c>
      <c r="BU91" s="1623">
        <v>0.2</v>
      </c>
      <c r="BV91" s="1625"/>
      <c r="BW91" s="1623"/>
      <c r="BX91" s="1623"/>
    </row>
    <row r="92" spans="2:76" ht="13.5" customHeight="1">
      <c r="B92" s="1621" t="str">
        <f t="shared" si="70"/>
        <v>2.4.2</v>
      </c>
      <c r="C92" s="1614" t="str">
        <f t="shared" si="71"/>
        <v>給排水・衛生設備</v>
      </c>
      <c r="D92" s="1721">
        <f t="shared" si="110"/>
        <v>0.2</v>
      </c>
      <c r="E92" s="1691">
        <f t="shared" si="110"/>
        <v>0</v>
      </c>
      <c r="G92" s="1691">
        <f t="shared" si="72"/>
        <v>0.2</v>
      </c>
      <c r="H92" s="1691">
        <f t="shared" si="72"/>
        <v>0</v>
      </c>
      <c r="I92" s="1691"/>
      <c r="J92" s="1691"/>
      <c r="K92" s="1616">
        <f>IF(スコア表示!X92=0,0,1)</f>
        <v>1</v>
      </c>
      <c r="L92" s="1616">
        <f>IF(スコア表示!AB92=0,0,1)</f>
        <v>0</v>
      </c>
      <c r="N92" s="1708">
        <f t="shared" si="111"/>
        <v>0.2</v>
      </c>
      <c r="O92" s="1708">
        <f t="shared" si="111"/>
        <v>0</v>
      </c>
      <c r="P92" s="1616"/>
      <c r="Q92" s="1616"/>
      <c r="R92" s="1616">
        <f>IF(スコア入力!R92="EB",重み_対象外!D92,U92)</f>
        <v>1.1999999999999997E-2</v>
      </c>
      <c r="S92" s="1616">
        <f>IF(スコア入力!Y92="EB",重み_対象外!E92,V92)</f>
        <v>0</v>
      </c>
      <c r="T92" s="1560"/>
      <c r="U92" s="1614">
        <f t="shared" si="112"/>
        <v>1.1999999999999997E-2</v>
      </c>
      <c r="V92" s="1614">
        <f t="shared" si="112"/>
        <v>0</v>
      </c>
      <c r="W92" s="1560"/>
      <c r="X92" s="1616">
        <f t="shared" si="73"/>
        <v>0.19999999999999998</v>
      </c>
      <c r="Y92" s="1616">
        <f t="shared" si="74"/>
        <v>0</v>
      </c>
      <c r="Z92" s="1644"/>
      <c r="AA92" s="1613" t="str">
        <f t="shared" si="92"/>
        <v>2.4.2</v>
      </c>
      <c r="AB92" s="1613" t="str">
        <f t="shared" si="103"/>
        <v xml:space="preserve"> Q2 2.4</v>
      </c>
      <c r="AC92" s="1613" t="str">
        <f t="shared" si="93"/>
        <v>給排水・衛生設備</v>
      </c>
      <c r="AD92" s="1759">
        <f t="shared" si="94"/>
        <v>0.2</v>
      </c>
      <c r="AE92" s="1759">
        <f t="shared" si="95"/>
        <v>0.2</v>
      </c>
      <c r="AF92" s="1759">
        <f t="shared" si="96"/>
        <v>0.2</v>
      </c>
      <c r="AG92" s="1759">
        <f t="shared" si="97"/>
        <v>0.2</v>
      </c>
      <c r="AH92" s="1759">
        <f t="shared" si="98"/>
        <v>0.2</v>
      </c>
      <c r="AI92" s="1759">
        <f t="shared" si="99"/>
        <v>0.2</v>
      </c>
      <c r="AJ92" s="1759">
        <f t="shared" si="100"/>
        <v>0.2</v>
      </c>
      <c r="AK92" s="1761">
        <f t="shared" si="101"/>
        <v>0.2</v>
      </c>
      <c r="AL92" s="1759">
        <f t="shared" si="102"/>
        <v>0.2</v>
      </c>
      <c r="AM92" s="1759">
        <f t="shared" si="102"/>
        <v>0.2</v>
      </c>
      <c r="AN92" s="1760">
        <f t="shared" si="107"/>
        <v>0</v>
      </c>
      <c r="AO92" s="1759">
        <f t="shared" si="108"/>
        <v>0</v>
      </c>
      <c r="AP92" s="1759">
        <f t="shared" si="109"/>
        <v>0</v>
      </c>
      <c r="AQ92" s="1620"/>
      <c r="AR92" s="1647" t="s">
        <v>347</v>
      </c>
      <c r="AS92" s="1693" t="s">
        <v>345</v>
      </c>
      <c r="AT92" s="2064" t="s">
        <v>348</v>
      </c>
      <c r="AU92" s="1623">
        <v>0.2</v>
      </c>
      <c r="AV92" s="1623">
        <v>0.2</v>
      </c>
      <c r="AW92" s="1623">
        <v>0.2</v>
      </c>
      <c r="AX92" s="1623">
        <v>0.2</v>
      </c>
      <c r="AY92" s="1623">
        <v>0.2</v>
      </c>
      <c r="AZ92" s="1623">
        <v>0.2</v>
      </c>
      <c r="BA92" s="1623">
        <v>0.2</v>
      </c>
      <c r="BB92" s="1624">
        <v>0.2</v>
      </c>
      <c r="BC92" s="1623">
        <v>0.2</v>
      </c>
      <c r="BD92" s="1623">
        <v>0.2</v>
      </c>
      <c r="BE92" s="1625"/>
      <c r="BF92" s="1623"/>
      <c r="BG92" s="1623"/>
      <c r="BI92" s="1647" t="s">
        <v>347</v>
      </c>
      <c r="BJ92" s="1693" t="s">
        <v>345</v>
      </c>
      <c r="BK92" s="2064" t="s">
        <v>348</v>
      </c>
      <c r="BL92" s="1623">
        <v>0.2</v>
      </c>
      <c r="BM92" s="1623">
        <v>0.2</v>
      </c>
      <c r="BN92" s="1623">
        <v>0.2</v>
      </c>
      <c r="BO92" s="1623">
        <v>0.2</v>
      </c>
      <c r="BP92" s="1623">
        <v>0.2</v>
      </c>
      <c r="BQ92" s="1623">
        <v>0.2</v>
      </c>
      <c r="BR92" s="1623">
        <v>0.2</v>
      </c>
      <c r="BS92" s="1624">
        <v>0.2</v>
      </c>
      <c r="BT92" s="1623">
        <v>0.2</v>
      </c>
      <c r="BU92" s="1623">
        <v>0.2</v>
      </c>
      <c r="BV92" s="1625"/>
      <c r="BW92" s="1623"/>
      <c r="BX92" s="1623"/>
    </row>
    <row r="93" spans="2:76" ht="13.5" customHeight="1">
      <c r="B93" s="1621" t="str">
        <f t="shared" si="70"/>
        <v>2.4.3</v>
      </c>
      <c r="C93" s="1614" t="str">
        <f t="shared" si="71"/>
        <v>電気設備</v>
      </c>
      <c r="D93" s="1721">
        <f t="shared" si="110"/>
        <v>0.2</v>
      </c>
      <c r="E93" s="1691">
        <f t="shared" si="110"/>
        <v>0</v>
      </c>
      <c r="G93" s="1691">
        <f t="shared" si="72"/>
        <v>0.2</v>
      </c>
      <c r="H93" s="1691">
        <f t="shared" si="72"/>
        <v>0</v>
      </c>
      <c r="I93" s="1691"/>
      <c r="J93" s="1691"/>
      <c r="K93" s="1691">
        <f>IF(スコア表示!X93=0,0,1)</f>
        <v>1</v>
      </c>
      <c r="L93" s="1691">
        <f>IF(スコア表示!AB93=0,0,1)</f>
        <v>0</v>
      </c>
      <c r="N93" s="1708">
        <f t="shared" si="111"/>
        <v>0.2</v>
      </c>
      <c r="O93" s="1708">
        <f t="shared" si="111"/>
        <v>0</v>
      </c>
      <c r="P93" s="1616"/>
      <c r="Q93" s="1616"/>
      <c r="R93" s="1616">
        <f>IF(スコア入力!R93="EB",重み_対象外!D93,U93)</f>
        <v>1.1999999999999997E-2</v>
      </c>
      <c r="S93" s="1616">
        <f>IF(スコア入力!Y93="EB",重み_対象外!E93,V93)</f>
        <v>0</v>
      </c>
      <c r="T93" s="1560"/>
      <c r="U93" s="1614">
        <f t="shared" si="112"/>
        <v>1.1999999999999997E-2</v>
      </c>
      <c r="V93" s="1614">
        <f t="shared" si="112"/>
        <v>0</v>
      </c>
      <c r="W93" s="1560"/>
      <c r="X93" s="1616">
        <f t="shared" si="73"/>
        <v>0.19999999999999998</v>
      </c>
      <c r="Y93" s="1616">
        <f t="shared" si="74"/>
        <v>0</v>
      </c>
      <c r="Z93" s="1644"/>
      <c r="AA93" s="1613" t="str">
        <f t="shared" si="92"/>
        <v>2.4.3</v>
      </c>
      <c r="AB93" s="1613" t="str">
        <f t="shared" si="103"/>
        <v xml:space="preserve"> Q2 2.4</v>
      </c>
      <c r="AC93" s="1613" t="str">
        <f t="shared" si="93"/>
        <v>電気設備</v>
      </c>
      <c r="AD93" s="1759">
        <f t="shared" si="94"/>
        <v>0.2</v>
      </c>
      <c r="AE93" s="1759">
        <f t="shared" si="95"/>
        <v>0.2</v>
      </c>
      <c r="AF93" s="1759">
        <f t="shared" si="96"/>
        <v>0.2</v>
      </c>
      <c r="AG93" s="1759">
        <f t="shared" si="97"/>
        <v>0.2</v>
      </c>
      <c r="AH93" s="1759">
        <f t="shared" si="98"/>
        <v>0.2</v>
      </c>
      <c r="AI93" s="1759">
        <f t="shared" si="99"/>
        <v>0.2</v>
      </c>
      <c r="AJ93" s="1759">
        <f t="shared" si="100"/>
        <v>0.2</v>
      </c>
      <c r="AK93" s="1761">
        <f t="shared" si="101"/>
        <v>0.2</v>
      </c>
      <c r="AL93" s="1759">
        <f t="shared" si="102"/>
        <v>0.2</v>
      </c>
      <c r="AM93" s="1759">
        <f t="shared" si="102"/>
        <v>0.2</v>
      </c>
      <c r="AN93" s="1760">
        <f t="shared" si="107"/>
        <v>0</v>
      </c>
      <c r="AO93" s="1759">
        <f t="shared" si="108"/>
        <v>0</v>
      </c>
      <c r="AP93" s="1759">
        <f t="shared" si="109"/>
        <v>0</v>
      </c>
      <c r="AQ93" s="1620"/>
      <c r="AR93" s="1647" t="s">
        <v>349</v>
      </c>
      <c r="AS93" s="1693" t="s">
        <v>345</v>
      </c>
      <c r="AT93" s="2064" t="s">
        <v>350</v>
      </c>
      <c r="AU93" s="1623">
        <v>0.2</v>
      </c>
      <c r="AV93" s="1623">
        <v>0.2</v>
      </c>
      <c r="AW93" s="1623">
        <v>0.2</v>
      </c>
      <c r="AX93" s="1623">
        <v>0.2</v>
      </c>
      <c r="AY93" s="1623">
        <v>0.2</v>
      </c>
      <c r="AZ93" s="1623">
        <v>0.2</v>
      </c>
      <c r="BA93" s="1623">
        <v>0.2</v>
      </c>
      <c r="BB93" s="1624">
        <v>0.2</v>
      </c>
      <c r="BC93" s="1623">
        <v>0.2</v>
      </c>
      <c r="BD93" s="1623">
        <v>0.2</v>
      </c>
      <c r="BE93" s="1625"/>
      <c r="BF93" s="1623"/>
      <c r="BG93" s="1623"/>
      <c r="BI93" s="1647" t="s">
        <v>349</v>
      </c>
      <c r="BJ93" s="1693" t="s">
        <v>345</v>
      </c>
      <c r="BK93" s="2064" t="s">
        <v>350</v>
      </c>
      <c r="BL93" s="1623">
        <v>0.2</v>
      </c>
      <c r="BM93" s="1623">
        <v>0.2</v>
      </c>
      <c r="BN93" s="1623">
        <v>0.2</v>
      </c>
      <c r="BO93" s="1623">
        <v>0.2</v>
      </c>
      <c r="BP93" s="1623">
        <v>0.2</v>
      </c>
      <c r="BQ93" s="1623">
        <v>0.2</v>
      </c>
      <c r="BR93" s="1623">
        <v>0.2</v>
      </c>
      <c r="BS93" s="1624">
        <v>0.2</v>
      </c>
      <c r="BT93" s="1623">
        <v>0.2</v>
      </c>
      <c r="BU93" s="1623">
        <v>0.2</v>
      </c>
      <c r="BV93" s="1625"/>
      <c r="BW93" s="1623"/>
      <c r="BX93" s="1623"/>
    </row>
    <row r="94" spans="2:76" ht="13.5" customHeight="1">
      <c r="B94" s="1621" t="str">
        <f t="shared" si="70"/>
        <v>2.4.4</v>
      </c>
      <c r="C94" s="1614" t="str">
        <f t="shared" si="71"/>
        <v>機械・配管支持方法</v>
      </c>
      <c r="D94" s="1721">
        <f t="shared" si="110"/>
        <v>0.2</v>
      </c>
      <c r="E94" s="1691">
        <f t="shared" si="110"/>
        <v>0</v>
      </c>
      <c r="G94" s="1691">
        <f t="shared" si="72"/>
        <v>0.2</v>
      </c>
      <c r="H94" s="1691">
        <f t="shared" si="72"/>
        <v>0</v>
      </c>
      <c r="I94" s="1691"/>
      <c r="J94" s="1691"/>
      <c r="K94" s="1616">
        <f>IF(スコア表示!X94=0,0,1)</f>
        <v>1</v>
      </c>
      <c r="L94" s="1616">
        <f>IF(スコア表示!AB94=0,0,1)</f>
        <v>0</v>
      </c>
      <c r="N94" s="1708">
        <f t="shared" si="111"/>
        <v>0.2</v>
      </c>
      <c r="O94" s="1708">
        <f t="shared" si="111"/>
        <v>0</v>
      </c>
      <c r="P94" s="1616"/>
      <c r="Q94" s="1616"/>
      <c r="R94" s="1616">
        <f>IF(スコア入力!R94="EB",重み_対象外!D94,U94)</f>
        <v>1.1999999999999997E-2</v>
      </c>
      <c r="S94" s="1616">
        <f>IF(スコア入力!Y94="EB",重み_対象外!E94,V94)</f>
        <v>0</v>
      </c>
      <c r="T94" s="1560"/>
      <c r="U94" s="1614">
        <f t="shared" si="112"/>
        <v>1.1999999999999997E-2</v>
      </c>
      <c r="V94" s="1614">
        <f t="shared" si="112"/>
        <v>0</v>
      </c>
      <c r="W94" s="1560"/>
      <c r="X94" s="1616">
        <f t="shared" si="73"/>
        <v>0.19999999999999998</v>
      </c>
      <c r="Y94" s="1616">
        <f t="shared" si="74"/>
        <v>0</v>
      </c>
      <c r="Z94" s="1644"/>
      <c r="AA94" s="1613" t="str">
        <f t="shared" si="92"/>
        <v>2.4.4</v>
      </c>
      <c r="AB94" s="1613" t="str">
        <f t="shared" si="103"/>
        <v xml:space="preserve"> Q2 2.4</v>
      </c>
      <c r="AC94" s="1613" t="str">
        <f t="shared" si="93"/>
        <v>機械・配管支持方法</v>
      </c>
      <c r="AD94" s="1759">
        <f t="shared" si="94"/>
        <v>0.2</v>
      </c>
      <c r="AE94" s="1759">
        <f t="shared" si="95"/>
        <v>0.2</v>
      </c>
      <c r="AF94" s="1759">
        <f t="shared" si="96"/>
        <v>0.2</v>
      </c>
      <c r="AG94" s="1759">
        <f t="shared" si="97"/>
        <v>0.2</v>
      </c>
      <c r="AH94" s="1759">
        <f t="shared" si="98"/>
        <v>0.2</v>
      </c>
      <c r="AI94" s="1759">
        <f t="shared" si="99"/>
        <v>0.2</v>
      </c>
      <c r="AJ94" s="1759">
        <f t="shared" si="100"/>
        <v>0.2</v>
      </c>
      <c r="AK94" s="1761">
        <f t="shared" si="101"/>
        <v>0.2</v>
      </c>
      <c r="AL94" s="1759">
        <f t="shared" si="102"/>
        <v>0.2</v>
      </c>
      <c r="AM94" s="1759">
        <f t="shared" si="102"/>
        <v>0.2</v>
      </c>
      <c r="AN94" s="1760">
        <f t="shared" si="107"/>
        <v>0</v>
      </c>
      <c r="AO94" s="1759">
        <f t="shared" si="108"/>
        <v>0</v>
      </c>
      <c r="AP94" s="1759">
        <f t="shared" si="109"/>
        <v>0</v>
      </c>
      <c r="AQ94" s="1620"/>
      <c r="AR94" s="1647" t="s">
        <v>351</v>
      </c>
      <c r="AS94" s="1693" t="s">
        <v>345</v>
      </c>
      <c r="AT94" s="2064" t="s">
        <v>352</v>
      </c>
      <c r="AU94" s="1623">
        <v>0.2</v>
      </c>
      <c r="AV94" s="1623">
        <v>0.2</v>
      </c>
      <c r="AW94" s="1623">
        <v>0.2</v>
      </c>
      <c r="AX94" s="1623">
        <v>0.2</v>
      </c>
      <c r="AY94" s="1623">
        <v>0.2</v>
      </c>
      <c r="AZ94" s="1623">
        <v>0.2</v>
      </c>
      <c r="BA94" s="1623">
        <v>0.2</v>
      </c>
      <c r="BB94" s="1624">
        <v>0.2</v>
      </c>
      <c r="BC94" s="1623">
        <v>0.2</v>
      </c>
      <c r="BD94" s="1623">
        <v>0.2</v>
      </c>
      <c r="BE94" s="1625"/>
      <c r="BF94" s="1623"/>
      <c r="BG94" s="1623"/>
      <c r="BI94" s="1647" t="s">
        <v>351</v>
      </c>
      <c r="BJ94" s="1693" t="s">
        <v>345</v>
      </c>
      <c r="BK94" s="2064" t="s">
        <v>352</v>
      </c>
      <c r="BL94" s="1623">
        <v>0.2</v>
      </c>
      <c r="BM94" s="1623">
        <v>0.2</v>
      </c>
      <c r="BN94" s="1623">
        <v>0.2</v>
      </c>
      <c r="BO94" s="1623">
        <v>0.2</v>
      </c>
      <c r="BP94" s="1623">
        <v>0.2</v>
      </c>
      <c r="BQ94" s="1623">
        <v>0.2</v>
      </c>
      <c r="BR94" s="1623">
        <v>0.2</v>
      </c>
      <c r="BS94" s="1624">
        <v>0.2</v>
      </c>
      <c r="BT94" s="1623">
        <v>0.2</v>
      </c>
      <c r="BU94" s="1623">
        <v>0.2</v>
      </c>
      <c r="BV94" s="1625"/>
      <c r="BW94" s="1623"/>
      <c r="BX94" s="1623"/>
    </row>
    <row r="95" spans="2:76" ht="13.5" customHeight="1">
      <c r="B95" s="1621" t="str">
        <f t="shared" si="70"/>
        <v>2.4.5</v>
      </c>
      <c r="C95" s="1614" t="str">
        <f t="shared" si="71"/>
        <v>通信・情報設備</v>
      </c>
      <c r="D95" s="1721">
        <f t="shared" si="110"/>
        <v>0.2</v>
      </c>
      <c r="E95" s="1691">
        <f t="shared" si="110"/>
        <v>0</v>
      </c>
      <c r="G95" s="1691">
        <f t="shared" si="72"/>
        <v>0.2</v>
      </c>
      <c r="H95" s="1691">
        <f t="shared" si="72"/>
        <v>0</v>
      </c>
      <c r="I95" s="1691"/>
      <c r="J95" s="1691"/>
      <c r="K95" s="1616">
        <f>IF(スコア表示!X95=0,0,1)</f>
        <v>1</v>
      </c>
      <c r="L95" s="1616">
        <f>IF(スコア表示!AB95=0,0,1)</f>
        <v>0</v>
      </c>
      <c r="N95" s="1708">
        <f t="shared" si="111"/>
        <v>0.2</v>
      </c>
      <c r="O95" s="1708">
        <f t="shared" si="111"/>
        <v>0</v>
      </c>
      <c r="P95" s="1616"/>
      <c r="Q95" s="1616"/>
      <c r="R95" s="1616">
        <f>IF(スコア入力!R95="EB",重み_対象外!D95,U95)</f>
        <v>1.1999999999999997E-2</v>
      </c>
      <c r="S95" s="1616">
        <f>IF(スコア入力!Y95="EB",重み_対象外!E95,V95)</f>
        <v>0</v>
      </c>
      <c r="T95" s="1560"/>
      <c r="U95" s="1614">
        <f t="shared" si="112"/>
        <v>1.1999999999999997E-2</v>
      </c>
      <c r="V95" s="1614">
        <f t="shared" si="112"/>
        <v>0</v>
      </c>
      <c r="W95" s="1560"/>
      <c r="X95" s="1616">
        <f t="shared" si="73"/>
        <v>0.19999999999999998</v>
      </c>
      <c r="Y95" s="1616">
        <f t="shared" si="74"/>
        <v>0</v>
      </c>
      <c r="Z95" s="1644"/>
      <c r="AA95" s="1613" t="str">
        <f t="shared" si="92"/>
        <v>2.4.5</v>
      </c>
      <c r="AB95" s="1613" t="str">
        <f t="shared" si="103"/>
        <v xml:space="preserve"> Q2 2.4</v>
      </c>
      <c r="AC95" s="1613" t="str">
        <f t="shared" si="93"/>
        <v>通信・情報設備</v>
      </c>
      <c r="AD95" s="1759">
        <f t="shared" si="94"/>
        <v>0.2</v>
      </c>
      <c r="AE95" s="1759">
        <f t="shared" si="95"/>
        <v>0.2</v>
      </c>
      <c r="AF95" s="1759">
        <f t="shared" si="96"/>
        <v>0.2</v>
      </c>
      <c r="AG95" s="1759">
        <f t="shared" si="97"/>
        <v>0.2</v>
      </c>
      <c r="AH95" s="1759">
        <f t="shared" si="98"/>
        <v>0.2</v>
      </c>
      <c r="AI95" s="1759">
        <f t="shared" si="99"/>
        <v>0.2</v>
      </c>
      <c r="AJ95" s="1759">
        <f t="shared" si="100"/>
        <v>0.2</v>
      </c>
      <c r="AK95" s="1761">
        <f t="shared" si="101"/>
        <v>0.2</v>
      </c>
      <c r="AL95" s="1759">
        <f t="shared" si="102"/>
        <v>0.2</v>
      </c>
      <c r="AM95" s="1759">
        <f t="shared" si="102"/>
        <v>0.2</v>
      </c>
      <c r="AN95" s="1760">
        <f t="shared" si="107"/>
        <v>0</v>
      </c>
      <c r="AO95" s="1759">
        <f t="shared" si="108"/>
        <v>0</v>
      </c>
      <c r="AP95" s="1759">
        <f t="shared" si="109"/>
        <v>0</v>
      </c>
      <c r="AQ95" s="1620"/>
      <c r="AR95" s="1647" t="s">
        <v>353</v>
      </c>
      <c r="AS95" s="1693" t="s">
        <v>345</v>
      </c>
      <c r="AT95" s="2064" t="s">
        <v>354</v>
      </c>
      <c r="AU95" s="1623">
        <v>0.2</v>
      </c>
      <c r="AV95" s="1623">
        <v>0.2</v>
      </c>
      <c r="AW95" s="1623">
        <v>0.2</v>
      </c>
      <c r="AX95" s="1623">
        <v>0.2</v>
      </c>
      <c r="AY95" s="1623">
        <v>0.2</v>
      </c>
      <c r="AZ95" s="1623">
        <v>0.2</v>
      </c>
      <c r="BA95" s="1623">
        <v>0.2</v>
      </c>
      <c r="BB95" s="1624">
        <v>0.2</v>
      </c>
      <c r="BC95" s="1623">
        <v>0.2</v>
      </c>
      <c r="BD95" s="1623">
        <v>0.2</v>
      </c>
      <c r="BE95" s="1625"/>
      <c r="BF95" s="1623"/>
      <c r="BG95" s="1623"/>
      <c r="BI95" s="1647" t="s">
        <v>353</v>
      </c>
      <c r="BJ95" s="1693" t="s">
        <v>345</v>
      </c>
      <c r="BK95" s="2064" t="s">
        <v>354</v>
      </c>
      <c r="BL95" s="1623">
        <v>0.2</v>
      </c>
      <c r="BM95" s="1623">
        <v>0.2</v>
      </c>
      <c r="BN95" s="1623">
        <v>0.2</v>
      </c>
      <c r="BO95" s="1623">
        <v>0.2</v>
      </c>
      <c r="BP95" s="1623">
        <v>0.2</v>
      </c>
      <c r="BQ95" s="1623">
        <v>0.2</v>
      </c>
      <c r="BR95" s="1623">
        <v>0.2</v>
      </c>
      <c r="BS95" s="1624">
        <v>0.2</v>
      </c>
      <c r="BT95" s="1623">
        <v>0.2</v>
      </c>
      <c r="BU95" s="1623">
        <v>0.2</v>
      </c>
      <c r="BV95" s="1625"/>
      <c r="BW95" s="1623"/>
      <c r="BX95" s="1623"/>
    </row>
    <row r="96" spans="2:76" ht="13.5" hidden="1" customHeight="1">
      <c r="B96" s="1649">
        <f t="shared" si="70"/>
        <v>0</v>
      </c>
      <c r="C96" s="1650">
        <f t="shared" si="71"/>
        <v>0</v>
      </c>
      <c r="D96" s="1721"/>
      <c r="E96" s="1691"/>
      <c r="G96" s="1691">
        <f t="shared" si="72"/>
        <v>0</v>
      </c>
      <c r="H96" s="1691">
        <f t="shared" si="72"/>
        <v>0</v>
      </c>
      <c r="I96" s="1691"/>
      <c r="J96" s="1691"/>
      <c r="K96" s="1652">
        <f>IF(スコア表示!X96=0,0,1)</f>
        <v>0</v>
      </c>
      <c r="L96" s="1652">
        <f>IF(スコア表示!AB96=0,0,1)</f>
        <v>0</v>
      </c>
      <c r="N96" s="1723"/>
      <c r="O96" s="1723"/>
      <c r="P96" s="1652"/>
      <c r="Q96" s="1652"/>
      <c r="R96" s="1652">
        <f>IF(スコア入力!R96="EB",重み_対象外!D96,U96)</f>
        <v>0</v>
      </c>
      <c r="S96" s="1652">
        <f>IF(スコア入力!Y96="EB",重み_対象外!E96,V96)</f>
        <v>0</v>
      </c>
      <c r="T96" s="1560"/>
      <c r="U96" s="1650"/>
      <c r="V96" s="1650"/>
      <c r="W96" s="1560"/>
      <c r="X96" s="1652">
        <f t="shared" si="73"/>
        <v>0</v>
      </c>
      <c r="Y96" s="1652">
        <f t="shared" si="74"/>
        <v>0</v>
      </c>
      <c r="Z96" s="1644"/>
      <c r="AA96" s="1653">
        <f t="shared" si="92"/>
        <v>0</v>
      </c>
      <c r="AB96" s="1653" t="str">
        <f t="shared" si="103"/>
        <v xml:space="preserve"> Q</v>
      </c>
      <c r="AC96" s="1653">
        <f t="shared" si="93"/>
        <v>0</v>
      </c>
      <c r="AD96" s="1769">
        <f t="shared" si="94"/>
        <v>0</v>
      </c>
      <c r="AE96" s="1769">
        <f t="shared" si="95"/>
        <v>0</v>
      </c>
      <c r="AF96" s="1769">
        <f t="shared" si="96"/>
        <v>0</v>
      </c>
      <c r="AG96" s="1769">
        <f t="shared" si="97"/>
        <v>0</v>
      </c>
      <c r="AH96" s="1769">
        <f t="shared" si="98"/>
        <v>0</v>
      </c>
      <c r="AI96" s="1769">
        <f t="shared" si="99"/>
        <v>0</v>
      </c>
      <c r="AJ96" s="1769">
        <f t="shared" si="100"/>
        <v>0</v>
      </c>
      <c r="AK96" s="1770">
        <f t="shared" si="101"/>
        <v>0</v>
      </c>
      <c r="AL96" s="1769">
        <f t="shared" si="102"/>
        <v>0</v>
      </c>
      <c r="AM96" s="1769">
        <f t="shared" si="102"/>
        <v>0</v>
      </c>
      <c r="AN96" s="1771">
        <f t="shared" si="107"/>
        <v>0</v>
      </c>
      <c r="AO96" s="1769">
        <f t="shared" si="108"/>
        <v>0</v>
      </c>
      <c r="AP96" s="1769">
        <f t="shared" si="109"/>
        <v>0</v>
      </c>
      <c r="AQ96" s="1620"/>
      <c r="AR96" s="1647"/>
      <c r="AS96" s="1693" t="s">
        <v>276</v>
      </c>
      <c r="AT96" s="2064"/>
      <c r="AU96" s="1623"/>
      <c r="AV96" s="1623"/>
      <c r="AW96" s="1623"/>
      <c r="AX96" s="1623"/>
      <c r="AY96" s="1623"/>
      <c r="AZ96" s="1623"/>
      <c r="BA96" s="1623"/>
      <c r="BB96" s="1624"/>
      <c r="BC96" s="1623"/>
      <c r="BD96" s="1623"/>
      <c r="BE96" s="1625"/>
      <c r="BF96" s="1623"/>
      <c r="BG96" s="1623"/>
      <c r="BI96" s="1647"/>
      <c r="BJ96" s="1693" t="s">
        <v>276</v>
      </c>
      <c r="BK96" s="2064"/>
      <c r="BL96" s="1623"/>
      <c r="BM96" s="1623"/>
      <c r="BN96" s="1623"/>
      <c r="BO96" s="1623"/>
      <c r="BP96" s="1623"/>
      <c r="BQ96" s="1623"/>
      <c r="BR96" s="1623"/>
      <c r="BS96" s="1624"/>
      <c r="BT96" s="1623"/>
      <c r="BU96" s="1623"/>
      <c r="BV96" s="1625"/>
      <c r="BW96" s="1623"/>
      <c r="BX96" s="1623"/>
    </row>
    <row r="97" spans="1:77" s="1605" customFormat="1" ht="13.5" customHeight="1">
      <c r="A97"/>
      <c r="B97" s="1606">
        <f t="shared" si="70"/>
        <v>3</v>
      </c>
      <c r="C97" s="1657" t="str">
        <f t="shared" si="71"/>
        <v>対応性・更新性</v>
      </c>
      <c r="D97" s="2062">
        <f>IF(I$61=0,0,G97/I$61)</f>
        <v>0.30000000000000004</v>
      </c>
      <c r="E97" s="1743">
        <f>IF(J$61=0,0,H97/J$61)</f>
        <v>0</v>
      </c>
      <c r="F97"/>
      <c r="G97" s="1743">
        <f t="shared" si="72"/>
        <v>0.30000000000000004</v>
      </c>
      <c r="H97" s="1743">
        <f t="shared" si="72"/>
        <v>0</v>
      </c>
      <c r="I97" s="1743">
        <f>G98+G101+G102</f>
        <v>0.99999999999999978</v>
      </c>
      <c r="J97" s="1743">
        <f>H98+H101+H102</f>
        <v>0</v>
      </c>
      <c r="K97" s="1609">
        <f>IF(スコア表示!X97=0,0,1)</f>
        <v>1</v>
      </c>
      <c r="L97" s="1609">
        <f>IF(スコア表示!AB97=0,0,1)</f>
        <v>0</v>
      </c>
      <c r="M97"/>
      <c r="N97" s="1707">
        <f>IF(P$61=0,0,R97/P$61)</f>
        <v>0.30000000000000004</v>
      </c>
      <c r="O97" s="1707">
        <f>IF(Q$61=0,0,S97/Q$61)</f>
        <v>0</v>
      </c>
      <c r="P97" s="1710">
        <f>SUM(R98:R108)</f>
        <v>0.30000000000000004</v>
      </c>
      <c r="Q97" s="1710">
        <f>SUM(S98:S108)</f>
        <v>0</v>
      </c>
      <c r="R97" s="1609">
        <f>IF(スコア入力!R97="EB",重み_対象外!D97,U97)</f>
        <v>0.30000000000000004</v>
      </c>
      <c r="S97" s="1609">
        <f>IF(スコア入力!Y97="EB",重み_対象外!E97,V97)</f>
        <v>0</v>
      </c>
      <c r="T97" s="1560"/>
      <c r="U97" s="1607">
        <f>SUM(U98:U108)</f>
        <v>0.30000000000000004</v>
      </c>
      <c r="V97" s="1607">
        <f>SUM(V98:V108)</f>
        <v>0</v>
      </c>
      <c r="W97" s="1560"/>
      <c r="X97" s="1609">
        <f t="shared" si="73"/>
        <v>0.3</v>
      </c>
      <c r="Y97" s="1609">
        <v>1</v>
      </c>
      <c r="Z97" s="1642"/>
      <c r="AA97" s="1606">
        <f t="shared" si="92"/>
        <v>3</v>
      </c>
      <c r="AB97" s="1606" t="str">
        <f t="shared" si="103"/>
        <v xml:space="preserve"> Q2</v>
      </c>
      <c r="AC97" s="1606" t="str">
        <f t="shared" si="93"/>
        <v>対応性・更新性</v>
      </c>
      <c r="AD97" s="1756">
        <f t="shared" si="94"/>
        <v>0.3</v>
      </c>
      <c r="AE97" s="1756">
        <f t="shared" si="95"/>
        <v>0.3</v>
      </c>
      <c r="AF97" s="1756">
        <f t="shared" si="96"/>
        <v>0.3</v>
      </c>
      <c r="AG97" s="1756">
        <f t="shared" si="97"/>
        <v>0.3</v>
      </c>
      <c r="AH97" s="1756">
        <f t="shared" si="98"/>
        <v>0.3</v>
      </c>
      <c r="AI97" s="1756">
        <f t="shared" si="99"/>
        <v>0.3</v>
      </c>
      <c r="AJ97" s="1756">
        <f t="shared" si="100"/>
        <v>0.3</v>
      </c>
      <c r="AK97" s="1768">
        <f t="shared" si="101"/>
        <v>0.3</v>
      </c>
      <c r="AL97" s="1756">
        <f t="shared" si="102"/>
        <v>0.3</v>
      </c>
      <c r="AM97" s="1756">
        <f t="shared" si="102"/>
        <v>0.3</v>
      </c>
      <c r="AN97" s="1758">
        <f t="shared" si="107"/>
        <v>0</v>
      </c>
      <c r="AO97" s="1756">
        <f t="shared" si="108"/>
        <v>0</v>
      </c>
      <c r="AP97" s="1756">
        <f t="shared" si="109"/>
        <v>0</v>
      </c>
      <c r="AQ97" s="1612"/>
      <c r="AR97" s="1641">
        <v>3</v>
      </c>
      <c r="AS97" s="1744" t="s">
        <v>318</v>
      </c>
      <c r="AT97" s="1787" t="s">
        <v>355</v>
      </c>
      <c r="AU97" s="1711">
        <v>0.3</v>
      </c>
      <c r="AV97" s="1711">
        <v>0.3</v>
      </c>
      <c r="AW97" s="1711">
        <v>0.3</v>
      </c>
      <c r="AX97" s="1711">
        <v>0.3</v>
      </c>
      <c r="AY97" s="1711">
        <v>0.3</v>
      </c>
      <c r="AZ97" s="1711">
        <v>0.3</v>
      </c>
      <c r="BA97" s="1711">
        <v>0.3</v>
      </c>
      <c r="BB97" s="2083">
        <v>0.3</v>
      </c>
      <c r="BC97" s="1711">
        <v>0.3</v>
      </c>
      <c r="BD97" s="1711">
        <v>0.3</v>
      </c>
      <c r="BE97" s="2063"/>
      <c r="BF97" s="1711"/>
      <c r="BG97" s="1711"/>
      <c r="BH97"/>
      <c r="BI97" s="1641">
        <v>3</v>
      </c>
      <c r="BJ97" s="1744" t="s">
        <v>318</v>
      </c>
      <c r="BK97" s="1787" t="s">
        <v>355</v>
      </c>
      <c r="BL97" s="1711">
        <v>0.3</v>
      </c>
      <c r="BM97" s="1711">
        <v>0.3</v>
      </c>
      <c r="BN97" s="1711">
        <v>0.3</v>
      </c>
      <c r="BO97" s="1711">
        <v>0.3</v>
      </c>
      <c r="BP97" s="1711">
        <v>0.3</v>
      </c>
      <c r="BQ97" s="1711">
        <v>0.3</v>
      </c>
      <c r="BR97" s="1711">
        <v>0.3</v>
      </c>
      <c r="BS97" s="2083">
        <v>0.3</v>
      </c>
      <c r="BT97" s="1711">
        <v>0.3</v>
      </c>
      <c r="BU97" s="1711">
        <v>0.3</v>
      </c>
      <c r="BV97" s="2063"/>
      <c r="BW97" s="1711"/>
      <c r="BX97" s="1711"/>
      <c r="BY97"/>
    </row>
    <row r="98" spans="1:77" ht="13.5" customHeight="1">
      <c r="B98" s="1613">
        <f t="shared" si="70"/>
        <v>3.1</v>
      </c>
      <c r="C98" s="1647" t="str">
        <f t="shared" si="71"/>
        <v>空間のゆとり</v>
      </c>
      <c r="D98" s="1716">
        <f>IF(I$97=0,0,G98/I$97)</f>
        <v>0.3</v>
      </c>
      <c r="E98" s="1691">
        <f>IF(J$97=0,0,H98/J$97)</f>
        <v>0</v>
      </c>
      <c r="G98" s="1691">
        <f t="shared" si="72"/>
        <v>0.29999999999999993</v>
      </c>
      <c r="H98" s="1691">
        <f t="shared" si="72"/>
        <v>0</v>
      </c>
      <c r="I98" s="1691">
        <f>SUM(G99:G100)</f>
        <v>1</v>
      </c>
      <c r="J98" s="1691">
        <f>SUM(H99:H100)</f>
        <v>0</v>
      </c>
      <c r="K98" s="1616">
        <f>IF(スコア表示!X98=0,0,1)</f>
        <v>1</v>
      </c>
      <c r="L98" s="1616">
        <f>IF(スコア表示!AB98=0,0,1)</f>
        <v>0</v>
      </c>
      <c r="N98" s="1713">
        <f>IF(P$97=0,0,P98/P$97)</f>
        <v>0.29999999999999993</v>
      </c>
      <c r="O98" s="1713">
        <f>IF(Q$97=0,0,Q98/Q$97)</f>
        <v>0</v>
      </c>
      <c r="P98" s="1616">
        <f>SUM(R99:R100)</f>
        <v>0.09</v>
      </c>
      <c r="Q98" s="1616">
        <f>SUM(S99:S100)</f>
        <v>0</v>
      </c>
      <c r="R98" s="1616">
        <f>IF(スコア入力!R98="EB",重み_対象外!D98,U98)</f>
        <v>0</v>
      </c>
      <c r="S98" s="1616">
        <f>IF(スコア入力!Y98="EB",重み_対象外!E98,V98)</f>
        <v>0</v>
      </c>
      <c r="T98" s="1560"/>
      <c r="U98" s="1607"/>
      <c r="V98" s="1607"/>
      <c r="W98" s="1560"/>
      <c r="X98" s="1616">
        <f t="shared" si="73"/>
        <v>0.3</v>
      </c>
      <c r="Y98" s="1616">
        <f t="shared" si="74"/>
        <v>0</v>
      </c>
      <c r="Z98" s="1644"/>
      <c r="AA98" s="1613">
        <f t="shared" si="92"/>
        <v>3.1</v>
      </c>
      <c r="AB98" s="1613" t="str">
        <f t="shared" si="103"/>
        <v xml:space="preserve"> Q2 3</v>
      </c>
      <c r="AC98" s="1613" t="str">
        <f t="shared" si="93"/>
        <v>空間のゆとり</v>
      </c>
      <c r="AD98" s="1759">
        <f t="shared" si="94"/>
        <v>0.3</v>
      </c>
      <c r="AE98" s="1759">
        <f t="shared" si="95"/>
        <v>0.3</v>
      </c>
      <c r="AF98" s="1759">
        <f t="shared" si="96"/>
        <v>0.3</v>
      </c>
      <c r="AG98" s="1759">
        <f t="shared" si="97"/>
        <v>0.3</v>
      </c>
      <c r="AH98" s="1759">
        <f t="shared" si="98"/>
        <v>0.3</v>
      </c>
      <c r="AI98" s="1759">
        <f t="shared" si="99"/>
        <v>0</v>
      </c>
      <c r="AJ98" s="1759">
        <f t="shared" si="100"/>
        <v>0</v>
      </c>
      <c r="AK98" s="1761">
        <f t="shared" si="101"/>
        <v>0.3</v>
      </c>
      <c r="AL98" s="1759">
        <f t="shared" si="102"/>
        <v>0.3</v>
      </c>
      <c r="AM98" s="1759">
        <f t="shared" si="102"/>
        <v>0.3</v>
      </c>
      <c r="AN98" s="1760">
        <f t="shared" si="107"/>
        <v>0.5</v>
      </c>
      <c r="AO98" s="1759">
        <f t="shared" si="108"/>
        <v>0.5</v>
      </c>
      <c r="AP98" s="1759">
        <f t="shared" si="109"/>
        <v>0.5</v>
      </c>
      <c r="AQ98" s="1620"/>
      <c r="AR98" s="1647">
        <v>3.1</v>
      </c>
      <c r="AS98" s="1693" t="s">
        <v>356</v>
      </c>
      <c r="AT98" s="1737" t="s">
        <v>757</v>
      </c>
      <c r="AU98" s="1623">
        <v>0.3</v>
      </c>
      <c r="AV98" s="1623">
        <v>0.3</v>
      </c>
      <c r="AW98" s="1623">
        <v>0.3</v>
      </c>
      <c r="AX98" s="1623">
        <v>0.3</v>
      </c>
      <c r="AY98" s="1623">
        <v>0.3</v>
      </c>
      <c r="AZ98" s="1623"/>
      <c r="BA98" s="1623"/>
      <c r="BB98" s="1624">
        <v>0.3</v>
      </c>
      <c r="BC98" s="1623">
        <v>0.3</v>
      </c>
      <c r="BD98" s="1623">
        <v>0.3</v>
      </c>
      <c r="BE98" s="1625">
        <v>0.5</v>
      </c>
      <c r="BF98" s="1623">
        <v>0.5</v>
      </c>
      <c r="BG98" s="1623">
        <v>0.5</v>
      </c>
      <c r="BI98" s="1647">
        <v>3.1</v>
      </c>
      <c r="BJ98" s="1693" t="s">
        <v>356</v>
      </c>
      <c r="BK98" s="1737" t="s">
        <v>757</v>
      </c>
      <c r="BL98" s="1623">
        <v>0.3</v>
      </c>
      <c r="BM98" s="1623">
        <v>0.3</v>
      </c>
      <c r="BN98" s="1623">
        <v>0.3</v>
      </c>
      <c r="BO98" s="1623">
        <v>0.3</v>
      </c>
      <c r="BP98" s="1623">
        <v>0.3</v>
      </c>
      <c r="BQ98" s="1623"/>
      <c r="BR98" s="1623"/>
      <c r="BS98" s="1624">
        <v>0.3</v>
      </c>
      <c r="BT98" s="1623">
        <v>0.3</v>
      </c>
      <c r="BU98" s="1623">
        <v>0.3</v>
      </c>
      <c r="BV98" s="1625">
        <v>0.5</v>
      </c>
      <c r="BW98" s="1623">
        <v>0.5</v>
      </c>
      <c r="BX98" s="1623">
        <v>0.5</v>
      </c>
    </row>
    <row r="99" spans="1:77" ht="13.5" customHeight="1">
      <c r="B99" s="1621" t="str">
        <f t="shared" si="70"/>
        <v>3.1.1</v>
      </c>
      <c r="C99" s="1614" t="str">
        <f t="shared" si="71"/>
        <v>階高のゆとり</v>
      </c>
      <c r="D99" s="1721">
        <f>IF(I$98&gt;0,G99/I$98,0)</f>
        <v>0.6</v>
      </c>
      <c r="E99" s="1691">
        <f>IF(J$98&gt;0,H99/J$98,0)</f>
        <v>0</v>
      </c>
      <c r="G99" s="1691">
        <f t="shared" si="72"/>
        <v>0.6</v>
      </c>
      <c r="H99" s="1691">
        <f t="shared" si="72"/>
        <v>0</v>
      </c>
      <c r="I99" s="1691"/>
      <c r="J99" s="1691"/>
      <c r="K99" s="1616">
        <f>IF(スコア表示!X99=0,0,1)</f>
        <v>1</v>
      </c>
      <c r="L99" s="1616">
        <f>IF(スコア表示!AB99=0,0,1)</f>
        <v>1</v>
      </c>
      <c r="N99" s="1708">
        <f>IF(P$98&gt;0,R99/P$98,0)</f>
        <v>0.6</v>
      </c>
      <c r="O99" s="1708">
        <f>IF(Q$98&gt;0,S99/Q$98,0)</f>
        <v>0</v>
      </c>
      <c r="P99" s="1616"/>
      <c r="Q99" s="1616"/>
      <c r="R99" s="1616">
        <f>IF(スコア入力!R99="EB",重み_対象外!D99,U99)</f>
        <v>5.3999999999999999E-2</v>
      </c>
      <c r="S99" s="1616">
        <f>IF(スコア入力!Y99="EB",重み_対象外!E99,V99)</f>
        <v>0</v>
      </c>
      <c r="T99" s="1560"/>
      <c r="U99" s="1614">
        <f>X$97*X$98*X99</f>
        <v>5.3999999999999999E-2</v>
      </c>
      <c r="V99" s="1614">
        <f>Y$97*Y$98*Y99</f>
        <v>0</v>
      </c>
      <c r="W99" s="1560"/>
      <c r="X99" s="1616">
        <f t="shared" si="73"/>
        <v>0.6</v>
      </c>
      <c r="Y99" s="1616">
        <f t="shared" si="74"/>
        <v>0</v>
      </c>
      <c r="Z99" s="1644"/>
      <c r="AA99" s="1613" t="str">
        <f t="shared" si="92"/>
        <v>3.1.1</v>
      </c>
      <c r="AB99" s="1613" t="str">
        <f t="shared" si="103"/>
        <v xml:space="preserve"> Q2 3.1</v>
      </c>
      <c r="AC99" s="1613" t="str">
        <f t="shared" si="93"/>
        <v>階高のゆとり</v>
      </c>
      <c r="AD99" s="1759">
        <f t="shared" si="94"/>
        <v>0.6</v>
      </c>
      <c r="AE99" s="1759">
        <f t="shared" si="95"/>
        <v>0.6</v>
      </c>
      <c r="AF99" s="1759">
        <f t="shared" si="96"/>
        <v>0.6</v>
      </c>
      <c r="AG99" s="1759">
        <f t="shared" si="97"/>
        <v>0.6</v>
      </c>
      <c r="AH99" s="1759">
        <f t="shared" si="98"/>
        <v>0.6</v>
      </c>
      <c r="AI99" s="1759">
        <f t="shared" si="99"/>
        <v>0</v>
      </c>
      <c r="AJ99" s="1759">
        <f t="shared" si="100"/>
        <v>0</v>
      </c>
      <c r="AK99" s="1761">
        <f t="shared" si="101"/>
        <v>0</v>
      </c>
      <c r="AL99" s="1759">
        <f t="shared" si="102"/>
        <v>0.6</v>
      </c>
      <c r="AM99" s="1759">
        <f t="shared" si="102"/>
        <v>0.6</v>
      </c>
      <c r="AN99" s="1760">
        <f t="shared" si="107"/>
        <v>0.6</v>
      </c>
      <c r="AO99" s="1759">
        <f t="shared" si="108"/>
        <v>0.6</v>
      </c>
      <c r="AP99" s="1759">
        <f t="shared" si="109"/>
        <v>0.6</v>
      </c>
      <c r="AQ99" s="1620"/>
      <c r="AR99" s="1647" t="s">
        <v>1538</v>
      </c>
      <c r="AS99" s="1693" t="s">
        <v>357</v>
      </c>
      <c r="AT99" s="2064" t="s">
        <v>358</v>
      </c>
      <c r="AU99" s="1623">
        <v>0.6</v>
      </c>
      <c r="AV99" s="1623">
        <v>0.6</v>
      </c>
      <c r="AW99" s="1623">
        <v>0.6</v>
      </c>
      <c r="AX99" s="1623">
        <v>0.6</v>
      </c>
      <c r="AY99" s="1623">
        <v>0.6</v>
      </c>
      <c r="AZ99" s="1623"/>
      <c r="BA99" s="1623"/>
      <c r="BB99" s="1624">
        <v>0</v>
      </c>
      <c r="BC99" s="1623">
        <v>0.6</v>
      </c>
      <c r="BD99" s="1623">
        <v>0.6</v>
      </c>
      <c r="BE99" s="1625">
        <v>0.6</v>
      </c>
      <c r="BF99" s="1623">
        <v>0.6</v>
      </c>
      <c r="BG99" s="1623">
        <v>0.6</v>
      </c>
      <c r="BI99" s="1647" t="s">
        <v>1538</v>
      </c>
      <c r="BJ99" s="1693" t="s">
        <v>357</v>
      </c>
      <c r="BK99" s="2064" t="s">
        <v>358</v>
      </c>
      <c r="BL99" s="1623">
        <v>0.6</v>
      </c>
      <c r="BM99" s="1623">
        <v>0.6</v>
      </c>
      <c r="BN99" s="1623">
        <v>0.6</v>
      </c>
      <c r="BO99" s="1623">
        <v>0.6</v>
      </c>
      <c r="BP99" s="1623">
        <v>0.6</v>
      </c>
      <c r="BQ99" s="1623"/>
      <c r="BR99" s="1623"/>
      <c r="BS99" s="1624">
        <v>0</v>
      </c>
      <c r="BT99" s="1623">
        <v>0.6</v>
      </c>
      <c r="BU99" s="1623">
        <v>0.6</v>
      </c>
      <c r="BV99" s="1625">
        <v>0.6</v>
      </c>
      <c r="BW99" s="1623">
        <v>0.6</v>
      </c>
      <c r="BX99" s="1623">
        <v>0.6</v>
      </c>
    </row>
    <row r="100" spans="1:77" ht="13.5" customHeight="1">
      <c r="B100" s="1621" t="str">
        <f t="shared" si="70"/>
        <v>3.1.2</v>
      </c>
      <c r="C100" s="1614" t="str">
        <f t="shared" si="71"/>
        <v>空間の形状・自由さ</v>
      </c>
      <c r="D100" s="1721">
        <f>IF(I$98&gt;0,G100/I$98,0)</f>
        <v>0.39999999999999997</v>
      </c>
      <c r="E100" s="1691">
        <f>IF(J$98&gt;0,H100/J$98,0)</f>
        <v>0</v>
      </c>
      <c r="G100" s="1691">
        <f t="shared" si="72"/>
        <v>0.39999999999999997</v>
      </c>
      <c r="H100" s="1691">
        <f t="shared" si="72"/>
        <v>0</v>
      </c>
      <c r="I100" s="1691"/>
      <c r="J100" s="1691"/>
      <c r="K100" s="1616">
        <f>IF(スコア表示!X100=0,0,1)</f>
        <v>1</v>
      </c>
      <c r="L100" s="1616">
        <f>IF(スコア表示!AB100=0,0,1)</f>
        <v>1</v>
      </c>
      <c r="N100" s="1708">
        <f>IF(P$98&gt;0,R100/P$98,0)</f>
        <v>0.39999999999999997</v>
      </c>
      <c r="O100" s="1708">
        <f>IF(Q$98&gt;0,S100/Q$98,0)</f>
        <v>0</v>
      </c>
      <c r="P100" s="1616"/>
      <c r="Q100" s="1616"/>
      <c r="R100" s="1616">
        <f>IF(スコア入力!R100="EB",重み_対象外!D100,U100)</f>
        <v>3.5999999999999997E-2</v>
      </c>
      <c r="S100" s="1616">
        <f>IF(スコア入力!Y100="EB",重み_対象外!E100,V100)</f>
        <v>0</v>
      </c>
      <c r="T100" s="1560"/>
      <c r="U100" s="1614">
        <f>X$97*X$98*X100</f>
        <v>3.5999999999999997E-2</v>
      </c>
      <c r="V100" s="1614">
        <f>Y$97*Y$98*Y100</f>
        <v>0</v>
      </c>
      <c r="W100" s="1560"/>
      <c r="X100" s="1616">
        <f t="shared" si="73"/>
        <v>0.39999999999999997</v>
      </c>
      <c r="Y100" s="1616">
        <f t="shared" si="74"/>
        <v>0</v>
      </c>
      <c r="Z100" s="1644"/>
      <c r="AA100" s="1613" t="str">
        <f t="shared" si="92"/>
        <v>3.1.2</v>
      </c>
      <c r="AB100" s="1613" t="str">
        <f t="shared" si="103"/>
        <v xml:space="preserve"> Q2 3.1</v>
      </c>
      <c r="AC100" s="1613" t="str">
        <f t="shared" si="93"/>
        <v>空間の形状・自由さ</v>
      </c>
      <c r="AD100" s="1759">
        <f t="shared" si="94"/>
        <v>0.4</v>
      </c>
      <c r="AE100" s="1759">
        <f t="shared" si="95"/>
        <v>0.4</v>
      </c>
      <c r="AF100" s="1759">
        <f t="shared" si="96"/>
        <v>0.4</v>
      </c>
      <c r="AG100" s="1759">
        <f t="shared" si="97"/>
        <v>0.4</v>
      </c>
      <c r="AH100" s="1759">
        <f t="shared" si="98"/>
        <v>0.4</v>
      </c>
      <c r="AI100" s="1759">
        <f t="shared" si="99"/>
        <v>0</v>
      </c>
      <c r="AJ100" s="1759">
        <f t="shared" si="100"/>
        <v>0</v>
      </c>
      <c r="AK100" s="1761">
        <f t="shared" si="101"/>
        <v>1</v>
      </c>
      <c r="AL100" s="1759">
        <f t="shared" si="102"/>
        <v>0.4</v>
      </c>
      <c r="AM100" s="1759">
        <f t="shared" si="102"/>
        <v>0.4</v>
      </c>
      <c r="AN100" s="1760">
        <f t="shared" si="107"/>
        <v>0.4</v>
      </c>
      <c r="AO100" s="1759">
        <f t="shared" si="108"/>
        <v>0.4</v>
      </c>
      <c r="AP100" s="1759">
        <f t="shared" si="109"/>
        <v>0.4</v>
      </c>
      <c r="AQ100" s="1620"/>
      <c r="AR100" s="1647" t="s">
        <v>1539</v>
      </c>
      <c r="AS100" s="1693" t="s">
        <v>357</v>
      </c>
      <c r="AT100" s="2064" t="s">
        <v>359</v>
      </c>
      <c r="AU100" s="1623">
        <v>0.4</v>
      </c>
      <c r="AV100" s="1623">
        <v>0.4</v>
      </c>
      <c r="AW100" s="1623">
        <v>0.4</v>
      </c>
      <c r="AX100" s="1623">
        <v>0.4</v>
      </c>
      <c r="AY100" s="1623">
        <v>0.4</v>
      </c>
      <c r="AZ100" s="1623"/>
      <c r="BA100" s="1623"/>
      <c r="BB100" s="1624">
        <v>1</v>
      </c>
      <c r="BC100" s="1623">
        <v>0.4</v>
      </c>
      <c r="BD100" s="1623">
        <v>0.4</v>
      </c>
      <c r="BE100" s="1625">
        <v>0.4</v>
      </c>
      <c r="BF100" s="1623">
        <v>0.4</v>
      </c>
      <c r="BG100" s="1623">
        <v>0.4</v>
      </c>
      <c r="BI100" s="1647" t="s">
        <v>1539</v>
      </c>
      <c r="BJ100" s="1693" t="s">
        <v>357</v>
      </c>
      <c r="BK100" s="2064" t="s">
        <v>359</v>
      </c>
      <c r="BL100" s="1623">
        <v>0.4</v>
      </c>
      <c r="BM100" s="1623">
        <v>0.4</v>
      </c>
      <c r="BN100" s="1623">
        <v>0.4</v>
      </c>
      <c r="BO100" s="1623">
        <v>0.4</v>
      </c>
      <c r="BP100" s="1623">
        <v>0.4</v>
      </c>
      <c r="BQ100" s="1623"/>
      <c r="BR100" s="1623"/>
      <c r="BS100" s="1624">
        <v>1</v>
      </c>
      <c r="BT100" s="1623">
        <v>0.4</v>
      </c>
      <c r="BU100" s="1623">
        <v>0.4</v>
      </c>
      <c r="BV100" s="1625">
        <v>0.4</v>
      </c>
      <c r="BW100" s="1623">
        <v>0.4</v>
      </c>
      <c r="BX100" s="1623">
        <v>0.4</v>
      </c>
    </row>
    <row r="101" spans="1:77" ht="13.5" customHeight="1">
      <c r="B101" s="1613">
        <f t="shared" si="70"/>
        <v>3.2</v>
      </c>
      <c r="C101" s="1647" t="str">
        <f t="shared" si="71"/>
        <v>荷重のゆとり</v>
      </c>
      <c r="D101" s="1716">
        <f>IF(I$97=0,0,G101/I$97)</f>
        <v>0.3</v>
      </c>
      <c r="E101" s="1691">
        <f>IF(J$97=0,0,H101/J$97)</f>
        <v>0</v>
      </c>
      <c r="G101" s="1691">
        <f t="shared" si="72"/>
        <v>0.29999999999999993</v>
      </c>
      <c r="H101" s="1691">
        <f t="shared" si="72"/>
        <v>0</v>
      </c>
      <c r="I101" s="1691"/>
      <c r="J101" s="1691"/>
      <c r="K101" s="1616">
        <f>IF(スコア表示!X101=0,0,1)</f>
        <v>1</v>
      </c>
      <c r="L101" s="1616">
        <f>IF(スコア表示!AB101=0,0,1)</f>
        <v>1</v>
      </c>
      <c r="N101" s="1713">
        <f>IF(P$97=0,0,R101/P$97)</f>
        <v>0.29999999999999993</v>
      </c>
      <c r="O101" s="1713">
        <f>IF(Q$97=0,0,S101/Q$97)</f>
        <v>0</v>
      </c>
      <c r="P101" s="1724"/>
      <c r="Q101" s="1724"/>
      <c r="R101" s="1616">
        <f>IF(スコア入力!R101="EB",重み_対象外!D101,U101)</f>
        <v>0.09</v>
      </c>
      <c r="S101" s="1616">
        <f>IF(スコア入力!Y101="EB",重み_対象外!E101,V101)</f>
        <v>0</v>
      </c>
      <c r="T101" s="1560"/>
      <c r="U101" s="1614">
        <f>X$97*X101</f>
        <v>0.09</v>
      </c>
      <c r="V101" s="1614">
        <f>Y$97*Y101</f>
        <v>0</v>
      </c>
      <c r="W101" s="1560"/>
      <c r="X101" s="1616">
        <f t="shared" si="73"/>
        <v>0.3</v>
      </c>
      <c r="Y101" s="1616">
        <f t="shared" si="74"/>
        <v>0</v>
      </c>
      <c r="Z101" s="1644"/>
      <c r="AA101" s="1613">
        <f t="shared" si="92"/>
        <v>3.2</v>
      </c>
      <c r="AB101" s="1613" t="str">
        <f t="shared" si="103"/>
        <v xml:space="preserve"> Q2 3</v>
      </c>
      <c r="AC101" s="1613" t="str">
        <f t="shared" si="93"/>
        <v>荷重のゆとり</v>
      </c>
      <c r="AD101" s="1759">
        <f t="shared" si="94"/>
        <v>0.3</v>
      </c>
      <c r="AE101" s="1759">
        <f t="shared" si="95"/>
        <v>0.3</v>
      </c>
      <c r="AF101" s="1759">
        <f t="shared" si="96"/>
        <v>0.3</v>
      </c>
      <c r="AG101" s="1759">
        <f t="shared" si="97"/>
        <v>0.3</v>
      </c>
      <c r="AH101" s="1759">
        <f t="shared" si="98"/>
        <v>0.3</v>
      </c>
      <c r="AI101" s="1759">
        <f t="shared" si="99"/>
        <v>0</v>
      </c>
      <c r="AJ101" s="1759">
        <f t="shared" si="100"/>
        <v>0</v>
      </c>
      <c r="AK101" s="1761">
        <f t="shared" si="101"/>
        <v>0.3</v>
      </c>
      <c r="AL101" s="1759">
        <f t="shared" si="102"/>
        <v>0.3</v>
      </c>
      <c r="AM101" s="1759">
        <f t="shared" si="102"/>
        <v>0.3</v>
      </c>
      <c r="AN101" s="1760">
        <f t="shared" si="107"/>
        <v>0.5</v>
      </c>
      <c r="AO101" s="1759">
        <f t="shared" si="108"/>
        <v>0.5</v>
      </c>
      <c r="AP101" s="1759">
        <f t="shared" si="109"/>
        <v>0.5</v>
      </c>
      <c r="AQ101" s="1620"/>
      <c r="AR101" s="1647">
        <v>3.2</v>
      </c>
      <c r="AS101" s="1693" t="s">
        <v>356</v>
      </c>
      <c r="AT101" s="1737" t="s">
        <v>761</v>
      </c>
      <c r="AU101" s="1623">
        <v>0.3</v>
      </c>
      <c r="AV101" s="1623">
        <v>0.3</v>
      </c>
      <c r="AW101" s="1623">
        <v>0.3</v>
      </c>
      <c r="AX101" s="1623">
        <v>0.3</v>
      </c>
      <c r="AY101" s="1623">
        <v>0.3</v>
      </c>
      <c r="AZ101" s="1623"/>
      <c r="BA101" s="1623"/>
      <c r="BB101" s="1624">
        <v>0.3</v>
      </c>
      <c r="BC101" s="1623">
        <v>0.3</v>
      </c>
      <c r="BD101" s="1623">
        <v>0.3</v>
      </c>
      <c r="BE101" s="1625">
        <v>0.5</v>
      </c>
      <c r="BF101" s="1623">
        <v>0.5</v>
      </c>
      <c r="BG101" s="1623">
        <v>0.5</v>
      </c>
      <c r="BI101" s="1647">
        <v>3.2</v>
      </c>
      <c r="BJ101" s="1693" t="s">
        <v>356</v>
      </c>
      <c r="BK101" s="1737" t="s">
        <v>761</v>
      </c>
      <c r="BL101" s="1623">
        <v>0.3</v>
      </c>
      <c r="BM101" s="1623">
        <v>0.3</v>
      </c>
      <c r="BN101" s="1623">
        <v>0.3</v>
      </c>
      <c r="BO101" s="1623">
        <v>0.3</v>
      </c>
      <c r="BP101" s="1623">
        <v>0.3</v>
      </c>
      <c r="BQ101" s="1623"/>
      <c r="BR101" s="1623"/>
      <c r="BS101" s="1624">
        <v>0.3</v>
      </c>
      <c r="BT101" s="1623">
        <v>0.3</v>
      </c>
      <c r="BU101" s="1623">
        <v>0.3</v>
      </c>
      <c r="BV101" s="1625">
        <v>0.5</v>
      </c>
      <c r="BW101" s="1623">
        <v>0.5</v>
      </c>
      <c r="BX101" s="1623">
        <v>0.5</v>
      </c>
    </row>
    <row r="102" spans="1:77" ht="13.5" customHeight="1">
      <c r="B102" s="1613">
        <f t="shared" si="70"/>
        <v>3.3</v>
      </c>
      <c r="C102" s="1647" t="str">
        <f t="shared" si="71"/>
        <v>設備の更新性</v>
      </c>
      <c r="D102" s="1716">
        <f>IF(I$97=0,0,G102/I$97)</f>
        <v>0.39999999999999997</v>
      </c>
      <c r="E102" s="1691">
        <f>IF(J$97=0,0,H102/J$97)</f>
        <v>0</v>
      </c>
      <c r="G102" s="1691">
        <f t="shared" si="72"/>
        <v>0.39999999999999986</v>
      </c>
      <c r="H102" s="1691">
        <f t="shared" si="72"/>
        <v>0</v>
      </c>
      <c r="I102" s="1691">
        <f>SUM(G103:G108)</f>
        <v>1</v>
      </c>
      <c r="J102" s="1691">
        <f>SUM(H103:H108)</f>
        <v>0</v>
      </c>
      <c r="K102" s="1616">
        <f>IF(スコア表示!X102=0,0,1)</f>
        <v>1</v>
      </c>
      <c r="L102" s="1616">
        <f>IF(スコア表示!AB102=0,0,1)</f>
        <v>0</v>
      </c>
      <c r="N102" s="1713">
        <f>IF(P$97=0,0,P102/P$97)</f>
        <v>0.39999999999999986</v>
      </c>
      <c r="O102" s="1713">
        <f>IF(Q$97=0,0,Q102/Q$97)</f>
        <v>0</v>
      </c>
      <c r="P102" s="1616">
        <f>SUM(R103:R108)</f>
        <v>0.11999999999999997</v>
      </c>
      <c r="Q102" s="1616">
        <f>SUM(S103:S108)</f>
        <v>0</v>
      </c>
      <c r="R102" s="1616">
        <f>IF(スコア入力!R102="EB",重み_対象外!D102,U102)</f>
        <v>0</v>
      </c>
      <c r="S102" s="1616">
        <f>IF(スコア入力!Y102="EB",重み_対象外!E102,V102)</f>
        <v>0</v>
      </c>
      <c r="T102" s="1560"/>
      <c r="U102" s="1630"/>
      <c r="V102" s="1630"/>
      <c r="W102" s="1560"/>
      <c r="X102" s="1616">
        <f t="shared" si="73"/>
        <v>0.39999999999999997</v>
      </c>
      <c r="Y102" s="1616">
        <f t="shared" si="74"/>
        <v>0</v>
      </c>
      <c r="Z102" s="1644"/>
      <c r="AA102" s="1613">
        <f t="shared" si="92"/>
        <v>3.3</v>
      </c>
      <c r="AB102" s="1613" t="str">
        <f t="shared" si="103"/>
        <v xml:space="preserve"> Q2 3</v>
      </c>
      <c r="AC102" s="1613" t="str">
        <f t="shared" si="93"/>
        <v>設備の更新性</v>
      </c>
      <c r="AD102" s="1759">
        <f t="shared" si="94"/>
        <v>0.4</v>
      </c>
      <c r="AE102" s="1759">
        <f t="shared" si="95"/>
        <v>0.4</v>
      </c>
      <c r="AF102" s="1759">
        <f t="shared" si="96"/>
        <v>0.4</v>
      </c>
      <c r="AG102" s="1759">
        <f t="shared" si="97"/>
        <v>0.4</v>
      </c>
      <c r="AH102" s="1759">
        <f t="shared" si="98"/>
        <v>0.4</v>
      </c>
      <c r="AI102" s="1759">
        <f t="shared" si="99"/>
        <v>1</v>
      </c>
      <c r="AJ102" s="1759">
        <f t="shared" si="100"/>
        <v>1</v>
      </c>
      <c r="AK102" s="1761">
        <f t="shared" si="101"/>
        <v>0.4</v>
      </c>
      <c r="AL102" s="1759">
        <f t="shared" si="102"/>
        <v>0.4</v>
      </c>
      <c r="AM102" s="1759">
        <f t="shared" si="102"/>
        <v>0.4</v>
      </c>
      <c r="AN102" s="1760">
        <f t="shared" si="107"/>
        <v>0</v>
      </c>
      <c r="AO102" s="1759">
        <f t="shared" si="108"/>
        <v>0</v>
      </c>
      <c r="AP102" s="1759">
        <f t="shared" si="109"/>
        <v>0</v>
      </c>
      <c r="AQ102" s="1620"/>
      <c r="AR102" s="1647">
        <v>3.3</v>
      </c>
      <c r="AS102" s="1693" t="s">
        <v>356</v>
      </c>
      <c r="AT102" s="1737" t="s">
        <v>762</v>
      </c>
      <c r="AU102" s="1623">
        <v>0.4</v>
      </c>
      <c r="AV102" s="1623">
        <v>0.4</v>
      </c>
      <c r="AW102" s="1623">
        <v>0.4</v>
      </c>
      <c r="AX102" s="1623">
        <v>0.4</v>
      </c>
      <c r="AY102" s="1623">
        <v>0.4</v>
      </c>
      <c r="AZ102" s="1623">
        <v>1</v>
      </c>
      <c r="BA102" s="1623">
        <v>1</v>
      </c>
      <c r="BB102" s="1624">
        <v>0.4</v>
      </c>
      <c r="BC102" s="1623">
        <v>0.4</v>
      </c>
      <c r="BD102" s="1623">
        <v>0.4</v>
      </c>
      <c r="BE102" s="1625"/>
      <c r="BF102" s="1623"/>
      <c r="BG102" s="1623"/>
      <c r="BI102" s="1647">
        <v>3.3</v>
      </c>
      <c r="BJ102" s="1693" t="s">
        <v>356</v>
      </c>
      <c r="BK102" s="1737" t="s">
        <v>762</v>
      </c>
      <c r="BL102" s="1623">
        <v>0.4</v>
      </c>
      <c r="BM102" s="1623">
        <v>0.4</v>
      </c>
      <c r="BN102" s="1623">
        <v>0.4</v>
      </c>
      <c r="BO102" s="1623">
        <v>0.4</v>
      </c>
      <c r="BP102" s="1623">
        <v>0.4</v>
      </c>
      <c r="BQ102" s="1623">
        <v>1</v>
      </c>
      <c r="BR102" s="1623">
        <v>1</v>
      </c>
      <c r="BS102" s="1624">
        <v>0.4</v>
      </c>
      <c r="BT102" s="1623">
        <v>0.4</v>
      </c>
      <c r="BU102" s="1623">
        <v>0.4</v>
      </c>
      <c r="BV102" s="1625"/>
      <c r="BW102" s="1623"/>
      <c r="BX102" s="1623"/>
    </row>
    <row r="103" spans="1:77" ht="13.5" customHeight="1">
      <c r="B103" s="1621" t="str">
        <f t="shared" si="70"/>
        <v>3.3.1</v>
      </c>
      <c r="C103" s="1614" t="str">
        <f t="shared" si="71"/>
        <v>空調配管の更新性</v>
      </c>
      <c r="D103" s="1721">
        <f t="shared" ref="D103:E108" si="113">IF(I$102&gt;0,G103/I$102,0)</f>
        <v>0.2</v>
      </c>
      <c r="E103" s="1691">
        <f t="shared" si="113"/>
        <v>0</v>
      </c>
      <c r="G103" s="1691">
        <f t="shared" si="72"/>
        <v>0.2</v>
      </c>
      <c r="H103" s="1691">
        <f t="shared" si="72"/>
        <v>0</v>
      </c>
      <c r="I103" s="1691"/>
      <c r="J103" s="1691"/>
      <c r="K103" s="1616">
        <f>IF(スコア表示!X103=0,0,1)</f>
        <v>1</v>
      </c>
      <c r="L103" s="1616">
        <f>IF(スコア表示!AB103=0,0,1)</f>
        <v>0</v>
      </c>
      <c r="N103" s="1708">
        <f t="shared" ref="N103:O108" si="114">IF(P$102&gt;0,R103/P$102,0)</f>
        <v>0.2</v>
      </c>
      <c r="O103" s="1708">
        <f t="shared" si="114"/>
        <v>0</v>
      </c>
      <c r="P103" s="1616"/>
      <c r="Q103" s="1616"/>
      <c r="R103" s="1616">
        <f>IF(スコア入力!R103="EB",重み_対象外!D103,U103)</f>
        <v>2.3999999999999994E-2</v>
      </c>
      <c r="S103" s="1616">
        <f>IF(スコア入力!Y103="EB",重み_対象外!E103,V103)</f>
        <v>0</v>
      </c>
      <c r="T103" s="1560"/>
      <c r="U103" s="1614">
        <f t="shared" ref="U103:V108" si="115">X$97*X$102*X103</f>
        <v>2.3999999999999994E-2</v>
      </c>
      <c r="V103" s="1614">
        <f t="shared" si="115"/>
        <v>0</v>
      </c>
      <c r="W103" s="1560"/>
      <c r="X103" s="1616">
        <f t="shared" si="73"/>
        <v>0.19999999999999998</v>
      </c>
      <c r="Y103" s="1616">
        <f t="shared" si="74"/>
        <v>0</v>
      </c>
      <c r="Z103" s="1644"/>
      <c r="AA103" s="1613" t="str">
        <f t="shared" si="92"/>
        <v>3.3.1</v>
      </c>
      <c r="AB103" s="1613" t="str">
        <f t="shared" si="103"/>
        <v xml:space="preserve"> Q2 3.3</v>
      </c>
      <c r="AC103" s="1613" t="str">
        <f t="shared" si="93"/>
        <v>空調配管の更新性</v>
      </c>
      <c r="AD103" s="1759">
        <f t="shared" si="94"/>
        <v>0.2</v>
      </c>
      <c r="AE103" s="1759">
        <f t="shared" si="95"/>
        <v>0.2</v>
      </c>
      <c r="AF103" s="1759">
        <f t="shared" si="96"/>
        <v>0.2</v>
      </c>
      <c r="AG103" s="1759">
        <f t="shared" si="97"/>
        <v>0.2</v>
      </c>
      <c r="AH103" s="1759">
        <f t="shared" si="98"/>
        <v>0.2</v>
      </c>
      <c r="AI103" s="1759">
        <f t="shared" si="99"/>
        <v>0.2</v>
      </c>
      <c r="AJ103" s="1759">
        <f t="shared" si="100"/>
        <v>0.2</v>
      </c>
      <c r="AK103" s="1761">
        <f t="shared" si="101"/>
        <v>0.2</v>
      </c>
      <c r="AL103" s="1759">
        <f t="shared" si="102"/>
        <v>0.2</v>
      </c>
      <c r="AM103" s="1759">
        <f t="shared" si="102"/>
        <v>0.2</v>
      </c>
      <c r="AN103" s="1760">
        <f t="shared" si="107"/>
        <v>0</v>
      </c>
      <c r="AO103" s="1759">
        <f t="shared" si="108"/>
        <v>0</v>
      </c>
      <c r="AP103" s="1759">
        <f t="shared" si="109"/>
        <v>0</v>
      </c>
      <c r="AQ103" s="1620"/>
      <c r="AR103" s="1647" t="s">
        <v>1540</v>
      </c>
      <c r="AS103" s="1693" t="s">
        <v>360</v>
      </c>
      <c r="AT103" s="2064" t="s">
        <v>361</v>
      </c>
      <c r="AU103" s="1623">
        <v>0.2</v>
      </c>
      <c r="AV103" s="1623">
        <v>0.2</v>
      </c>
      <c r="AW103" s="1623">
        <v>0.2</v>
      </c>
      <c r="AX103" s="1623">
        <v>0.2</v>
      </c>
      <c r="AY103" s="1623">
        <v>0.2</v>
      </c>
      <c r="AZ103" s="1623">
        <v>0.2</v>
      </c>
      <c r="BA103" s="1623">
        <v>0.2</v>
      </c>
      <c r="BB103" s="1624">
        <v>0.2</v>
      </c>
      <c r="BC103" s="1623">
        <v>0.2</v>
      </c>
      <c r="BD103" s="1623">
        <v>0.2</v>
      </c>
      <c r="BE103" s="1625"/>
      <c r="BF103" s="1623"/>
      <c r="BG103" s="1623"/>
      <c r="BI103" s="1647" t="s">
        <v>1540</v>
      </c>
      <c r="BJ103" s="1693" t="s">
        <v>360</v>
      </c>
      <c r="BK103" s="2064" t="s">
        <v>361</v>
      </c>
      <c r="BL103" s="1623">
        <v>0.2</v>
      </c>
      <c r="BM103" s="1623">
        <v>0.2</v>
      </c>
      <c r="BN103" s="1623">
        <v>0.2</v>
      </c>
      <c r="BO103" s="1623">
        <v>0.2</v>
      </c>
      <c r="BP103" s="1623">
        <v>0.2</v>
      </c>
      <c r="BQ103" s="1623">
        <v>0.2</v>
      </c>
      <c r="BR103" s="1623">
        <v>0.2</v>
      </c>
      <c r="BS103" s="1624">
        <v>0.2</v>
      </c>
      <c r="BT103" s="1623">
        <v>0.2</v>
      </c>
      <c r="BU103" s="1623">
        <v>0.2</v>
      </c>
      <c r="BV103" s="1625"/>
      <c r="BW103" s="1623"/>
      <c r="BX103" s="1623"/>
    </row>
    <row r="104" spans="1:77" ht="13.5" customHeight="1">
      <c r="B104" s="1621" t="str">
        <f t="shared" si="70"/>
        <v>3.3.2</v>
      </c>
      <c r="C104" s="1614" t="str">
        <f t="shared" si="71"/>
        <v>給排水管の更新性</v>
      </c>
      <c r="D104" s="1721">
        <f t="shared" si="113"/>
        <v>0.2</v>
      </c>
      <c r="E104" s="1691">
        <f t="shared" si="113"/>
        <v>0</v>
      </c>
      <c r="G104" s="1691">
        <f t="shared" si="72"/>
        <v>0.2</v>
      </c>
      <c r="H104" s="1691">
        <f t="shared" si="72"/>
        <v>0</v>
      </c>
      <c r="I104" s="1691"/>
      <c r="J104" s="1691"/>
      <c r="K104" s="1616">
        <f>IF(スコア表示!X104=0,0,1)</f>
        <v>1</v>
      </c>
      <c r="L104" s="1616">
        <f>IF(スコア表示!AB104=0,0,1)</f>
        <v>0</v>
      </c>
      <c r="N104" s="1708">
        <f t="shared" si="114"/>
        <v>0.2</v>
      </c>
      <c r="O104" s="1708">
        <f t="shared" si="114"/>
        <v>0</v>
      </c>
      <c r="P104" s="1616"/>
      <c r="Q104" s="1616"/>
      <c r="R104" s="1616">
        <f>IF(スコア入力!R104="EB",重み_対象外!D104,U104)</f>
        <v>2.3999999999999994E-2</v>
      </c>
      <c r="S104" s="1616">
        <f>IF(スコア入力!Y104="EB",重み_対象外!E104,V104)</f>
        <v>0</v>
      </c>
      <c r="T104" s="1560"/>
      <c r="U104" s="1614">
        <f t="shared" si="115"/>
        <v>2.3999999999999994E-2</v>
      </c>
      <c r="V104" s="1614">
        <f t="shared" si="115"/>
        <v>0</v>
      </c>
      <c r="W104" s="1560"/>
      <c r="X104" s="1616">
        <f t="shared" si="73"/>
        <v>0.19999999999999998</v>
      </c>
      <c r="Y104" s="1616">
        <f t="shared" si="74"/>
        <v>0</v>
      </c>
      <c r="Z104" s="1644"/>
      <c r="AA104" s="1613" t="str">
        <f t="shared" si="92"/>
        <v>3.3.2</v>
      </c>
      <c r="AB104" s="1613" t="str">
        <f t="shared" si="103"/>
        <v xml:space="preserve"> Q2 3.3</v>
      </c>
      <c r="AC104" s="1613" t="str">
        <f t="shared" si="93"/>
        <v>給排水管の更新性</v>
      </c>
      <c r="AD104" s="1759">
        <f t="shared" si="94"/>
        <v>0.2</v>
      </c>
      <c r="AE104" s="1759">
        <f t="shared" si="95"/>
        <v>0.2</v>
      </c>
      <c r="AF104" s="1759">
        <f t="shared" si="96"/>
        <v>0.2</v>
      </c>
      <c r="AG104" s="1759">
        <f t="shared" si="97"/>
        <v>0.2</v>
      </c>
      <c r="AH104" s="1759">
        <f t="shared" si="98"/>
        <v>0.2</v>
      </c>
      <c r="AI104" s="1759">
        <f t="shared" si="99"/>
        <v>0.2</v>
      </c>
      <c r="AJ104" s="1759">
        <f t="shared" si="100"/>
        <v>0.2</v>
      </c>
      <c r="AK104" s="1761">
        <f t="shared" si="101"/>
        <v>0.2</v>
      </c>
      <c r="AL104" s="1759">
        <f t="shared" si="102"/>
        <v>0.2</v>
      </c>
      <c r="AM104" s="1759">
        <f t="shared" si="102"/>
        <v>0.2</v>
      </c>
      <c r="AN104" s="1760">
        <f t="shared" si="107"/>
        <v>0</v>
      </c>
      <c r="AO104" s="1759">
        <f t="shared" si="108"/>
        <v>0</v>
      </c>
      <c r="AP104" s="1759">
        <f t="shared" si="109"/>
        <v>0</v>
      </c>
      <c r="AQ104" s="1620"/>
      <c r="AR104" s="1647" t="s">
        <v>1542</v>
      </c>
      <c r="AS104" s="1693" t="s">
        <v>360</v>
      </c>
      <c r="AT104" s="2064" t="s">
        <v>362</v>
      </c>
      <c r="AU104" s="1623">
        <v>0.2</v>
      </c>
      <c r="AV104" s="1623">
        <v>0.2</v>
      </c>
      <c r="AW104" s="1623">
        <v>0.2</v>
      </c>
      <c r="AX104" s="1623">
        <v>0.2</v>
      </c>
      <c r="AY104" s="1623">
        <v>0.2</v>
      </c>
      <c r="AZ104" s="1623">
        <v>0.2</v>
      </c>
      <c r="BA104" s="1623">
        <v>0.2</v>
      </c>
      <c r="BB104" s="1624">
        <v>0.2</v>
      </c>
      <c r="BC104" s="1623">
        <v>0.2</v>
      </c>
      <c r="BD104" s="1623">
        <v>0.2</v>
      </c>
      <c r="BE104" s="1625"/>
      <c r="BF104" s="1623"/>
      <c r="BG104" s="1623"/>
      <c r="BI104" s="1647" t="s">
        <v>1542</v>
      </c>
      <c r="BJ104" s="1693" t="s">
        <v>360</v>
      </c>
      <c r="BK104" s="2064" t="s">
        <v>362</v>
      </c>
      <c r="BL104" s="1623">
        <v>0.2</v>
      </c>
      <c r="BM104" s="1623">
        <v>0.2</v>
      </c>
      <c r="BN104" s="1623">
        <v>0.2</v>
      </c>
      <c r="BO104" s="1623">
        <v>0.2</v>
      </c>
      <c r="BP104" s="1623">
        <v>0.2</v>
      </c>
      <c r="BQ104" s="1623">
        <v>0.2</v>
      </c>
      <c r="BR104" s="1623">
        <v>0.2</v>
      </c>
      <c r="BS104" s="1624">
        <v>0.2</v>
      </c>
      <c r="BT104" s="1623">
        <v>0.2</v>
      </c>
      <c r="BU104" s="1623">
        <v>0.2</v>
      </c>
      <c r="BV104" s="1625"/>
      <c r="BW104" s="1623"/>
      <c r="BX104" s="1623"/>
    </row>
    <row r="105" spans="1:77" ht="13.5" customHeight="1">
      <c r="B105" s="1621" t="str">
        <f t="shared" ref="B105:B140" si="116">AA105</f>
        <v>3.3.3</v>
      </c>
      <c r="C105" s="1614" t="str">
        <f t="shared" ref="C105:C140" si="117">AC105</f>
        <v>電気配線の更新性</v>
      </c>
      <c r="D105" s="1721">
        <f t="shared" si="113"/>
        <v>0.1</v>
      </c>
      <c r="E105" s="1691">
        <f t="shared" si="113"/>
        <v>0</v>
      </c>
      <c r="G105" s="1691">
        <f t="shared" ref="G105:H140" si="118">K105*N105</f>
        <v>0.1</v>
      </c>
      <c r="H105" s="1691">
        <f t="shared" si="118"/>
        <v>0</v>
      </c>
      <c r="I105" s="1691"/>
      <c r="J105" s="1691"/>
      <c r="K105" s="1616">
        <f>IF(スコア表示!X105=0,0,1)</f>
        <v>1</v>
      </c>
      <c r="L105" s="1616">
        <f>IF(スコア表示!AB105=0,0,1)</f>
        <v>0</v>
      </c>
      <c r="N105" s="1708">
        <f t="shared" si="114"/>
        <v>0.1</v>
      </c>
      <c r="O105" s="1708">
        <f t="shared" si="114"/>
        <v>0</v>
      </c>
      <c r="P105" s="1616"/>
      <c r="Q105" s="1616"/>
      <c r="R105" s="1616">
        <f>IF(スコア入力!R105="EB",重み_対象外!D105,U105)</f>
        <v>1.1999999999999997E-2</v>
      </c>
      <c r="S105" s="1616">
        <f>IF(スコア入力!Y105="EB",重み_対象外!E105,V105)</f>
        <v>0</v>
      </c>
      <c r="T105" s="1560"/>
      <c r="U105" s="1614">
        <f t="shared" si="115"/>
        <v>1.1999999999999997E-2</v>
      </c>
      <c r="V105" s="1614">
        <f t="shared" si="115"/>
        <v>0</v>
      </c>
      <c r="W105" s="1560"/>
      <c r="X105" s="1616">
        <f t="shared" si="73"/>
        <v>9.9999999999999992E-2</v>
      </c>
      <c r="Y105" s="1616">
        <f t="shared" si="74"/>
        <v>0</v>
      </c>
      <c r="Z105" s="1644"/>
      <c r="AA105" s="1613" t="str">
        <f t="shared" si="92"/>
        <v>3.3.3</v>
      </c>
      <c r="AB105" s="1613" t="str">
        <f t="shared" si="103"/>
        <v xml:space="preserve"> Q2 3.3</v>
      </c>
      <c r="AC105" s="1613" t="str">
        <f t="shared" si="93"/>
        <v>電気配線の更新性</v>
      </c>
      <c r="AD105" s="1759">
        <f t="shared" si="94"/>
        <v>0.1</v>
      </c>
      <c r="AE105" s="1759">
        <f t="shared" si="95"/>
        <v>0.1</v>
      </c>
      <c r="AF105" s="1759">
        <f t="shared" si="96"/>
        <v>0.1</v>
      </c>
      <c r="AG105" s="1759">
        <f t="shared" si="97"/>
        <v>0.1</v>
      </c>
      <c r="AH105" s="1759">
        <f t="shared" si="98"/>
        <v>0.1</v>
      </c>
      <c r="AI105" s="1759">
        <f t="shared" si="99"/>
        <v>0.1</v>
      </c>
      <c r="AJ105" s="1759">
        <f t="shared" si="100"/>
        <v>0.1</v>
      </c>
      <c r="AK105" s="1761">
        <f t="shared" si="101"/>
        <v>0.1</v>
      </c>
      <c r="AL105" s="1759">
        <f t="shared" si="102"/>
        <v>0.1</v>
      </c>
      <c r="AM105" s="1759">
        <f t="shared" si="102"/>
        <v>0.1</v>
      </c>
      <c r="AN105" s="1760">
        <f t="shared" si="107"/>
        <v>0</v>
      </c>
      <c r="AO105" s="1759">
        <f t="shared" si="108"/>
        <v>0</v>
      </c>
      <c r="AP105" s="1759">
        <f t="shared" si="109"/>
        <v>0</v>
      </c>
      <c r="AQ105" s="1620"/>
      <c r="AR105" s="1647" t="s">
        <v>1544</v>
      </c>
      <c r="AS105" s="1693" t="s">
        <v>360</v>
      </c>
      <c r="AT105" s="2064" t="s">
        <v>363</v>
      </c>
      <c r="AU105" s="1623">
        <v>0.1</v>
      </c>
      <c r="AV105" s="1623">
        <v>0.1</v>
      </c>
      <c r="AW105" s="1623">
        <v>0.1</v>
      </c>
      <c r="AX105" s="1623">
        <v>0.1</v>
      </c>
      <c r="AY105" s="1623">
        <v>0.1</v>
      </c>
      <c r="AZ105" s="1623">
        <v>0.1</v>
      </c>
      <c r="BA105" s="1623">
        <v>0.1</v>
      </c>
      <c r="BB105" s="1624">
        <v>0.1</v>
      </c>
      <c r="BC105" s="1623">
        <v>0.1</v>
      </c>
      <c r="BD105" s="1623">
        <v>0.1</v>
      </c>
      <c r="BE105" s="1625"/>
      <c r="BF105" s="1623"/>
      <c r="BG105" s="1623"/>
      <c r="BI105" s="1647" t="s">
        <v>1544</v>
      </c>
      <c r="BJ105" s="1693" t="s">
        <v>360</v>
      </c>
      <c r="BK105" s="2064" t="s">
        <v>363</v>
      </c>
      <c r="BL105" s="1623">
        <v>0.1</v>
      </c>
      <c r="BM105" s="1623">
        <v>0.1</v>
      </c>
      <c r="BN105" s="1623">
        <v>0.1</v>
      </c>
      <c r="BO105" s="1623">
        <v>0.1</v>
      </c>
      <c r="BP105" s="1623">
        <v>0.1</v>
      </c>
      <c r="BQ105" s="1623">
        <v>0.1</v>
      </c>
      <c r="BR105" s="1623">
        <v>0.1</v>
      </c>
      <c r="BS105" s="1624">
        <v>0.1</v>
      </c>
      <c r="BT105" s="1623">
        <v>0.1</v>
      </c>
      <c r="BU105" s="1623">
        <v>0.1</v>
      </c>
      <c r="BV105" s="1625"/>
      <c r="BW105" s="1623"/>
      <c r="BX105" s="1623"/>
    </row>
    <row r="106" spans="1:77" ht="13.5" customHeight="1">
      <c r="B106" s="1621" t="str">
        <f t="shared" si="116"/>
        <v>3.3.4</v>
      </c>
      <c r="C106" s="1614" t="str">
        <f t="shared" si="117"/>
        <v>通信配線の更新性</v>
      </c>
      <c r="D106" s="1721">
        <f t="shared" si="113"/>
        <v>0.1</v>
      </c>
      <c r="E106" s="1691">
        <f t="shared" si="113"/>
        <v>0</v>
      </c>
      <c r="G106" s="1691">
        <f t="shared" si="118"/>
        <v>0.1</v>
      </c>
      <c r="H106" s="1691">
        <f t="shared" si="118"/>
        <v>0</v>
      </c>
      <c r="I106" s="1691"/>
      <c r="J106" s="1691"/>
      <c r="K106" s="1616">
        <f>IF(スコア表示!X106=0,0,1)</f>
        <v>1</v>
      </c>
      <c r="L106" s="1616">
        <f>IF(スコア表示!AB106=0,0,1)</f>
        <v>0</v>
      </c>
      <c r="N106" s="1708">
        <f t="shared" si="114"/>
        <v>0.1</v>
      </c>
      <c r="O106" s="1708">
        <f t="shared" si="114"/>
        <v>0</v>
      </c>
      <c r="P106" s="1616"/>
      <c r="Q106" s="1616"/>
      <c r="R106" s="1616">
        <f>IF(スコア入力!R106="EB",重み_対象外!D106,U106)</f>
        <v>1.1999999999999997E-2</v>
      </c>
      <c r="S106" s="1616">
        <f>IF(スコア入力!Y106="EB",重み_対象外!E106,V106)</f>
        <v>0</v>
      </c>
      <c r="T106" s="1560"/>
      <c r="U106" s="1614">
        <f t="shared" si="115"/>
        <v>1.1999999999999997E-2</v>
      </c>
      <c r="V106" s="1614">
        <f t="shared" si="115"/>
        <v>0</v>
      </c>
      <c r="W106" s="1560"/>
      <c r="X106" s="1616">
        <f t="shared" si="73"/>
        <v>9.9999999999999992E-2</v>
      </c>
      <c r="Y106" s="1616">
        <f t="shared" si="74"/>
        <v>0</v>
      </c>
      <c r="Z106" s="1644"/>
      <c r="AA106" s="1613" t="str">
        <f t="shared" si="92"/>
        <v>3.3.4</v>
      </c>
      <c r="AB106" s="1613" t="str">
        <f t="shared" si="103"/>
        <v xml:space="preserve"> Q2 3.3</v>
      </c>
      <c r="AC106" s="1613" t="str">
        <f t="shared" si="93"/>
        <v>通信配線の更新性</v>
      </c>
      <c r="AD106" s="1759">
        <f t="shared" si="94"/>
        <v>0.1</v>
      </c>
      <c r="AE106" s="1759">
        <f t="shared" si="95"/>
        <v>0.1</v>
      </c>
      <c r="AF106" s="1759">
        <f t="shared" si="96"/>
        <v>0.1</v>
      </c>
      <c r="AG106" s="1759">
        <f t="shared" si="97"/>
        <v>0.1</v>
      </c>
      <c r="AH106" s="1759">
        <f t="shared" si="98"/>
        <v>0.1</v>
      </c>
      <c r="AI106" s="1759">
        <f t="shared" si="99"/>
        <v>0.1</v>
      </c>
      <c r="AJ106" s="1759">
        <f t="shared" si="100"/>
        <v>0.1</v>
      </c>
      <c r="AK106" s="1761">
        <f t="shared" si="101"/>
        <v>0.1</v>
      </c>
      <c r="AL106" s="1759">
        <f t="shared" si="102"/>
        <v>0.1</v>
      </c>
      <c r="AM106" s="1759">
        <f t="shared" si="102"/>
        <v>0.1</v>
      </c>
      <c r="AN106" s="1760">
        <f t="shared" si="107"/>
        <v>0</v>
      </c>
      <c r="AO106" s="1759">
        <f t="shared" si="108"/>
        <v>0</v>
      </c>
      <c r="AP106" s="1759">
        <f t="shared" si="109"/>
        <v>0</v>
      </c>
      <c r="AQ106" s="1620"/>
      <c r="AR106" s="1647" t="s">
        <v>1545</v>
      </c>
      <c r="AS106" s="1693" t="s">
        <v>360</v>
      </c>
      <c r="AT106" s="2064" t="s">
        <v>364</v>
      </c>
      <c r="AU106" s="1623">
        <v>0.1</v>
      </c>
      <c r="AV106" s="1623">
        <v>0.1</v>
      </c>
      <c r="AW106" s="1623">
        <v>0.1</v>
      </c>
      <c r="AX106" s="1623">
        <v>0.1</v>
      </c>
      <c r="AY106" s="1623">
        <v>0.1</v>
      </c>
      <c r="AZ106" s="1623">
        <v>0.1</v>
      </c>
      <c r="BA106" s="1623">
        <v>0.1</v>
      </c>
      <c r="BB106" s="1624">
        <v>0.1</v>
      </c>
      <c r="BC106" s="1623">
        <v>0.1</v>
      </c>
      <c r="BD106" s="1623">
        <v>0.1</v>
      </c>
      <c r="BE106" s="1625"/>
      <c r="BF106" s="1623"/>
      <c r="BG106" s="1623"/>
      <c r="BI106" s="1647" t="s">
        <v>1545</v>
      </c>
      <c r="BJ106" s="1693" t="s">
        <v>360</v>
      </c>
      <c r="BK106" s="2064" t="s">
        <v>364</v>
      </c>
      <c r="BL106" s="1623">
        <v>0.1</v>
      </c>
      <c r="BM106" s="1623">
        <v>0.1</v>
      </c>
      <c r="BN106" s="1623">
        <v>0.1</v>
      </c>
      <c r="BO106" s="1623">
        <v>0.1</v>
      </c>
      <c r="BP106" s="1623">
        <v>0.1</v>
      </c>
      <c r="BQ106" s="1623">
        <v>0.1</v>
      </c>
      <c r="BR106" s="1623">
        <v>0.1</v>
      </c>
      <c r="BS106" s="1624">
        <v>0.1</v>
      </c>
      <c r="BT106" s="1623">
        <v>0.1</v>
      </c>
      <c r="BU106" s="1623">
        <v>0.1</v>
      </c>
      <c r="BV106" s="1625"/>
      <c r="BW106" s="1623"/>
      <c r="BX106" s="1623"/>
    </row>
    <row r="107" spans="1:77" ht="13.5" customHeight="1">
      <c r="B107" s="1621" t="str">
        <f t="shared" si="116"/>
        <v>3.3.5</v>
      </c>
      <c r="C107" s="1614" t="str">
        <f t="shared" si="117"/>
        <v>設備機器の更新性</v>
      </c>
      <c r="D107" s="1721">
        <f t="shared" si="113"/>
        <v>0.2</v>
      </c>
      <c r="E107" s="1691">
        <f t="shared" si="113"/>
        <v>0</v>
      </c>
      <c r="G107" s="1691">
        <f t="shared" si="118"/>
        <v>0.2</v>
      </c>
      <c r="H107" s="1691">
        <f t="shared" si="118"/>
        <v>0</v>
      </c>
      <c r="I107" s="1691"/>
      <c r="J107" s="1691"/>
      <c r="K107" s="1616">
        <f>IF(スコア表示!X107=0,0,1)</f>
        <v>1</v>
      </c>
      <c r="L107" s="1616">
        <f>IF(スコア表示!AB107=0,0,1)</f>
        <v>0</v>
      </c>
      <c r="N107" s="1708">
        <f t="shared" si="114"/>
        <v>0.2</v>
      </c>
      <c r="O107" s="1708">
        <f t="shared" si="114"/>
        <v>0</v>
      </c>
      <c r="P107" s="1616"/>
      <c r="Q107" s="1616"/>
      <c r="R107" s="1616">
        <f>IF(スコア入力!R107="EB",重み_対象外!D107,U107)</f>
        <v>2.3999999999999994E-2</v>
      </c>
      <c r="S107" s="1616">
        <f>IF(スコア入力!Y107="EB",重み_対象外!E107,V107)</f>
        <v>0</v>
      </c>
      <c r="T107" s="1560"/>
      <c r="U107" s="1614">
        <f t="shared" si="115"/>
        <v>2.3999999999999994E-2</v>
      </c>
      <c r="V107" s="1614">
        <f t="shared" si="115"/>
        <v>0</v>
      </c>
      <c r="W107" s="1560"/>
      <c r="X107" s="1616">
        <f t="shared" si="73"/>
        <v>0.19999999999999998</v>
      </c>
      <c r="Y107" s="1616">
        <f t="shared" si="74"/>
        <v>0</v>
      </c>
      <c r="Z107" s="1644"/>
      <c r="AA107" s="1613" t="str">
        <f t="shared" si="92"/>
        <v>3.3.5</v>
      </c>
      <c r="AB107" s="1613" t="str">
        <f t="shared" si="103"/>
        <v xml:space="preserve"> Q2 3.3</v>
      </c>
      <c r="AC107" s="1613" t="str">
        <f t="shared" si="93"/>
        <v>設備機器の更新性</v>
      </c>
      <c r="AD107" s="1759">
        <f t="shared" si="94"/>
        <v>0.2</v>
      </c>
      <c r="AE107" s="1759">
        <f t="shared" si="95"/>
        <v>0.2</v>
      </c>
      <c r="AF107" s="1759">
        <f t="shared" si="96"/>
        <v>0.2</v>
      </c>
      <c r="AG107" s="1759">
        <f t="shared" si="97"/>
        <v>0.2</v>
      </c>
      <c r="AH107" s="1759">
        <f t="shared" si="98"/>
        <v>0.2</v>
      </c>
      <c r="AI107" s="1759">
        <f t="shared" si="99"/>
        <v>0.2</v>
      </c>
      <c r="AJ107" s="1759">
        <f t="shared" si="100"/>
        <v>0.2</v>
      </c>
      <c r="AK107" s="1761">
        <f t="shared" si="101"/>
        <v>0.2</v>
      </c>
      <c r="AL107" s="1759">
        <f t="shared" si="102"/>
        <v>0.2</v>
      </c>
      <c r="AM107" s="1759">
        <f t="shared" si="102"/>
        <v>0.2</v>
      </c>
      <c r="AN107" s="1760">
        <f t="shared" si="107"/>
        <v>0</v>
      </c>
      <c r="AO107" s="1759">
        <f t="shared" si="108"/>
        <v>0</v>
      </c>
      <c r="AP107" s="1759">
        <f t="shared" si="109"/>
        <v>0</v>
      </c>
      <c r="AQ107" s="1620"/>
      <c r="AR107" s="1647" t="s">
        <v>1547</v>
      </c>
      <c r="AS107" s="1693" t="s">
        <v>360</v>
      </c>
      <c r="AT107" s="2064" t="s">
        <v>365</v>
      </c>
      <c r="AU107" s="1623">
        <v>0.2</v>
      </c>
      <c r="AV107" s="1623">
        <v>0.2</v>
      </c>
      <c r="AW107" s="1623">
        <v>0.2</v>
      </c>
      <c r="AX107" s="1623">
        <v>0.2</v>
      </c>
      <c r="AY107" s="1623">
        <v>0.2</v>
      </c>
      <c r="AZ107" s="1623">
        <v>0.2</v>
      </c>
      <c r="BA107" s="1623">
        <v>0.2</v>
      </c>
      <c r="BB107" s="1624">
        <v>0.2</v>
      </c>
      <c r="BC107" s="1623">
        <v>0.2</v>
      </c>
      <c r="BD107" s="1623">
        <v>0.2</v>
      </c>
      <c r="BE107" s="1625"/>
      <c r="BF107" s="1623"/>
      <c r="BG107" s="1623"/>
      <c r="BI107" s="1647" t="s">
        <v>1547</v>
      </c>
      <c r="BJ107" s="1693" t="s">
        <v>360</v>
      </c>
      <c r="BK107" s="2064" t="s">
        <v>365</v>
      </c>
      <c r="BL107" s="1623">
        <v>0.2</v>
      </c>
      <c r="BM107" s="1623">
        <v>0.2</v>
      </c>
      <c r="BN107" s="1623">
        <v>0.2</v>
      </c>
      <c r="BO107" s="1623">
        <v>0.2</v>
      </c>
      <c r="BP107" s="1623">
        <v>0.2</v>
      </c>
      <c r="BQ107" s="1623">
        <v>0.2</v>
      </c>
      <c r="BR107" s="1623">
        <v>0.2</v>
      </c>
      <c r="BS107" s="1624">
        <v>0.2</v>
      </c>
      <c r="BT107" s="1623">
        <v>0.2</v>
      </c>
      <c r="BU107" s="1623">
        <v>0.2</v>
      </c>
      <c r="BV107" s="1625"/>
      <c r="BW107" s="1623"/>
      <c r="BX107" s="1623"/>
    </row>
    <row r="108" spans="1:77" ht="13.5" customHeight="1">
      <c r="B108" s="1621" t="str">
        <f t="shared" si="116"/>
        <v>3.3.6</v>
      </c>
      <c r="C108" s="1614" t="str">
        <f t="shared" si="117"/>
        <v>バックアップスペースの確保</v>
      </c>
      <c r="D108" s="1721">
        <f t="shared" si="113"/>
        <v>0.2</v>
      </c>
      <c r="E108" s="1691">
        <f t="shared" si="113"/>
        <v>0</v>
      </c>
      <c r="G108" s="1691">
        <f t="shared" si="118"/>
        <v>0.2</v>
      </c>
      <c r="H108" s="1691">
        <f t="shared" si="118"/>
        <v>0</v>
      </c>
      <c r="I108" s="1691"/>
      <c r="J108" s="1691"/>
      <c r="K108" s="1616">
        <f>IF(スコア表示!X108=0,0,1)</f>
        <v>1</v>
      </c>
      <c r="L108" s="1616">
        <f>IF(スコア表示!AB108=0,0,1)</f>
        <v>0</v>
      </c>
      <c r="N108" s="1708">
        <f t="shared" si="114"/>
        <v>0.2</v>
      </c>
      <c r="O108" s="1708">
        <f t="shared" si="114"/>
        <v>0</v>
      </c>
      <c r="P108" s="1616"/>
      <c r="Q108" s="1616"/>
      <c r="R108" s="1616">
        <f>IF(スコア入力!R108="EB",重み_対象外!D108,U108)</f>
        <v>2.3999999999999994E-2</v>
      </c>
      <c r="S108" s="1616">
        <f>IF(スコア入力!Y108="EB",重み_対象外!E108,V108)</f>
        <v>0</v>
      </c>
      <c r="T108" s="1560"/>
      <c r="U108" s="1614">
        <f t="shared" si="115"/>
        <v>2.3999999999999994E-2</v>
      </c>
      <c r="V108" s="1614">
        <f t="shared" si="115"/>
        <v>0</v>
      </c>
      <c r="W108" s="1560"/>
      <c r="X108" s="1616">
        <f t="shared" si="73"/>
        <v>0.19999999999999998</v>
      </c>
      <c r="Y108" s="1616">
        <f t="shared" si="74"/>
        <v>0</v>
      </c>
      <c r="Z108" s="1644"/>
      <c r="AA108" s="1613" t="str">
        <f t="shared" si="92"/>
        <v>3.3.6</v>
      </c>
      <c r="AB108" s="1613" t="str">
        <f t="shared" si="103"/>
        <v xml:space="preserve"> Q2 3.3</v>
      </c>
      <c r="AC108" s="1613" t="str">
        <f t="shared" si="93"/>
        <v>バックアップスペースの確保</v>
      </c>
      <c r="AD108" s="1759">
        <f t="shared" si="94"/>
        <v>0.2</v>
      </c>
      <c r="AE108" s="1759">
        <f t="shared" si="95"/>
        <v>0.2</v>
      </c>
      <c r="AF108" s="1759">
        <f t="shared" si="96"/>
        <v>0.2</v>
      </c>
      <c r="AG108" s="1759">
        <f t="shared" si="97"/>
        <v>0.2</v>
      </c>
      <c r="AH108" s="1759">
        <f t="shared" si="98"/>
        <v>0.2</v>
      </c>
      <c r="AI108" s="1759">
        <f t="shared" si="99"/>
        <v>0.2</v>
      </c>
      <c r="AJ108" s="1759">
        <f t="shared" si="100"/>
        <v>0.2</v>
      </c>
      <c r="AK108" s="1761">
        <f t="shared" si="101"/>
        <v>0.2</v>
      </c>
      <c r="AL108" s="1759">
        <f t="shared" si="102"/>
        <v>0.2</v>
      </c>
      <c r="AM108" s="1759">
        <f t="shared" si="102"/>
        <v>0.2</v>
      </c>
      <c r="AN108" s="1760">
        <f t="shared" si="107"/>
        <v>0</v>
      </c>
      <c r="AO108" s="1759">
        <f t="shared" si="108"/>
        <v>0</v>
      </c>
      <c r="AP108" s="1759">
        <f t="shared" si="109"/>
        <v>0</v>
      </c>
      <c r="AQ108" s="1620"/>
      <c r="AR108" s="1647" t="s">
        <v>1548</v>
      </c>
      <c r="AS108" s="1693" t="s">
        <v>360</v>
      </c>
      <c r="AT108" s="2064" t="s">
        <v>770</v>
      </c>
      <c r="AU108" s="1623">
        <v>0.2</v>
      </c>
      <c r="AV108" s="1623">
        <v>0.2</v>
      </c>
      <c r="AW108" s="1623">
        <v>0.2</v>
      </c>
      <c r="AX108" s="1623">
        <v>0.2</v>
      </c>
      <c r="AY108" s="1623">
        <v>0.2</v>
      </c>
      <c r="AZ108" s="1623">
        <v>0.2</v>
      </c>
      <c r="BA108" s="1623">
        <v>0.2</v>
      </c>
      <c r="BB108" s="1624">
        <v>0.2</v>
      </c>
      <c r="BC108" s="1623">
        <v>0.2</v>
      </c>
      <c r="BD108" s="1623">
        <v>0.2</v>
      </c>
      <c r="BE108" s="1625"/>
      <c r="BF108" s="1623"/>
      <c r="BG108" s="1623"/>
      <c r="BI108" s="1647" t="s">
        <v>1548</v>
      </c>
      <c r="BJ108" s="1693" t="s">
        <v>360</v>
      </c>
      <c r="BK108" s="2064" t="s">
        <v>770</v>
      </c>
      <c r="BL108" s="1623">
        <v>0.2</v>
      </c>
      <c r="BM108" s="1623">
        <v>0.2</v>
      </c>
      <c r="BN108" s="1623">
        <v>0.2</v>
      </c>
      <c r="BO108" s="1623">
        <v>0.2</v>
      </c>
      <c r="BP108" s="1623">
        <v>0.2</v>
      </c>
      <c r="BQ108" s="1623">
        <v>0.2</v>
      </c>
      <c r="BR108" s="1623">
        <v>0.2</v>
      </c>
      <c r="BS108" s="1624">
        <v>0.2</v>
      </c>
      <c r="BT108" s="1623">
        <v>0.2</v>
      </c>
      <c r="BU108" s="1623">
        <v>0.2</v>
      </c>
      <c r="BV108" s="1625"/>
      <c r="BW108" s="1623"/>
      <c r="BX108" s="1623"/>
    </row>
    <row r="109" spans="1:77" s="1605" customFormat="1" ht="13.5" customHeight="1">
      <c r="A109"/>
      <c r="B109" s="1597" t="str">
        <f t="shared" si="116"/>
        <v>Q3</v>
      </c>
      <c r="C109" s="1597" t="str">
        <f t="shared" si="117"/>
        <v>室外環境（敷地内）</v>
      </c>
      <c r="D109" s="2056">
        <f>IF(I$8=0,0,G109/I$8)</f>
        <v>0.3</v>
      </c>
      <c r="E109" s="2057">
        <f>IF(J$8=0,0,H109/J$8)</f>
        <v>0</v>
      </c>
      <c r="F109"/>
      <c r="G109" s="2057">
        <f t="shared" si="118"/>
        <v>0.3</v>
      </c>
      <c r="H109" s="2057">
        <f t="shared" si="118"/>
        <v>0</v>
      </c>
      <c r="I109" s="2057">
        <f>G110+G111+G112</f>
        <v>1</v>
      </c>
      <c r="J109" s="2057">
        <f>H110+H111+H112</f>
        <v>0</v>
      </c>
      <c r="K109" s="1600">
        <f>IF(スコア表示!X109=0,0,1)</f>
        <v>1</v>
      </c>
      <c r="L109" s="1600">
        <f>IF(スコア表示!AB109=0,0,1)</f>
        <v>0</v>
      </c>
      <c r="M109"/>
      <c r="N109" s="1706">
        <f>IF(P$8=0,0,R109/P$8)</f>
        <v>0.3</v>
      </c>
      <c r="O109" s="1706">
        <f>IF(Q$8=0,0,S109/Q$8)</f>
        <v>0</v>
      </c>
      <c r="P109" s="1600">
        <f>R110+R111+R112</f>
        <v>1</v>
      </c>
      <c r="Q109" s="1600">
        <f>S110+S111+S112</f>
        <v>0</v>
      </c>
      <c r="R109" s="1600">
        <f>IF(スコア入力!R109="EB",重み_対象外!D109,U109)</f>
        <v>0.3</v>
      </c>
      <c r="S109" s="1600">
        <f>IF(スコア入力!Y109="EB",重み_対象外!E109,V109)</f>
        <v>0</v>
      </c>
      <c r="T109" s="1560"/>
      <c r="U109" s="1753">
        <f t="shared" ref="U109:V111" si="119">X109</f>
        <v>0.3</v>
      </c>
      <c r="V109" s="1753">
        <f t="shared" si="119"/>
        <v>0</v>
      </c>
      <c r="W109" s="1560"/>
      <c r="X109" s="1600">
        <f t="shared" si="73"/>
        <v>0.3</v>
      </c>
      <c r="Y109" s="1600">
        <f>(AN$7*AN109)+(AO$7*AO109)+(AP$7*AP109)</f>
        <v>0</v>
      </c>
      <c r="Z109" s="1640"/>
      <c r="AA109" s="1602" t="str">
        <f t="shared" si="92"/>
        <v>Q3</v>
      </c>
      <c r="AB109" s="1602" t="str">
        <f t="shared" si="103"/>
        <v xml:space="preserve"> Q</v>
      </c>
      <c r="AC109" s="1602" t="str">
        <f t="shared" si="93"/>
        <v>室外環境（敷地内）</v>
      </c>
      <c r="AD109" s="1754">
        <f t="shared" si="94"/>
        <v>0.3</v>
      </c>
      <c r="AE109" s="1754">
        <f t="shared" si="95"/>
        <v>0.3</v>
      </c>
      <c r="AF109" s="1754">
        <f t="shared" si="96"/>
        <v>0.3</v>
      </c>
      <c r="AG109" s="1754">
        <f t="shared" si="97"/>
        <v>0.3</v>
      </c>
      <c r="AH109" s="1754">
        <f t="shared" si="98"/>
        <v>0.3</v>
      </c>
      <c r="AI109" s="1754">
        <f t="shared" si="99"/>
        <v>0.3</v>
      </c>
      <c r="AJ109" s="1754">
        <f t="shared" si="100"/>
        <v>0.3</v>
      </c>
      <c r="AK109" s="1754">
        <f t="shared" si="101"/>
        <v>0.3</v>
      </c>
      <c r="AL109" s="1754">
        <f t="shared" si="102"/>
        <v>0.4</v>
      </c>
      <c r="AM109" s="1754">
        <f t="shared" si="102"/>
        <v>0.3</v>
      </c>
      <c r="AN109" s="1755">
        <f t="shared" si="107"/>
        <v>0</v>
      </c>
      <c r="AO109" s="1754">
        <f t="shared" si="108"/>
        <v>0</v>
      </c>
      <c r="AP109" s="1754">
        <f t="shared" si="109"/>
        <v>0</v>
      </c>
      <c r="AQ109" s="1604"/>
      <c r="AR109" s="1597" t="s">
        <v>1550</v>
      </c>
      <c r="AS109" s="2059" t="s">
        <v>276</v>
      </c>
      <c r="AT109" s="2058" t="s">
        <v>1552</v>
      </c>
      <c r="AU109" s="2060">
        <v>0.3</v>
      </c>
      <c r="AV109" s="2060">
        <v>0.3</v>
      </c>
      <c r="AW109" s="2060">
        <v>0.3</v>
      </c>
      <c r="AX109" s="2060">
        <v>0.3</v>
      </c>
      <c r="AY109" s="2060">
        <v>0.3</v>
      </c>
      <c r="AZ109" s="2060">
        <v>0.3</v>
      </c>
      <c r="BA109" s="2060">
        <v>0.3</v>
      </c>
      <c r="BB109" s="2060">
        <v>0.3</v>
      </c>
      <c r="BC109" s="2060">
        <v>0.4</v>
      </c>
      <c r="BD109" s="2060">
        <v>0.3</v>
      </c>
      <c r="BE109" s="2061"/>
      <c r="BF109" s="2060"/>
      <c r="BG109" s="2060"/>
      <c r="BH109"/>
      <c r="BI109" s="1597" t="s">
        <v>1550</v>
      </c>
      <c r="BJ109" s="2059" t="s">
        <v>276</v>
      </c>
      <c r="BK109" s="2058" t="s">
        <v>1552</v>
      </c>
      <c r="BL109" s="2060">
        <v>0.3</v>
      </c>
      <c r="BM109" s="2060">
        <v>0.3</v>
      </c>
      <c r="BN109" s="2060">
        <v>0.3</v>
      </c>
      <c r="BO109" s="2060">
        <v>0.3</v>
      </c>
      <c r="BP109" s="2060">
        <v>0.3</v>
      </c>
      <c r="BQ109" s="2060">
        <v>0.3</v>
      </c>
      <c r="BR109" s="2060">
        <v>0.3</v>
      </c>
      <c r="BS109" s="2060">
        <v>0.3</v>
      </c>
      <c r="BT109" s="2060">
        <v>0.4</v>
      </c>
      <c r="BU109" s="2060">
        <v>0.3</v>
      </c>
      <c r="BV109" s="2061"/>
      <c r="BW109" s="2060"/>
      <c r="BX109" s="2060"/>
      <c r="BY109"/>
    </row>
    <row r="110" spans="1:77" s="1605" customFormat="1" ht="13.5" customHeight="1">
      <c r="A110"/>
      <c r="B110" s="1627">
        <f t="shared" si="116"/>
        <v>1</v>
      </c>
      <c r="C110" s="1628" t="str">
        <f t="shared" si="117"/>
        <v>生物資源の保全と創出</v>
      </c>
      <c r="D110" s="2062">
        <f t="shared" ref="D110:E112" si="120">IF(I$109=0,0,G110/I$109)</f>
        <v>0.3</v>
      </c>
      <c r="E110" s="1743">
        <f t="shared" si="120"/>
        <v>0</v>
      </c>
      <c r="F110"/>
      <c r="G110" s="1743">
        <f t="shared" si="118"/>
        <v>0.3</v>
      </c>
      <c r="H110" s="1743">
        <f t="shared" si="118"/>
        <v>0</v>
      </c>
      <c r="I110" s="1743"/>
      <c r="J110" s="1743"/>
      <c r="K110" s="1609">
        <f>IF(スコア表示!X110=0,0,1)</f>
        <v>1</v>
      </c>
      <c r="L110" s="1609">
        <f>IF(スコア表示!AB110=0,0,1)</f>
        <v>0</v>
      </c>
      <c r="M110"/>
      <c r="N110" s="1707">
        <f t="shared" ref="N110:O112" si="121">IF(P$109=0,0,P110/P$109)</f>
        <v>0.3</v>
      </c>
      <c r="O110" s="1707">
        <f t="shared" si="121"/>
        <v>0</v>
      </c>
      <c r="P110" s="1710">
        <f>R110</f>
        <v>0.3</v>
      </c>
      <c r="Q110" s="1710">
        <f>S110</f>
        <v>0</v>
      </c>
      <c r="R110" s="1609">
        <f>IF(スコア入力!R110="EB",重み_対象外!D110,U110)</f>
        <v>0.3</v>
      </c>
      <c r="S110" s="1609">
        <f>IF(スコア入力!Y110="EB",重み_対象外!E110,V110)</f>
        <v>0</v>
      </c>
      <c r="T110" s="1560"/>
      <c r="U110" s="1710">
        <f t="shared" si="119"/>
        <v>0.3</v>
      </c>
      <c r="V110" s="1710">
        <f t="shared" si="119"/>
        <v>0</v>
      </c>
      <c r="W110" s="1560"/>
      <c r="X110" s="1609">
        <f t="shared" si="73"/>
        <v>0.3</v>
      </c>
      <c r="Y110" s="1609">
        <f t="shared" si="74"/>
        <v>0</v>
      </c>
      <c r="Z110" s="1642"/>
      <c r="AA110" s="1606">
        <f t="shared" si="92"/>
        <v>1</v>
      </c>
      <c r="AB110" s="1606" t="str">
        <f t="shared" si="103"/>
        <v xml:space="preserve"> Q3</v>
      </c>
      <c r="AC110" s="1606" t="str">
        <f t="shared" si="93"/>
        <v>生物資源の保全と創出</v>
      </c>
      <c r="AD110" s="1756">
        <f t="shared" si="94"/>
        <v>0.3</v>
      </c>
      <c r="AE110" s="1756">
        <f t="shared" si="95"/>
        <v>0.3</v>
      </c>
      <c r="AF110" s="1756">
        <f t="shared" si="96"/>
        <v>0.3</v>
      </c>
      <c r="AG110" s="1756">
        <f t="shared" si="97"/>
        <v>0.3</v>
      </c>
      <c r="AH110" s="1756">
        <f t="shared" si="98"/>
        <v>0.3</v>
      </c>
      <c r="AI110" s="1756">
        <f t="shared" si="99"/>
        <v>0.3</v>
      </c>
      <c r="AJ110" s="1756">
        <f t="shared" si="100"/>
        <v>0.3</v>
      </c>
      <c r="AK110" s="1768">
        <f t="shared" si="101"/>
        <v>0.3</v>
      </c>
      <c r="AL110" s="1756">
        <f t="shared" si="102"/>
        <v>0.3</v>
      </c>
      <c r="AM110" s="1756">
        <f t="shared" si="102"/>
        <v>0.3</v>
      </c>
      <c r="AN110" s="1758">
        <f t="shared" si="107"/>
        <v>0</v>
      </c>
      <c r="AO110" s="1756">
        <f t="shared" si="108"/>
        <v>0</v>
      </c>
      <c r="AP110" s="1756">
        <f t="shared" si="109"/>
        <v>0</v>
      </c>
      <c r="AQ110" s="1612"/>
      <c r="AR110" s="1641">
        <v>1</v>
      </c>
      <c r="AS110" s="1744" t="s">
        <v>366</v>
      </c>
      <c r="AT110" s="1787" t="s">
        <v>945</v>
      </c>
      <c r="AU110" s="1711">
        <v>0.3</v>
      </c>
      <c r="AV110" s="1711">
        <v>0.3</v>
      </c>
      <c r="AW110" s="1711">
        <v>0.3</v>
      </c>
      <c r="AX110" s="1711">
        <v>0.3</v>
      </c>
      <c r="AY110" s="1711">
        <v>0.3</v>
      </c>
      <c r="AZ110" s="1711">
        <v>0.3</v>
      </c>
      <c r="BA110" s="1711">
        <v>0.3</v>
      </c>
      <c r="BB110" s="2083">
        <v>0.3</v>
      </c>
      <c r="BC110" s="1711">
        <v>0.3</v>
      </c>
      <c r="BD110" s="1711">
        <v>0.3</v>
      </c>
      <c r="BE110" s="2063"/>
      <c r="BF110" s="1711"/>
      <c r="BG110" s="1711"/>
      <c r="BH110"/>
      <c r="BI110" s="1641">
        <v>1</v>
      </c>
      <c r="BJ110" s="1744" t="s">
        <v>366</v>
      </c>
      <c r="BK110" s="1787" t="s">
        <v>945</v>
      </c>
      <c r="BL110" s="1711">
        <v>0.3</v>
      </c>
      <c r="BM110" s="1711">
        <v>0.3</v>
      </c>
      <c r="BN110" s="1711">
        <v>0.3</v>
      </c>
      <c r="BO110" s="1711">
        <v>0.3</v>
      </c>
      <c r="BP110" s="1711">
        <v>0.3</v>
      </c>
      <c r="BQ110" s="1711">
        <v>0.3</v>
      </c>
      <c r="BR110" s="1711">
        <v>0.3</v>
      </c>
      <c r="BS110" s="2083">
        <v>0.3</v>
      </c>
      <c r="BT110" s="1711">
        <v>0.3</v>
      </c>
      <c r="BU110" s="1711">
        <v>0.3</v>
      </c>
      <c r="BV110" s="2063"/>
      <c r="BW110" s="1711"/>
      <c r="BX110" s="1711"/>
      <c r="BY110"/>
    </row>
    <row r="111" spans="1:77" s="1605" customFormat="1" ht="13.5" customHeight="1">
      <c r="A111"/>
      <c r="B111" s="1627">
        <f t="shared" si="116"/>
        <v>2</v>
      </c>
      <c r="C111" s="1628" t="str">
        <f t="shared" si="117"/>
        <v>まちなみ・景観への配慮</v>
      </c>
      <c r="D111" s="2062">
        <f t="shared" si="120"/>
        <v>0.39999999999999997</v>
      </c>
      <c r="E111" s="1743">
        <f t="shared" si="120"/>
        <v>0</v>
      </c>
      <c r="F111"/>
      <c r="G111" s="1743">
        <f t="shared" si="118"/>
        <v>0.39999999999999997</v>
      </c>
      <c r="H111" s="1743">
        <f t="shared" si="118"/>
        <v>0</v>
      </c>
      <c r="I111" s="1743"/>
      <c r="J111" s="1743"/>
      <c r="K111" s="1609">
        <f>IF(スコア表示!X111=0,0,1)</f>
        <v>1</v>
      </c>
      <c r="L111" s="1609">
        <f>IF(スコア表示!AB111=0,0,1)</f>
        <v>0</v>
      </c>
      <c r="M111"/>
      <c r="N111" s="1707">
        <f t="shared" si="121"/>
        <v>0.39999999999999997</v>
      </c>
      <c r="O111" s="1707">
        <f t="shared" si="121"/>
        <v>0</v>
      </c>
      <c r="P111" s="1710">
        <f>R111</f>
        <v>0.39999999999999997</v>
      </c>
      <c r="Q111" s="1710">
        <f>S111</f>
        <v>0</v>
      </c>
      <c r="R111" s="1609">
        <f>IF(スコア入力!R111="EB",重み_対象外!D111,U111)</f>
        <v>0.39999999999999997</v>
      </c>
      <c r="S111" s="1609">
        <f>IF(スコア入力!Y111="EB",重み_対象外!E111,V111)</f>
        <v>0</v>
      </c>
      <c r="T111" s="1560"/>
      <c r="U111" s="1710">
        <f t="shared" si="119"/>
        <v>0.39999999999999997</v>
      </c>
      <c r="V111" s="1710">
        <f t="shared" si="119"/>
        <v>0</v>
      </c>
      <c r="W111" s="1560"/>
      <c r="X111" s="1609">
        <f t="shared" si="73"/>
        <v>0.39999999999999997</v>
      </c>
      <c r="Y111" s="1609">
        <f t="shared" si="74"/>
        <v>0</v>
      </c>
      <c r="Z111" s="1642"/>
      <c r="AA111" s="1606">
        <f t="shared" si="92"/>
        <v>2</v>
      </c>
      <c r="AB111" s="1606" t="str">
        <f t="shared" si="103"/>
        <v xml:space="preserve"> Q3</v>
      </c>
      <c r="AC111" s="1606" t="str">
        <f t="shared" si="93"/>
        <v>まちなみ・景観への配慮</v>
      </c>
      <c r="AD111" s="1756">
        <f t="shared" si="94"/>
        <v>0.4</v>
      </c>
      <c r="AE111" s="1756">
        <f t="shared" si="95"/>
        <v>0.4</v>
      </c>
      <c r="AF111" s="1756">
        <f t="shared" si="96"/>
        <v>0.4</v>
      </c>
      <c r="AG111" s="1756">
        <f t="shared" si="97"/>
        <v>0.4</v>
      </c>
      <c r="AH111" s="1756">
        <f t="shared" si="98"/>
        <v>0.4</v>
      </c>
      <c r="AI111" s="1756">
        <f t="shared" si="99"/>
        <v>0.4</v>
      </c>
      <c r="AJ111" s="1756">
        <f t="shared" si="100"/>
        <v>0.4</v>
      </c>
      <c r="AK111" s="1768">
        <f t="shared" si="101"/>
        <v>0.4</v>
      </c>
      <c r="AL111" s="1756">
        <f t="shared" si="102"/>
        <v>0.4</v>
      </c>
      <c r="AM111" s="1756">
        <f t="shared" si="102"/>
        <v>0.4</v>
      </c>
      <c r="AN111" s="1758">
        <f t="shared" si="107"/>
        <v>0</v>
      </c>
      <c r="AO111" s="1756">
        <f t="shared" si="108"/>
        <v>0</v>
      </c>
      <c r="AP111" s="1756">
        <f t="shared" si="109"/>
        <v>0</v>
      </c>
      <c r="AQ111" s="1612"/>
      <c r="AR111" s="1641">
        <v>2</v>
      </c>
      <c r="AS111" s="1744" t="s">
        <v>366</v>
      </c>
      <c r="AT111" s="1787" t="s">
        <v>1554</v>
      </c>
      <c r="AU111" s="1711">
        <v>0.4</v>
      </c>
      <c r="AV111" s="1711">
        <v>0.4</v>
      </c>
      <c r="AW111" s="1711">
        <v>0.4</v>
      </c>
      <c r="AX111" s="1711">
        <v>0.4</v>
      </c>
      <c r="AY111" s="1711">
        <v>0.4</v>
      </c>
      <c r="AZ111" s="1711">
        <v>0.4</v>
      </c>
      <c r="BA111" s="1711">
        <v>0.4</v>
      </c>
      <c r="BB111" s="2083">
        <v>0.4</v>
      </c>
      <c r="BC111" s="1711">
        <v>0.4</v>
      </c>
      <c r="BD111" s="1711">
        <v>0.4</v>
      </c>
      <c r="BE111" s="2063"/>
      <c r="BF111" s="1711"/>
      <c r="BG111" s="1711"/>
      <c r="BH111"/>
      <c r="BI111" s="1641">
        <v>2</v>
      </c>
      <c r="BJ111" s="1744" t="s">
        <v>366</v>
      </c>
      <c r="BK111" s="1787" t="s">
        <v>1554</v>
      </c>
      <c r="BL111" s="1711">
        <v>0.4</v>
      </c>
      <c r="BM111" s="1711">
        <v>0.4</v>
      </c>
      <c r="BN111" s="1711">
        <v>0.4</v>
      </c>
      <c r="BO111" s="1711">
        <v>0.4</v>
      </c>
      <c r="BP111" s="1711">
        <v>0.4</v>
      </c>
      <c r="BQ111" s="1711">
        <v>0.4</v>
      </c>
      <c r="BR111" s="1711">
        <v>0.4</v>
      </c>
      <c r="BS111" s="2083">
        <v>0.4</v>
      </c>
      <c r="BT111" s="1711">
        <v>0.4</v>
      </c>
      <c r="BU111" s="1711">
        <v>0.4</v>
      </c>
      <c r="BV111" s="2063"/>
      <c r="BW111" s="1711"/>
      <c r="BX111" s="1711"/>
      <c r="BY111"/>
    </row>
    <row r="112" spans="1:77" s="1605" customFormat="1" ht="13.5" customHeight="1">
      <c r="A112"/>
      <c r="B112" s="1627">
        <f t="shared" si="116"/>
        <v>3</v>
      </c>
      <c r="C112" s="1628" t="str">
        <f t="shared" si="117"/>
        <v>地域性・アメニティへの配慮</v>
      </c>
      <c r="D112" s="2062">
        <f t="shared" si="120"/>
        <v>0.3</v>
      </c>
      <c r="E112" s="1743">
        <f t="shared" si="120"/>
        <v>0</v>
      </c>
      <c r="F112"/>
      <c r="G112" s="1743">
        <f t="shared" si="118"/>
        <v>0.3</v>
      </c>
      <c r="H112" s="1743">
        <f t="shared" si="118"/>
        <v>0</v>
      </c>
      <c r="I112" s="1725">
        <f>SUM(G113:G114)</f>
        <v>1</v>
      </c>
      <c r="J112" s="1725">
        <f>SUM(H113:H114)</f>
        <v>0</v>
      </c>
      <c r="K112" s="1725">
        <f>IF(スコア表示!X112=0,0,1)</f>
        <v>1</v>
      </c>
      <c r="L112" s="1725">
        <f>IF(スコア表示!AB112=0,0,1)</f>
        <v>0</v>
      </c>
      <c r="M112"/>
      <c r="N112" s="1707">
        <f t="shared" si="121"/>
        <v>0.3</v>
      </c>
      <c r="O112" s="1707">
        <f t="shared" si="121"/>
        <v>0</v>
      </c>
      <c r="P112" s="1710">
        <f>SUM(R113:R114)</f>
        <v>0.3</v>
      </c>
      <c r="Q112" s="1710">
        <f>SUM(S113:S114)</f>
        <v>0</v>
      </c>
      <c r="R112" s="1609">
        <f>IF(スコア入力!R112="EB",重み_対象外!D112,U112)</f>
        <v>0.3</v>
      </c>
      <c r="S112" s="1609">
        <f>IF(スコア入力!Y112="EB",重み_対象外!E112,V112)</f>
        <v>0</v>
      </c>
      <c r="T112" s="1560"/>
      <c r="U112" s="1607">
        <f>SUM(U113:U114)</f>
        <v>0.3</v>
      </c>
      <c r="V112" s="1607">
        <f>SUM(V113:V114)</f>
        <v>0</v>
      </c>
      <c r="W112" s="1560"/>
      <c r="X112" s="1609">
        <f t="shared" si="73"/>
        <v>0.3</v>
      </c>
      <c r="Y112" s="1609">
        <f t="shared" si="74"/>
        <v>0</v>
      </c>
      <c r="Z112" s="1642"/>
      <c r="AA112" s="1606">
        <f t="shared" si="92"/>
        <v>3</v>
      </c>
      <c r="AB112" s="1606" t="str">
        <f t="shared" si="103"/>
        <v xml:space="preserve"> Q3</v>
      </c>
      <c r="AC112" s="1606" t="str">
        <f t="shared" si="93"/>
        <v>地域性・アメニティへの配慮</v>
      </c>
      <c r="AD112" s="1756">
        <f t="shared" si="94"/>
        <v>0.3</v>
      </c>
      <c r="AE112" s="1756">
        <f t="shared" si="95"/>
        <v>0.3</v>
      </c>
      <c r="AF112" s="1756">
        <f t="shared" si="96"/>
        <v>0.3</v>
      </c>
      <c r="AG112" s="1756">
        <f t="shared" si="97"/>
        <v>0.3</v>
      </c>
      <c r="AH112" s="1756">
        <f t="shared" si="98"/>
        <v>0.3</v>
      </c>
      <c r="AI112" s="1756">
        <f t="shared" si="99"/>
        <v>0.3</v>
      </c>
      <c r="AJ112" s="1756">
        <f t="shared" si="100"/>
        <v>0.3</v>
      </c>
      <c r="AK112" s="1768">
        <f t="shared" si="101"/>
        <v>0.3</v>
      </c>
      <c r="AL112" s="1756">
        <f t="shared" si="102"/>
        <v>0.3</v>
      </c>
      <c r="AM112" s="1756">
        <f t="shared" si="102"/>
        <v>0.3</v>
      </c>
      <c r="AN112" s="1758">
        <f t="shared" si="107"/>
        <v>0</v>
      </c>
      <c r="AO112" s="1756">
        <f t="shared" si="108"/>
        <v>0</v>
      </c>
      <c r="AP112" s="1756">
        <f t="shared" si="109"/>
        <v>0</v>
      </c>
      <c r="AQ112" s="1612"/>
      <c r="AR112" s="1641">
        <v>3</v>
      </c>
      <c r="AS112" s="1744" t="s">
        <v>366</v>
      </c>
      <c r="AT112" s="1787" t="s">
        <v>1555</v>
      </c>
      <c r="AU112" s="1711">
        <v>0.3</v>
      </c>
      <c r="AV112" s="1711">
        <v>0.3</v>
      </c>
      <c r="AW112" s="1711">
        <v>0.3</v>
      </c>
      <c r="AX112" s="1711">
        <v>0.3</v>
      </c>
      <c r="AY112" s="1711">
        <v>0.3</v>
      </c>
      <c r="AZ112" s="1711">
        <v>0.3</v>
      </c>
      <c r="BA112" s="1711">
        <v>0.3</v>
      </c>
      <c r="BB112" s="2083">
        <v>0.3</v>
      </c>
      <c r="BC112" s="1711">
        <v>0.3</v>
      </c>
      <c r="BD112" s="1711">
        <v>0.3</v>
      </c>
      <c r="BE112" s="2063"/>
      <c r="BF112" s="1711"/>
      <c r="BG112" s="1711"/>
      <c r="BH112"/>
      <c r="BI112" s="1641">
        <v>3</v>
      </c>
      <c r="BJ112" s="1744" t="s">
        <v>366</v>
      </c>
      <c r="BK112" s="1787" t="s">
        <v>1555</v>
      </c>
      <c r="BL112" s="1711">
        <v>0.3</v>
      </c>
      <c r="BM112" s="1711">
        <v>0.3</v>
      </c>
      <c r="BN112" s="1711">
        <v>0.3</v>
      </c>
      <c r="BO112" s="1711">
        <v>0.3</v>
      </c>
      <c r="BP112" s="1711">
        <v>0.3</v>
      </c>
      <c r="BQ112" s="1711">
        <v>0.3</v>
      </c>
      <c r="BR112" s="1711">
        <v>0.3</v>
      </c>
      <c r="BS112" s="2083">
        <v>0.3</v>
      </c>
      <c r="BT112" s="1711">
        <v>0.3</v>
      </c>
      <c r="BU112" s="1711">
        <v>0.3</v>
      </c>
      <c r="BV112" s="2063"/>
      <c r="BW112" s="1711"/>
      <c r="BX112" s="1711"/>
      <c r="BY112"/>
    </row>
    <row r="113" spans="1:77" s="1605" customFormat="1" ht="13.5" customHeight="1">
      <c r="A113"/>
      <c r="B113" s="1617" t="str">
        <f t="shared" si="116"/>
        <v>3.1</v>
      </c>
      <c r="C113" s="1660" t="str">
        <f t="shared" si="117"/>
        <v>地域性への配慮、快適性の向上</v>
      </c>
      <c r="D113" s="1716">
        <f>IF(I$112=0,0,G113/I$112)</f>
        <v>0.5</v>
      </c>
      <c r="E113" s="1691">
        <f>IF(J$112=0,0,H113/J$112)</f>
        <v>0</v>
      </c>
      <c r="F113"/>
      <c r="G113" s="1691">
        <f t="shared" si="118"/>
        <v>0.5</v>
      </c>
      <c r="H113" s="1691">
        <f t="shared" si="118"/>
        <v>0</v>
      </c>
      <c r="I113" s="516"/>
      <c r="J113" s="1691"/>
      <c r="K113" s="516">
        <f>IF(スコア表示!X113=0,0,1)</f>
        <v>1</v>
      </c>
      <c r="L113" s="1616">
        <f>IF(スコア表示!AB113=0,0,1)</f>
        <v>0</v>
      </c>
      <c r="M113"/>
      <c r="N113" s="1713">
        <f>IF(P$112=0,0,R113/P$112)</f>
        <v>0.5</v>
      </c>
      <c r="O113" s="1713">
        <f>IF(Q$112=0,0,S113/Q$112)</f>
        <v>0</v>
      </c>
      <c r="P113" s="1724"/>
      <c r="Q113" s="1724"/>
      <c r="R113" s="1616">
        <f>IF(スコア入力!R113="EB",重み_対象外!D113,U113)</f>
        <v>0.15</v>
      </c>
      <c r="S113" s="1616">
        <f>IF(スコア入力!Y113="EB",重み_対象外!E113,V113)</f>
        <v>0</v>
      </c>
      <c r="T113" s="1560"/>
      <c r="U113" s="1614">
        <f>X$112*X113</f>
        <v>0.15</v>
      </c>
      <c r="V113" s="1614">
        <f>Y$112*Y113</f>
        <v>0</v>
      </c>
      <c r="W113" s="1560"/>
      <c r="X113" s="1616">
        <f t="shared" si="73"/>
        <v>0.5</v>
      </c>
      <c r="Y113" s="1616">
        <f t="shared" si="74"/>
        <v>0</v>
      </c>
      <c r="Z113" s="1642"/>
      <c r="AA113" s="1613" t="str">
        <f t="shared" si="92"/>
        <v>3.1</v>
      </c>
      <c r="AB113" s="1613" t="str">
        <f t="shared" si="103"/>
        <v xml:space="preserve"> Q3 3</v>
      </c>
      <c r="AC113" s="1613" t="str">
        <f t="shared" si="93"/>
        <v>地域性への配慮、快適性の向上</v>
      </c>
      <c r="AD113" s="1772">
        <f t="shared" si="94"/>
        <v>0.5</v>
      </c>
      <c r="AE113" s="1772">
        <f t="shared" si="95"/>
        <v>0.5</v>
      </c>
      <c r="AF113" s="1772">
        <f t="shared" si="96"/>
        <v>0.5</v>
      </c>
      <c r="AG113" s="1772">
        <f t="shared" si="97"/>
        <v>0.5</v>
      </c>
      <c r="AH113" s="1772">
        <f t="shared" si="98"/>
        <v>0.5</v>
      </c>
      <c r="AI113" s="1772">
        <f t="shared" si="99"/>
        <v>0.5</v>
      </c>
      <c r="AJ113" s="1772">
        <f t="shared" si="100"/>
        <v>0.5</v>
      </c>
      <c r="AK113" s="1772">
        <f t="shared" si="101"/>
        <v>0.5</v>
      </c>
      <c r="AL113" s="1772">
        <f t="shared" si="102"/>
        <v>0.5</v>
      </c>
      <c r="AM113" s="1772">
        <f t="shared" si="102"/>
        <v>0.5</v>
      </c>
      <c r="AN113" s="1773">
        <f t="shared" si="107"/>
        <v>0</v>
      </c>
      <c r="AO113" s="1772">
        <f t="shared" si="108"/>
        <v>0</v>
      </c>
      <c r="AP113" s="1772">
        <f t="shared" si="109"/>
        <v>0</v>
      </c>
      <c r="AQ113" s="1612"/>
      <c r="AR113" s="1647" t="s">
        <v>1557</v>
      </c>
      <c r="AS113" s="1693" t="s">
        <v>367</v>
      </c>
      <c r="AT113" s="2086" t="s">
        <v>1559</v>
      </c>
      <c r="AU113" s="2087">
        <v>0.5</v>
      </c>
      <c r="AV113" s="2087">
        <v>0.5</v>
      </c>
      <c r="AW113" s="2087">
        <v>0.5</v>
      </c>
      <c r="AX113" s="2087">
        <v>0.5</v>
      </c>
      <c r="AY113" s="2087">
        <v>0.5</v>
      </c>
      <c r="AZ113" s="2087">
        <v>0.5</v>
      </c>
      <c r="BA113" s="2087">
        <v>0.5</v>
      </c>
      <c r="BB113" s="2087">
        <v>0.5</v>
      </c>
      <c r="BC113" s="2087">
        <v>0.5</v>
      </c>
      <c r="BD113" s="2087">
        <v>0.5</v>
      </c>
      <c r="BE113" s="2088"/>
      <c r="BF113" s="2087"/>
      <c r="BG113" s="2087"/>
      <c r="BH113"/>
      <c r="BI113" s="1647" t="s">
        <v>1557</v>
      </c>
      <c r="BJ113" s="1693" t="s">
        <v>367</v>
      </c>
      <c r="BK113" s="2086" t="s">
        <v>1559</v>
      </c>
      <c r="BL113" s="2087">
        <v>0.5</v>
      </c>
      <c r="BM113" s="2087">
        <v>0.5</v>
      </c>
      <c r="BN113" s="2087">
        <v>0.5</v>
      </c>
      <c r="BO113" s="2087">
        <v>0.5</v>
      </c>
      <c r="BP113" s="2087">
        <v>0.5</v>
      </c>
      <c r="BQ113" s="2087">
        <v>0.5</v>
      </c>
      <c r="BR113" s="2087">
        <v>0.5</v>
      </c>
      <c r="BS113" s="2087">
        <v>0.5</v>
      </c>
      <c r="BT113" s="2087">
        <v>0.5</v>
      </c>
      <c r="BU113" s="2087">
        <v>0.5</v>
      </c>
      <c r="BV113" s="2088"/>
      <c r="BW113" s="2087"/>
      <c r="BX113" s="2087"/>
      <c r="BY113"/>
    </row>
    <row r="114" spans="1:77" s="1605" customFormat="1" ht="13.5" customHeight="1">
      <c r="A114"/>
      <c r="B114" s="1617" t="str">
        <f t="shared" si="116"/>
        <v>3.2</v>
      </c>
      <c r="C114" s="1660" t="str">
        <f t="shared" si="117"/>
        <v>敷地内温熱環境の向上</v>
      </c>
      <c r="D114" s="1716">
        <f>IF(I$112=0,0,G114/I$112)</f>
        <v>0.5</v>
      </c>
      <c r="E114" s="1691">
        <f>IF(J$112=0,0,H114/J$112)</f>
        <v>0</v>
      </c>
      <c r="F114"/>
      <c r="G114" s="1691">
        <f t="shared" si="118"/>
        <v>0.5</v>
      </c>
      <c r="H114" s="1691">
        <f t="shared" si="118"/>
        <v>0</v>
      </c>
      <c r="I114" s="516"/>
      <c r="J114" s="1691"/>
      <c r="K114" s="516">
        <f>IF(スコア表示!X114=0,0,1)</f>
        <v>1</v>
      </c>
      <c r="L114" s="1616">
        <f>IF(スコア表示!AB114=0,0,1)</f>
        <v>0</v>
      </c>
      <c r="M114"/>
      <c r="N114" s="1713">
        <f>IF(P$112=0,0,R114/P$112)</f>
        <v>0.5</v>
      </c>
      <c r="O114" s="1713">
        <f>IF(Q$112=0,0,S114/Q$112)</f>
        <v>0</v>
      </c>
      <c r="P114" s="1724"/>
      <c r="Q114" s="1724"/>
      <c r="R114" s="1616">
        <f>IF(スコア入力!R114="EB",重み_対象外!D114,U114)</f>
        <v>0.15</v>
      </c>
      <c r="S114" s="1616">
        <f>IF(スコア入力!Y114="EB",重み_対象外!E114,V114)</f>
        <v>0</v>
      </c>
      <c r="T114" s="1560"/>
      <c r="U114" s="1614">
        <f>X$112*X114</f>
        <v>0.15</v>
      </c>
      <c r="V114" s="1614">
        <f>Y$112*Y114</f>
        <v>0</v>
      </c>
      <c r="W114" s="1560"/>
      <c r="X114" s="1616">
        <f t="shared" si="73"/>
        <v>0.5</v>
      </c>
      <c r="Y114" s="1616">
        <f t="shared" si="74"/>
        <v>0</v>
      </c>
      <c r="Z114" s="1642"/>
      <c r="AA114" s="1613" t="str">
        <f t="shared" si="92"/>
        <v>3.2</v>
      </c>
      <c r="AB114" s="1613" t="str">
        <f t="shared" si="103"/>
        <v xml:space="preserve"> Q3 3</v>
      </c>
      <c r="AC114" s="1613" t="str">
        <f t="shared" si="93"/>
        <v>敷地内温熱環境の向上</v>
      </c>
      <c r="AD114" s="1772">
        <f t="shared" si="94"/>
        <v>0.5</v>
      </c>
      <c r="AE114" s="1772">
        <f t="shared" si="95"/>
        <v>0.5</v>
      </c>
      <c r="AF114" s="1772">
        <f t="shared" si="96"/>
        <v>0.5</v>
      </c>
      <c r="AG114" s="1772">
        <f t="shared" si="97"/>
        <v>0.5</v>
      </c>
      <c r="AH114" s="1772">
        <f t="shared" si="98"/>
        <v>0.5</v>
      </c>
      <c r="AI114" s="1772">
        <f t="shared" si="99"/>
        <v>0.5</v>
      </c>
      <c r="AJ114" s="1772">
        <f t="shared" si="100"/>
        <v>0.5</v>
      </c>
      <c r="AK114" s="1772">
        <f t="shared" si="101"/>
        <v>0.5</v>
      </c>
      <c r="AL114" s="1772">
        <f t="shared" si="102"/>
        <v>0.5</v>
      </c>
      <c r="AM114" s="1772">
        <f t="shared" si="102"/>
        <v>0.5</v>
      </c>
      <c r="AN114" s="1773">
        <f t="shared" si="107"/>
        <v>0</v>
      </c>
      <c r="AO114" s="1772">
        <f t="shared" si="108"/>
        <v>0</v>
      </c>
      <c r="AP114" s="1772">
        <f t="shared" si="109"/>
        <v>0</v>
      </c>
      <c r="AQ114" s="1612"/>
      <c r="AR114" s="1647" t="s">
        <v>1561</v>
      </c>
      <c r="AS114" s="1693" t="s">
        <v>367</v>
      </c>
      <c r="AT114" s="2086" t="s">
        <v>1563</v>
      </c>
      <c r="AU114" s="2087">
        <v>0.5</v>
      </c>
      <c r="AV114" s="2087">
        <v>0.5</v>
      </c>
      <c r="AW114" s="2087">
        <v>0.5</v>
      </c>
      <c r="AX114" s="2087">
        <v>0.5</v>
      </c>
      <c r="AY114" s="2087">
        <v>0.5</v>
      </c>
      <c r="AZ114" s="2087">
        <v>0.5</v>
      </c>
      <c r="BA114" s="2087">
        <v>0.5</v>
      </c>
      <c r="BB114" s="2087">
        <v>0.5</v>
      </c>
      <c r="BC114" s="2087">
        <v>0.5</v>
      </c>
      <c r="BD114" s="2087">
        <v>0.5</v>
      </c>
      <c r="BE114" s="2088"/>
      <c r="BF114" s="2087"/>
      <c r="BG114" s="2087"/>
      <c r="BH114"/>
      <c r="BI114" s="1647" t="s">
        <v>1561</v>
      </c>
      <c r="BJ114" s="1693" t="s">
        <v>367</v>
      </c>
      <c r="BK114" s="2086" t="s">
        <v>1563</v>
      </c>
      <c r="BL114" s="2087">
        <v>0.5</v>
      </c>
      <c r="BM114" s="2087">
        <v>0.5</v>
      </c>
      <c r="BN114" s="2087">
        <v>0.5</v>
      </c>
      <c r="BO114" s="2087">
        <v>0.5</v>
      </c>
      <c r="BP114" s="2087">
        <v>0.5</v>
      </c>
      <c r="BQ114" s="2087">
        <v>0.5</v>
      </c>
      <c r="BR114" s="2087">
        <v>0.5</v>
      </c>
      <c r="BS114" s="2087">
        <v>0.5</v>
      </c>
      <c r="BT114" s="2087">
        <v>0.5</v>
      </c>
      <c r="BU114" s="2087">
        <v>0.5</v>
      </c>
      <c r="BV114" s="2088"/>
      <c r="BW114" s="2087"/>
      <c r="BX114" s="2087"/>
      <c r="BY114"/>
    </row>
    <row r="115" spans="1:77" s="1605" customFormat="1" ht="13.5" hidden="1" customHeight="1">
      <c r="A115"/>
      <c r="B115" s="1663">
        <f t="shared" si="116"/>
        <v>0</v>
      </c>
      <c r="C115" s="1664">
        <f t="shared" si="117"/>
        <v>0</v>
      </c>
      <c r="D115" s="2062"/>
      <c r="E115" s="1743"/>
      <c r="F115"/>
      <c r="G115" s="1743">
        <f t="shared" si="118"/>
        <v>0</v>
      </c>
      <c r="H115" s="1743">
        <f t="shared" si="118"/>
        <v>0</v>
      </c>
      <c r="I115" s="1743"/>
      <c r="J115" s="1743"/>
      <c r="K115" s="1665">
        <f>IF(スコア表示!X115=0,0,1)</f>
        <v>0</v>
      </c>
      <c r="L115" s="1665">
        <f>IF(スコア表示!AB115=0,0,1)</f>
        <v>0</v>
      </c>
      <c r="M115"/>
      <c r="N115" s="1726"/>
      <c r="O115" s="1726"/>
      <c r="P115" s="1665"/>
      <c r="Q115" s="1665"/>
      <c r="R115" s="1665">
        <f>IF(スコア入力!R115="EB",重み_対象外!D115,U115)</f>
        <v>0</v>
      </c>
      <c r="S115" s="1665">
        <f>IF(スコア入力!Y115="EB",重み_対象外!E115,V115)</f>
        <v>0</v>
      </c>
      <c r="T115" s="1560"/>
      <c r="U115" s="1664"/>
      <c r="V115" s="1664"/>
      <c r="W115" s="1560"/>
      <c r="X115" s="1665">
        <f t="shared" si="73"/>
        <v>0</v>
      </c>
      <c r="Y115" s="1665">
        <f t="shared" si="74"/>
        <v>0</v>
      </c>
      <c r="Z115" s="1642"/>
      <c r="AA115" s="1666">
        <f t="shared" si="92"/>
        <v>0</v>
      </c>
      <c r="AB115" s="1666" t="str">
        <f t="shared" si="103"/>
        <v xml:space="preserve"> Q</v>
      </c>
      <c r="AC115" s="1666">
        <f t="shared" si="93"/>
        <v>0</v>
      </c>
      <c r="AD115" s="1775">
        <f t="shared" si="94"/>
        <v>0</v>
      </c>
      <c r="AE115" s="1775">
        <f t="shared" si="95"/>
        <v>0</v>
      </c>
      <c r="AF115" s="1775">
        <f t="shared" si="96"/>
        <v>0</v>
      </c>
      <c r="AG115" s="1775">
        <f t="shared" si="97"/>
        <v>0</v>
      </c>
      <c r="AH115" s="1775">
        <f t="shared" si="98"/>
        <v>0</v>
      </c>
      <c r="AI115" s="1775">
        <f t="shared" si="99"/>
        <v>0</v>
      </c>
      <c r="AJ115" s="1775">
        <f t="shared" si="100"/>
        <v>0</v>
      </c>
      <c r="AK115" s="1776">
        <f t="shared" si="101"/>
        <v>0</v>
      </c>
      <c r="AL115" s="1775">
        <f t="shared" si="102"/>
        <v>0</v>
      </c>
      <c r="AM115" s="1775">
        <f t="shared" si="102"/>
        <v>0</v>
      </c>
      <c r="AN115" s="1777">
        <f t="shared" si="107"/>
        <v>0</v>
      </c>
      <c r="AO115" s="1775">
        <f t="shared" si="108"/>
        <v>0</v>
      </c>
      <c r="AP115" s="1775">
        <f t="shared" si="109"/>
        <v>0</v>
      </c>
      <c r="AQ115" s="1612"/>
      <c r="AR115" s="1641"/>
      <c r="AS115" s="1744" t="s">
        <v>276</v>
      </c>
      <c r="AT115" s="1787"/>
      <c r="AU115" s="1711"/>
      <c r="AV115" s="1711"/>
      <c r="AW115" s="1711"/>
      <c r="AX115" s="1711"/>
      <c r="AY115" s="1711"/>
      <c r="AZ115" s="1711"/>
      <c r="BA115" s="1711"/>
      <c r="BB115" s="2083"/>
      <c r="BC115" s="1711"/>
      <c r="BD115" s="1711"/>
      <c r="BE115" s="2063"/>
      <c r="BF115" s="1711"/>
      <c r="BG115" s="1711"/>
      <c r="BH115"/>
      <c r="BI115" s="1641"/>
      <c r="BJ115" s="1744" t="s">
        <v>276</v>
      </c>
      <c r="BK115" s="1787"/>
      <c r="BL115" s="1711"/>
      <c r="BM115" s="1711"/>
      <c r="BN115" s="1711"/>
      <c r="BO115" s="1711"/>
      <c r="BP115" s="1711"/>
      <c r="BQ115" s="1711"/>
      <c r="BR115" s="1711"/>
      <c r="BS115" s="2083"/>
      <c r="BT115" s="1711"/>
      <c r="BU115" s="1711"/>
      <c r="BV115" s="2063"/>
      <c r="BW115" s="1711"/>
      <c r="BX115" s="1711"/>
      <c r="BY115"/>
    </row>
    <row r="116" spans="1:77" s="1596" customFormat="1" ht="13.5" customHeight="1">
      <c r="A116"/>
      <c r="B116" s="1586" t="str">
        <f t="shared" si="116"/>
        <v>LR</v>
      </c>
      <c r="C116" s="1587" t="str">
        <f t="shared" si="117"/>
        <v>建築物の環境負荷低減性</v>
      </c>
      <c r="D116" s="2047"/>
      <c r="E116" s="2048"/>
      <c r="F116"/>
      <c r="G116" s="2048">
        <f t="shared" si="118"/>
        <v>0</v>
      </c>
      <c r="H116" s="2048">
        <f t="shared" si="118"/>
        <v>0</v>
      </c>
      <c r="I116" s="2048">
        <f>G117+G140+G159</f>
        <v>1</v>
      </c>
      <c r="J116" s="2048">
        <f>H117+H140+H159</f>
        <v>0</v>
      </c>
      <c r="K116" s="1589">
        <f>IF(スコア表示!X116=0,0,1)</f>
        <v>1</v>
      </c>
      <c r="L116" s="1589">
        <f>IF(スコア表示!AB116=0,0,1)</f>
        <v>0</v>
      </c>
      <c r="M116"/>
      <c r="N116" s="1705"/>
      <c r="O116" s="1705"/>
      <c r="P116" s="1589">
        <f>R117+R140+R159</f>
        <v>1</v>
      </c>
      <c r="Q116" s="1589">
        <f>S117+S140+S159</f>
        <v>0</v>
      </c>
      <c r="R116" s="1589">
        <f>IF(スコア入力!R116="EB",重み_対象外!D116,U116)</f>
        <v>0</v>
      </c>
      <c r="S116" s="1589">
        <f>IF(スコア入力!Y116="EB",重み_対象外!E116,V116)</f>
        <v>0</v>
      </c>
      <c r="T116" s="1560"/>
      <c r="U116" s="1752"/>
      <c r="V116" s="1752"/>
      <c r="W116" s="1560"/>
      <c r="X116" s="1589">
        <f t="shared" si="73"/>
        <v>0</v>
      </c>
      <c r="Y116" s="1589">
        <f t="shared" si="74"/>
        <v>0</v>
      </c>
      <c r="Z116" s="1590"/>
      <c r="AA116" s="1668" t="str">
        <f t="shared" ref="AA116:AA151" si="122">IF($AA$3=1,AR116,BI116)</f>
        <v>LR</v>
      </c>
      <c r="AB116" s="1668" t="str">
        <f t="shared" si="103"/>
        <v xml:space="preserve"> </v>
      </c>
      <c r="AC116" s="1668" t="str">
        <f t="shared" si="93"/>
        <v>建築物の環境負荷低減性</v>
      </c>
      <c r="AD116" s="1592">
        <f t="shared" si="94"/>
        <v>0</v>
      </c>
      <c r="AE116" s="1592">
        <f t="shared" si="95"/>
        <v>0</v>
      </c>
      <c r="AF116" s="1592">
        <f t="shared" si="96"/>
        <v>0</v>
      </c>
      <c r="AG116" s="1592">
        <f t="shared" si="97"/>
        <v>0</v>
      </c>
      <c r="AH116" s="1592">
        <f t="shared" si="98"/>
        <v>0</v>
      </c>
      <c r="AI116" s="1592">
        <f t="shared" si="99"/>
        <v>0</v>
      </c>
      <c r="AJ116" s="1592">
        <f t="shared" si="100"/>
        <v>0</v>
      </c>
      <c r="AK116" s="1593">
        <f t="shared" si="101"/>
        <v>0</v>
      </c>
      <c r="AL116" s="1592">
        <f t="shared" si="102"/>
        <v>0</v>
      </c>
      <c r="AM116" s="1592">
        <f t="shared" si="102"/>
        <v>0</v>
      </c>
      <c r="AN116" s="1594">
        <f t="shared" si="107"/>
        <v>0</v>
      </c>
      <c r="AO116" s="1778">
        <f t="shared" si="108"/>
        <v>0</v>
      </c>
      <c r="AP116" s="1778">
        <f t="shared" si="109"/>
        <v>0</v>
      </c>
      <c r="AQ116" s="1595"/>
      <c r="AR116" s="2049" t="s">
        <v>1564</v>
      </c>
      <c r="AS116" s="2045" t="s">
        <v>425</v>
      </c>
      <c r="AT116" s="2046" t="s">
        <v>426</v>
      </c>
      <c r="AU116" s="2051"/>
      <c r="AV116" s="2051"/>
      <c r="AW116" s="2051"/>
      <c r="AX116" s="2051"/>
      <c r="AY116" s="2051"/>
      <c r="AZ116" s="2051"/>
      <c r="BA116" s="2051"/>
      <c r="BB116" s="2052"/>
      <c r="BC116" s="2051"/>
      <c r="BD116" s="2051"/>
      <c r="BE116" s="2053"/>
      <c r="BF116" s="2054"/>
      <c r="BG116" s="2054"/>
      <c r="BH116"/>
      <c r="BI116" s="2049" t="s">
        <v>1564</v>
      </c>
      <c r="BJ116" s="2045" t="s">
        <v>425</v>
      </c>
      <c r="BK116" s="2046" t="s">
        <v>426</v>
      </c>
      <c r="BL116" s="2051"/>
      <c r="BM116" s="2051"/>
      <c r="BN116" s="2051"/>
      <c r="BO116" s="2051"/>
      <c r="BP116" s="2051"/>
      <c r="BQ116" s="2051"/>
      <c r="BR116" s="2051"/>
      <c r="BS116" s="2052"/>
      <c r="BT116" s="2051"/>
      <c r="BU116" s="2051"/>
      <c r="BV116" s="2053"/>
      <c r="BW116" s="2054"/>
      <c r="BX116" s="2054"/>
      <c r="BY116"/>
    </row>
    <row r="117" spans="1:77" s="1605" customFormat="1" ht="13.5" customHeight="1">
      <c r="A117"/>
      <c r="B117" s="1597" t="str">
        <f t="shared" si="116"/>
        <v>LR1</v>
      </c>
      <c r="C117" s="1597" t="str">
        <f t="shared" si="117"/>
        <v>エネルギー</v>
      </c>
      <c r="D117" s="2091">
        <f>IF(I$116=0,0,G117/I$116)</f>
        <v>0.39999999999999997</v>
      </c>
      <c r="E117" s="2057">
        <f>IF(J$116=0,0,H117/J$116)</f>
        <v>0</v>
      </c>
      <c r="F117"/>
      <c r="G117" s="2057">
        <f t="shared" si="118"/>
        <v>0.39999999999999997</v>
      </c>
      <c r="H117" s="2057">
        <f t="shared" si="118"/>
        <v>0</v>
      </c>
      <c r="I117" s="2057">
        <f>G118+G119+G124+G133</f>
        <v>1</v>
      </c>
      <c r="J117" s="2057">
        <f>H118+H119+H124+H133</f>
        <v>0</v>
      </c>
      <c r="K117" s="1600">
        <f>IF(スコア表示!X117=0,0,1)</f>
        <v>1</v>
      </c>
      <c r="L117" s="1600">
        <f>IF(スコア表示!AB117=0,0,1)</f>
        <v>0</v>
      </c>
      <c r="M117"/>
      <c r="N117" s="1731">
        <f>IF(P$116=0,0,R117/P$116)</f>
        <v>0.39999999999999997</v>
      </c>
      <c r="O117" s="1731">
        <f>IF(Q$116=0,0,S117/Q$116)</f>
        <v>0</v>
      </c>
      <c r="P117" s="1600">
        <f>R118+R119+R124+R133</f>
        <v>1</v>
      </c>
      <c r="Q117" s="1600">
        <f>S118+S119+S124+S133</f>
        <v>0</v>
      </c>
      <c r="R117" s="1600">
        <f>IF(スコア入力!R117="EB",重み_対象外!D117,U117)</f>
        <v>0.39999999999999997</v>
      </c>
      <c r="S117" s="1600">
        <f>IF(スコア入力!Y117="EB",重み_対象外!E117,V117)</f>
        <v>0</v>
      </c>
      <c r="T117" s="1560"/>
      <c r="U117" s="1753">
        <f>X117</f>
        <v>0.39999999999999997</v>
      </c>
      <c r="V117" s="1753">
        <f>Y117</f>
        <v>0</v>
      </c>
      <c r="W117" s="1560"/>
      <c r="X117" s="1600">
        <f t="shared" si="73"/>
        <v>0.39999999999999997</v>
      </c>
      <c r="Y117" s="1600">
        <f t="shared" si="74"/>
        <v>0</v>
      </c>
      <c r="Z117" s="1640"/>
      <c r="AA117" s="1602" t="str">
        <f t="shared" si="122"/>
        <v>LR1</v>
      </c>
      <c r="AB117" s="1602" t="str">
        <f t="shared" ref="AB117:AB152" si="123">IF($AA$3=1,AS117,BJ117)</f>
        <v>LR</v>
      </c>
      <c r="AC117" s="1602" t="str">
        <f t="shared" si="93"/>
        <v>エネルギー</v>
      </c>
      <c r="AD117" s="1754">
        <f t="shared" si="94"/>
        <v>0.4</v>
      </c>
      <c r="AE117" s="1754">
        <f t="shared" si="95"/>
        <v>0.4</v>
      </c>
      <c r="AF117" s="1754">
        <f t="shared" si="96"/>
        <v>0.4</v>
      </c>
      <c r="AG117" s="1754">
        <f t="shared" si="97"/>
        <v>0.4</v>
      </c>
      <c r="AH117" s="1754">
        <f t="shared" si="98"/>
        <v>0.4</v>
      </c>
      <c r="AI117" s="1754">
        <f t="shared" si="99"/>
        <v>0.4</v>
      </c>
      <c r="AJ117" s="1754">
        <f t="shared" si="100"/>
        <v>0.4</v>
      </c>
      <c r="AK117" s="1754">
        <f t="shared" si="101"/>
        <v>0.4</v>
      </c>
      <c r="AL117" s="1754">
        <f t="shared" si="102"/>
        <v>0.4</v>
      </c>
      <c r="AM117" s="1754">
        <f t="shared" si="102"/>
        <v>0.4</v>
      </c>
      <c r="AN117" s="1755">
        <f t="shared" si="107"/>
        <v>0</v>
      </c>
      <c r="AO117" s="1754">
        <f t="shared" si="108"/>
        <v>0</v>
      </c>
      <c r="AP117" s="1754">
        <f t="shared" si="109"/>
        <v>0</v>
      </c>
      <c r="AQ117" s="1604"/>
      <c r="AR117" s="1597" t="s">
        <v>1565</v>
      </c>
      <c r="AS117" s="2059" t="s">
        <v>1567</v>
      </c>
      <c r="AT117" s="2058" t="s">
        <v>1569</v>
      </c>
      <c r="AU117" s="2060">
        <v>0.4</v>
      </c>
      <c r="AV117" s="2060">
        <v>0.4</v>
      </c>
      <c r="AW117" s="2060">
        <v>0.4</v>
      </c>
      <c r="AX117" s="2060">
        <v>0.4</v>
      </c>
      <c r="AY117" s="2060">
        <v>0.4</v>
      </c>
      <c r="AZ117" s="2060">
        <v>0.4</v>
      </c>
      <c r="BA117" s="2060">
        <v>0.4</v>
      </c>
      <c r="BB117" s="2060">
        <v>0.4</v>
      </c>
      <c r="BC117" s="2060">
        <v>0.4</v>
      </c>
      <c r="BD117" s="2060">
        <v>0.4</v>
      </c>
      <c r="BE117" s="2061"/>
      <c r="BF117" s="2060"/>
      <c r="BG117" s="2060"/>
      <c r="BH117"/>
      <c r="BI117" s="1597" t="s">
        <v>1565</v>
      </c>
      <c r="BJ117" s="2059" t="s">
        <v>1567</v>
      </c>
      <c r="BK117" s="2058" t="s">
        <v>1569</v>
      </c>
      <c r="BL117" s="2060">
        <v>0.4</v>
      </c>
      <c r="BM117" s="2060">
        <v>0.4</v>
      </c>
      <c r="BN117" s="2060">
        <v>0.4</v>
      </c>
      <c r="BO117" s="2060">
        <v>0.4</v>
      </c>
      <c r="BP117" s="2060">
        <v>0.4</v>
      </c>
      <c r="BQ117" s="2060">
        <v>0.4</v>
      </c>
      <c r="BR117" s="2060">
        <v>0.4</v>
      </c>
      <c r="BS117" s="2060">
        <v>0.4</v>
      </c>
      <c r="BT117" s="2060">
        <v>0.4</v>
      </c>
      <c r="BU117" s="2060">
        <v>0.4</v>
      </c>
      <c r="BV117" s="2061"/>
      <c r="BW117" s="2060"/>
      <c r="BX117" s="2060"/>
      <c r="BY117"/>
    </row>
    <row r="118" spans="1:77" s="1605" customFormat="1" ht="13.5" customHeight="1">
      <c r="A118"/>
      <c r="B118" s="1673">
        <f t="shared" si="116"/>
        <v>1</v>
      </c>
      <c r="C118" s="1641" t="str">
        <f t="shared" si="117"/>
        <v>建物外皮の熱負荷抑制</v>
      </c>
      <c r="D118" s="2062">
        <f>IF(I$117=0,0,G118/I$117)</f>
        <v>0.19999999999999998</v>
      </c>
      <c r="E118" s="1743">
        <f>IF(J$117=0,0,H118/J$117)</f>
        <v>0</v>
      </c>
      <c r="F118"/>
      <c r="G118" s="1743">
        <f t="shared" si="118"/>
        <v>0.19999999999999998</v>
      </c>
      <c r="H118" s="1743">
        <f t="shared" si="118"/>
        <v>0</v>
      </c>
      <c r="I118" s="1743"/>
      <c r="J118" s="1743"/>
      <c r="K118" s="1609">
        <f>IF(スコア表示!X118=0,0,1)</f>
        <v>1</v>
      </c>
      <c r="L118" s="1609">
        <f>IF(スコア表示!AB118=0,0,1)</f>
        <v>0</v>
      </c>
      <c r="M118"/>
      <c r="N118" s="1707">
        <f>IF(P$117=0,0,R118/P$117)</f>
        <v>0.19999999999999998</v>
      </c>
      <c r="O118" s="1707">
        <f>IF(Q$117=0,0,S118/Q$117)</f>
        <v>0</v>
      </c>
      <c r="P118" s="1609"/>
      <c r="Q118" s="1609"/>
      <c r="R118" s="1609">
        <f>IF(スコア入力!R118="EB",重み_対象外!D118,U118)</f>
        <v>0.19999999999999998</v>
      </c>
      <c r="S118" s="1609">
        <f>IF(スコア入力!Y118="EB",重み_対象外!E118,V118)</f>
        <v>0</v>
      </c>
      <c r="T118" s="1560"/>
      <c r="U118" s="1710">
        <f>X118</f>
        <v>0.19999999999999998</v>
      </c>
      <c r="V118" s="1710">
        <f>Y118</f>
        <v>0</v>
      </c>
      <c r="W118" s="1560"/>
      <c r="X118" s="1609">
        <f t="shared" si="73"/>
        <v>0.19999999999999998</v>
      </c>
      <c r="Y118" s="1609">
        <f t="shared" si="74"/>
        <v>0</v>
      </c>
      <c r="Z118" s="1642"/>
      <c r="AA118" s="1674">
        <f t="shared" si="122"/>
        <v>1</v>
      </c>
      <c r="AB118" s="1597">
        <v>1</v>
      </c>
      <c r="AC118" s="1780" t="s">
        <v>1810</v>
      </c>
      <c r="AD118" s="1765">
        <f t="shared" si="94"/>
        <v>0.2</v>
      </c>
      <c r="AE118" s="1765">
        <f t="shared" si="95"/>
        <v>0.2</v>
      </c>
      <c r="AF118" s="1765">
        <f t="shared" si="96"/>
        <v>0.2</v>
      </c>
      <c r="AG118" s="1765">
        <f t="shared" si="97"/>
        <v>0.2</v>
      </c>
      <c r="AH118" s="1765">
        <f t="shared" si="98"/>
        <v>0.2</v>
      </c>
      <c r="AI118" s="1765">
        <f t="shared" si="99"/>
        <v>0.2</v>
      </c>
      <c r="AJ118" s="1765">
        <f t="shared" si="100"/>
        <v>0.2</v>
      </c>
      <c r="AK118" s="1757">
        <f t="shared" si="101"/>
        <v>0.2</v>
      </c>
      <c r="AL118" s="1765">
        <f t="shared" si="102"/>
        <v>0</v>
      </c>
      <c r="AM118" s="1765">
        <f t="shared" si="102"/>
        <v>0.2</v>
      </c>
      <c r="AN118" s="1758">
        <f t="shared" si="107"/>
        <v>0</v>
      </c>
      <c r="AO118" s="1756">
        <f t="shared" si="108"/>
        <v>0</v>
      </c>
      <c r="AP118" s="1756">
        <f t="shared" si="109"/>
        <v>0</v>
      </c>
      <c r="AQ118" s="1612"/>
      <c r="AR118" s="1673">
        <v>1</v>
      </c>
      <c r="AS118" s="1597">
        <v>1</v>
      </c>
      <c r="AT118" s="1780" t="s">
        <v>1810</v>
      </c>
      <c r="AU118" s="2079">
        <v>0.2</v>
      </c>
      <c r="AV118" s="2079">
        <v>0.2</v>
      </c>
      <c r="AW118" s="2079">
        <v>0.2</v>
      </c>
      <c r="AX118" s="2079">
        <v>0.2</v>
      </c>
      <c r="AY118" s="2079">
        <v>0.2</v>
      </c>
      <c r="AZ118" s="2079">
        <v>0.2</v>
      </c>
      <c r="BA118" s="2079">
        <v>0.2</v>
      </c>
      <c r="BB118" s="2079">
        <v>0.2</v>
      </c>
      <c r="BC118" s="2079"/>
      <c r="BD118" s="2079">
        <v>0.2</v>
      </c>
      <c r="BE118" s="2063"/>
      <c r="BF118" s="1711"/>
      <c r="BG118" s="1711"/>
      <c r="BH118"/>
      <c r="BI118" s="1673">
        <v>1</v>
      </c>
      <c r="BJ118" s="1597">
        <v>1</v>
      </c>
      <c r="BK118" s="1780" t="s">
        <v>1810</v>
      </c>
      <c r="BL118" s="2079">
        <v>0.2</v>
      </c>
      <c r="BM118" s="2079">
        <v>0.2</v>
      </c>
      <c r="BN118" s="2079">
        <v>0.2</v>
      </c>
      <c r="BO118" s="2079">
        <v>0.2</v>
      </c>
      <c r="BP118" s="2079">
        <v>0.2</v>
      </c>
      <c r="BQ118" s="2079">
        <v>0.2</v>
      </c>
      <c r="BR118" s="2079">
        <v>0.2</v>
      </c>
      <c r="BS118" s="2079">
        <v>0.2</v>
      </c>
      <c r="BT118" s="2079"/>
      <c r="BU118" s="2079">
        <v>0.2</v>
      </c>
      <c r="BV118" s="2063"/>
      <c r="BW118" s="1711"/>
      <c r="BX118" s="1711"/>
      <c r="BY118"/>
    </row>
    <row r="119" spans="1:77" s="1605" customFormat="1" ht="13.5" customHeight="1">
      <c r="A119"/>
      <c r="B119" s="1641">
        <f t="shared" si="116"/>
        <v>2</v>
      </c>
      <c r="C119" s="1641" t="str">
        <f t="shared" si="117"/>
        <v>自然エネルギー利用</v>
      </c>
      <c r="D119" s="2062">
        <f>IF(I$117=0,0,G119/I$117)</f>
        <v>9.9999999999999992E-2</v>
      </c>
      <c r="E119" s="1743">
        <f>IF(J$117=0,0,H119/J$117)</f>
        <v>0</v>
      </c>
      <c r="F119"/>
      <c r="G119" s="1743">
        <f>K119*N119</f>
        <v>9.9999999999999992E-2</v>
      </c>
      <c r="H119" s="1743">
        <f t="shared" ref="H119" si="124">L119*O119</f>
        <v>0</v>
      </c>
      <c r="I119" s="1724">
        <f>SUM(G120:G121)</f>
        <v>1</v>
      </c>
      <c r="J119" s="1724">
        <f>SUM(H120:H121)</f>
        <v>0</v>
      </c>
      <c r="K119" s="1616">
        <f>IF(スコア表示!X119=0,0,1)</f>
        <v>1</v>
      </c>
      <c r="L119" s="1616">
        <f>IF(スコア表示!AB119=0,0,1)</f>
        <v>0</v>
      </c>
      <c r="M119"/>
      <c r="N119" s="1707">
        <f>IF(P$117=0,0,R119/P$117)</f>
        <v>9.9999999999999992E-2</v>
      </c>
      <c r="O119" s="1707">
        <f>IF(Q$117=0,0,S119/Q$117)</f>
        <v>0</v>
      </c>
      <c r="P119" s="1724">
        <f>SUM(R120:R121)</f>
        <v>9.9999999999999992E-2</v>
      </c>
      <c r="Q119" s="1724">
        <f>SUM(S120:S121)</f>
        <v>0</v>
      </c>
      <c r="R119" s="1609">
        <f>IF(スコア入力!R119="EB",重み_対象外!D119,U119)</f>
        <v>9.9999999999999992E-2</v>
      </c>
      <c r="S119" s="1609">
        <f>IF(スコア入力!Y119="EB",重み_対象外!E119,V119)</f>
        <v>0</v>
      </c>
      <c r="T119" s="1560"/>
      <c r="U119" s="1607">
        <f>SUM(U120:U123)</f>
        <v>9.9999999999999992E-2</v>
      </c>
      <c r="V119" s="1607">
        <f>SUM(V120:V123)</f>
        <v>0</v>
      </c>
      <c r="W119" s="1560"/>
      <c r="X119" s="1609">
        <f>SUMPRODUCT($AD$7:$AM$7,AD119:AM119)</f>
        <v>9.9999999999999992E-2</v>
      </c>
      <c r="Y119" s="1779">
        <f t="shared" ref="Y119:Y121" si="125">(AN$7*AN119)+(AO$7*AO119)+(AP$7*AP119)</f>
        <v>0</v>
      </c>
      <c r="Z119" s="1642"/>
      <c r="AA119" s="1606">
        <f t="shared" si="122"/>
        <v>2</v>
      </c>
      <c r="AB119" s="1597">
        <v>2</v>
      </c>
      <c r="AC119" s="1780" t="s">
        <v>1811</v>
      </c>
      <c r="AD119" s="1765">
        <f t="shared" si="94"/>
        <v>0.1</v>
      </c>
      <c r="AE119" s="1765">
        <f t="shared" si="95"/>
        <v>0.1</v>
      </c>
      <c r="AF119" s="1765">
        <f t="shared" si="96"/>
        <v>0.1</v>
      </c>
      <c r="AG119" s="1765">
        <f t="shared" si="97"/>
        <v>0.1</v>
      </c>
      <c r="AH119" s="1765">
        <f t="shared" si="98"/>
        <v>0.1</v>
      </c>
      <c r="AI119" s="1765">
        <f t="shared" si="99"/>
        <v>0.1</v>
      </c>
      <c r="AJ119" s="1765">
        <f t="shared" si="100"/>
        <v>0.1</v>
      </c>
      <c r="AK119" s="1757">
        <f t="shared" si="101"/>
        <v>0.1</v>
      </c>
      <c r="AL119" s="1765">
        <f t="shared" si="102"/>
        <v>0.125</v>
      </c>
      <c r="AM119" s="1765">
        <f t="shared" si="102"/>
        <v>0.1</v>
      </c>
      <c r="AN119" s="1758">
        <f t="shared" si="107"/>
        <v>0</v>
      </c>
      <c r="AO119" s="1756">
        <f t="shared" si="108"/>
        <v>0</v>
      </c>
      <c r="AP119" s="1756">
        <f t="shared" si="109"/>
        <v>0</v>
      </c>
      <c r="AQ119" s="1612"/>
      <c r="AR119" s="1641">
        <v>2</v>
      </c>
      <c r="AS119" s="1597">
        <v>2</v>
      </c>
      <c r="AT119" s="1780" t="s">
        <v>1811</v>
      </c>
      <c r="AU119" s="2079">
        <v>0.1</v>
      </c>
      <c r="AV119" s="2079">
        <v>0.1</v>
      </c>
      <c r="AW119" s="2079">
        <v>0.1</v>
      </c>
      <c r="AX119" s="2079">
        <v>0.1</v>
      </c>
      <c r="AY119" s="2079">
        <v>0.1</v>
      </c>
      <c r="AZ119" s="2079">
        <v>0.1</v>
      </c>
      <c r="BA119" s="2079">
        <v>0.1</v>
      </c>
      <c r="BB119" s="2079">
        <v>0.1</v>
      </c>
      <c r="BC119" s="2352">
        <v>0.125</v>
      </c>
      <c r="BD119" s="2079">
        <v>0.1</v>
      </c>
      <c r="BE119" s="2063"/>
      <c r="BF119" s="1711"/>
      <c r="BG119" s="1711"/>
      <c r="BH119"/>
      <c r="BI119" s="1641">
        <v>2</v>
      </c>
      <c r="BJ119" s="1597">
        <v>2</v>
      </c>
      <c r="BK119" s="1780" t="s">
        <v>1811</v>
      </c>
      <c r="BL119" s="2079">
        <v>0.1</v>
      </c>
      <c r="BM119" s="2079">
        <v>0.1</v>
      </c>
      <c r="BN119" s="2079">
        <v>0.1</v>
      </c>
      <c r="BO119" s="2079">
        <v>0.1</v>
      </c>
      <c r="BP119" s="2079">
        <v>0.1</v>
      </c>
      <c r="BQ119" s="2079">
        <v>0.1</v>
      </c>
      <c r="BR119" s="2079">
        <v>0.1</v>
      </c>
      <c r="BS119" s="2079">
        <v>0.1</v>
      </c>
      <c r="BT119" s="2352">
        <v>0.125</v>
      </c>
      <c r="BU119" s="2079">
        <v>0.1</v>
      </c>
      <c r="BV119" s="2063"/>
      <c r="BW119" s="1711"/>
      <c r="BX119" s="1711"/>
      <c r="BY119"/>
    </row>
    <row r="120" spans="1:77" s="1605" customFormat="1" ht="13.5" customHeight="1">
      <c r="A120"/>
      <c r="B120" s="1641" t="str">
        <f t="shared" si="116"/>
        <v>2a</v>
      </c>
      <c r="C120" s="1641" t="str">
        <f t="shared" si="117"/>
        <v>小中学校・集合住宅</v>
      </c>
      <c r="D120" s="2062">
        <f>IF(I$124=0,0,G120/I$124)</f>
        <v>0</v>
      </c>
      <c r="E120" s="1743">
        <f>IF(J$124=0,0,H120/J$124)</f>
        <v>0</v>
      </c>
      <c r="F120"/>
      <c r="G120" s="1743">
        <f t="shared" ref="G120:G121" si="126">K120*N120</f>
        <v>0</v>
      </c>
      <c r="H120" s="1743">
        <f>L120*O120</f>
        <v>0</v>
      </c>
      <c r="I120" s="1743"/>
      <c r="J120" s="1743"/>
      <c r="K120" s="1609">
        <f>IF(スコア表示!X120=0,0,1)</f>
        <v>0</v>
      </c>
      <c r="L120" s="1609">
        <f>IF(スコア表示!AB120=0,0,1)</f>
        <v>0</v>
      </c>
      <c r="M120"/>
      <c r="N120" s="1707">
        <f>IF(P$119=0,0,R120/P$119)</f>
        <v>0</v>
      </c>
      <c r="O120" s="1707">
        <f>IF(Q$119=0,0,S120/Q$119)</f>
        <v>0</v>
      </c>
      <c r="P120" s="1609"/>
      <c r="Q120" s="1609"/>
      <c r="R120" s="1609">
        <f>IF(スコア入力!R120="EB",重み_対象外!D120,U120)</f>
        <v>0</v>
      </c>
      <c r="S120" s="1609">
        <f>IF(スコア入力!Y120="EB",重み_対象外!E120,V120)</f>
        <v>0</v>
      </c>
      <c r="T120" s="1560"/>
      <c r="U120" s="1614">
        <f>X119*X120</f>
        <v>0</v>
      </c>
      <c r="V120" s="1614">
        <f>Y119*Y120</f>
        <v>0</v>
      </c>
      <c r="W120" s="1560"/>
      <c r="X120" s="1609">
        <f>SUMPRODUCT($AD$7:$AM$7,AD120:AM120)</f>
        <v>0</v>
      </c>
      <c r="Y120" s="1609">
        <f>(AN$7*AN120)+(AO$7*AO120)+(AP$7*AP120)</f>
        <v>0</v>
      </c>
      <c r="Z120" s="1642"/>
      <c r="AA120" s="1647" t="s">
        <v>1830</v>
      </c>
      <c r="AB120" s="1597" t="s">
        <v>1833</v>
      </c>
      <c r="AC120" s="1780" t="s">
        <v>1448</v>
      </c>
      <c r="AD120" s="1736"/>
      <c r="AE120" s="1736"/>
      <c r="AF120" s="1736"/>
      <c r="AG120" s="1736"/>
      <c r="AH120" s="1736"/>
      <c r="AI120" s="1736"/>
      <c r="AJ120" s="1736">
        <v>1</v>
      </c>
      <c r="AK120" s="1736"/>
      <c r="AL120" s="1736"/>
      <c r="AM120" s="1736">
        <v>1</v>
      </c>
      <c r="AN120" s="1758">
        <f t="shared" si="107"/>
        <v>0</v>
      </c>
      <c r="AO120" s="1756">
        <f t="shared" si="108"/>
        <v>0</v>
      </c>
      <c r="AP120" s="1756">
        <f t="shared" si="109"/>
        <v>0</v>
      </c>
      <c r="AQ120" s="1612"/>
      <c r="AR120" s="1647" t="s">
        <v>1830</v>
      </c>
      <c r="AS120" s="1597" t="s">
        <v>1833</v>
      </c>
      <c r="AT120" s="1780" t="s">
        <v>1448</v>
      </c>
      <c r="AU120" s="1736"/>
      <c r="AV120" s="1736"/>
      <c r="AW120" s="1736"/>
      <c r="AX120" s="1736"/>
      <c r="AY120" s="1736"/>
      <c r="AZ120" s="1736"/>
      <c r="BA120" s="1736">
        <v>1</v>
      </c>
      <c r="BB120" s="1736"/>
      <c r="BC120" s="1736"/>
      <c r="BD120" s="1736">
        <v>1</v>
      </c>
      <c r="BE120" s="2063"/>
      <c r="BF120" s="1711"/>
      <c r="BG120" s="1711"/>
      <c r="BH120"/>
      <c r="BI120" s="1647" t="s">
        <v>1830</v>
      </c>
      <c r="BJ120" s="1597" t="s">
        <v>1833</v>
      </c>
      <c r="BK120" s="1780" t="s">
        <v>1448</v>
      </c>
      <c r="BL120" s="1736"/>
      <c r="BM120" s="1736"/>
      <c r="BN120" s="1736"/>
      <c r="BO120" s="1736"/>
      <c r="BP120" s="1736"/>
      <c r="BQ120" s="1736"/>
      <c r="BR120" s="1736">
        <v>1</v>
      </c>
      <c r="BS120" s="1736"/>
      <c r="BT120" s="1736"/>
      <c r="BU120" s="1736">
        <v>1</v>
      </c>
      <c r="BV120" s="2063"/>
      <c r="BW120" s="1711"/>
      <c r="BX120" s="1711"/>
      <c r="BY120"/>
    </row>
    <row r="121" spans="1:77" s="1605" customFormat="1" ht="13.5" customHeight="1">
      <c r="A121"/>
      <c r="B121" s="1641" t="str">
        <f t="shared" si="116"/>
        <v>2b</v>
      </c>
      <c r="C121" s="1641" t="str">
        <f t="shared" si="117"/>
        <v>上記以外</v>
      </c>
      <c r="D121" s="2062">
        <f>IF(I$124=0,0,G121/I$124)</f>
        <v>1</v>
      </c>
      <c r="E121" s="1743">
        <f>IF(J$124=0,0,H121/J$124)</f>
        <v>0</v>
      </c>
      <c r="F121"/>
      <c r="G121" s="1743">
        <f t="shared" si="126"/>
        <v>1</v>
      </c>
      <c r="H121" s="1743">
        <f>L121*O121</f>
        <v>0</v>
      </c>
      <c r="I121" s="1743"/>
      <c r="J121" s="1743"/>
      <c r="K121" s="1609">
        <f>IF(スコア表示!X121=0,0,1)</f>
        <v>1</v>
      </c>
      <c r="L121" s="1609">
        <f>IF(スコア表示!AB121=0,0,1)</f>
        <v>0</v>
      </c>
      <c r="M121"/>
      <c r="N121" s="1707">
        <f>IF(P$119=0,0,R121/P$119)</f>
        <v>1</v>
      </c>
      <c r="O121" s="1707">
        <f>IF(Q$119=0,0,S121/Q$119)</f>
        <v>0</v>
      </c>
      <c r="P121" s="1609"/>
      <c r="Q121" s="1609"/>
      <c r="R121" s="1609">
        <f>IF(スコア入力!R121="EB",重み_対象外!D121,U121)</f>
        <v>9.9999999999999992E-2</v>
      </c>
      <c r="S121" s="1609">
        <f>IF(スコア入力!Y121="EB",重み_対象外!E121,V121)</f>
        <v>0</v>
      </c>
      <c r="T121" s="1560"/>
      <c r="U121" s="1614">
        <f>X119*X121</f>
        <v>9.9999999999999992E-2</v>
      </c>
      <c r="V121" s="1614">
        <f>Y119*Y121</f>
        <v>0</v>
      </c>
      <c r="W121" s="1560"/>
      <c r="X121" s="1609">
        <f t="shared" ref="X121" si="127">SUMPRODUCT($AD$7:$AM$7,AD121:AM121)</f>
        <v>1</v>
      </c>
      <c r="Y121" s="1609">
        <f t="shared" si="125"/>
        <v>0</v>
      </c>
      <c r="Z121" s="1642"/>
      <c r="AA121" s="1647" t="s">
        <v>1832</v>
      </c>
      <c r="AB121" s="1597" t="s">
        <v>1834</v>
      </c>
      <c r="AC121" s="1780" t="s">
        <v>1449</v>
      </c>
      <c r="AD121" s="1736">
        <v>1</v>
      </c>
      <c r="AE121" s="1736">
        <v>1</v>
      </c>
      <c r="AF121" s="1736">
        <v>1</v>
      </c>
      <c r="AG121" s="1736">
        <v>1</v>
      </c>
      <c r="AH121" s="1736">
        <v>1</v>
      </c>
      <c r="AI121" s="1736">
        <v>1</v>
      </c>
      <c r="AJ121" s="1736"/>
      <c r="AK121" s="1736">
        <v>1</v>
      </c>
      <c r="AL121" s="1736">
        <v>1</v>
      </c>
      <c r="AM121" s="1736"/>
      <c r="AN121" s="1758">
        <f t="shared" si="107"/>
        <v>0</v>
      </c>
      <c r="AO121" s="1756">
        <f t="shared" si="108"/>
        <v>0</v>
      </c>
      <c r="AP121" s="1756">
        <f t="shared" si="109"/>
        <v>0</v>
      </c>
      <c r="AQ121" s="1612"/>
      <c r="AR121" s="1647" t="s">
        <v>1832</v>
      </c>
      <c r="AS121" s="1597" t="s">
        <v>1834</v>
      </c>
      <c r="AT121" s="1780" t="s">
        <v>1449</v>
      </c>
      <c r="AU121" s="1736">
        <v>1</v>
      </c>
      <c r="AV121" s="1736">
        <v>1</v>
      </c>
      <c r="AW121" s="1736">
        <v>1</v>
      </c>
      <c r="AX121" s="1736">
        <v>1</v>
      </c>
      <c r="AY121" s="1736">
        <v>1</v>
      </c>
      <c r="AZ121" s="1736">
        <v>1</v>
      </c>
      <c r="BA121" s="1736"/>
      <c r="BB121" s="1736">
        <v>1</v>
      </c>
      <c r="BC121" s="1736">
        <v>1</v>
      </c>
      <c r="BD121" s="1736"/>
      <c r="BE121" s="2063"/>
      <c r="BF121" s="1711"/>
      <c r="BG121" s="1711"/>
      <c r="BH121"/>
      <c r="BI121" s="1647" t="s">
        <v>1832</v>
      </c>
      <c r="BJ121" s="1597" t="s">
        <v>1834</v>
      </c>
      <c r="BK121" s="1780" t="s">
        <v>1449</v>
      </c>
      <c r="BL121" s="1736">
        <v>1</v>
      </c>
      <c r="BM121" s="1736">
        <v>1</v>
      </c>
      <c r="BN121" s="1736">
        <v>1</v>
      </c>
      <c r="BO121" s="1736">
        <v>1</v>
      </c>
      <c r="BP121" s="1736">
        <v>1</v>
      </c>
      <c r="BQ121" s="1736">
        <v>1</v>
      </c>
      <c r="BR121" s="1736"/>
      <c r="BS121" s="1736">
        <v>1</v>
      </c>
      <c r="BT121" s="1736">
        <v>1</v>
      </c>
      <c r="BU121" s="1736"/>
      <c r="BV121" s="2063"/>
      <c r="BW121" s="1711"/>
      <c r="BX121" s="1711"/>
      <c r="BY121"/>
    </row>
    <row r="122" spans="1:77" ht="13.5" hidden="1" customHeight="1">
      <c r="B122" s="1647" t="str">
        <f t="shared" si="116"/>
        <v>2.1</v>
      </c>
      <c r="C122" s="1647" t="str">
        <f t="shared" si="117"/>
        <v>自然エネルギーの直接利用</v>
      </c>
      <c r="D122" s="1716">
        <f>IF(I$121=0,0,G122/I$121)</f>
        <v>0</v>
      </c>
      <c r="E122" s="1716">
        <f>IF(J$121=0,0,H122/J$121)</f>
        <v>0</v>
      </c>
      <c r="G122" s="1691">
        <f t="shared" si="118"/>
        <v>0</v>
      </c>
      <c r="H122" s="1691">
        <f t="shared" si="118"/>
        <v>0</v>
      </c>
      <c r="I122" s="1691"/>
      <c r="J122" s="1691"/>
      <c r="K122" s="1616">
        <f>IF(スコア表示!X122=0,0,1)</f>
        <v>0</v>
      </c>
      <c r="L122" s="1616">
        <f>IF(スコア表示!AB122=0,0,1)</f>
        <v>0</v>
      </c>
      <c r="N122" s="1713">
        <f>IF(P$121=0,0,R122/P$121)</f>
        <v>0</v>
      </c>
      <c r="O122" s="1713">
        <f>IF(Q$121=0,0,S122/Q$121)</f>
        <v>0</v>
      </c>
      <c r="P122" s="1616"/>
      <c r="Q122" s="1616"/>
      <c r="R122" s="1616">
        <f>IF(スコア入力!R122="EB",重み_対象外!D122,U122)</f>
        <v>0</v>
      </c>
      <c r="S122" s="1616">
        <f>IF(スコア入力!Y122="EB",重み_対象外!E122,V122)</f>
        <v>0</v>
      </c>
      <c r="T122" s="1560"/>
      <c r="U122" s="1614"/>
      <c r="V122" s="1614"/>
      <c r="W122" s="1560"/>
      <c r="X122" s="1616">
        <f t="shared" si="73"/>
        <v>0</v>
      </c>
      <c r="Y122" s="1616">
        <f t="shared" si="74"/>
        <v>0</v>
      </c>
      <c r="Z122" s="1644"/>
      <c r="AA122" s="1613" t="str">
        <f t="shared" si="122"/>
        <v>2.1</v>
      </c>
      <c r="AB122" s="1597" t="s">
        <v>1812</v>
      </c>
      <c r="AC122" s="1737" t="s">
        <v>784</v>
      </c>
      <c r="AD122" s="1759"/>
      <c r="AE122" s="1759"/>
      <c r="AF122" s="1759"/>
      <c r="AG122" s="1759"/>
      <c r="AH122" s="1759"/>
      <c r="AI122" s="1759"/>
      <c r="AJ122" s="1759"/>
      <c r="AK122" s="1759"/>
      <c r="AL122" s="1759"/>
      <c r="AM122" s="1759"/>
      <c r="AN122" s="1773">
        <f t="shared" si="107"/>
        <v>0</v>
      </c>
      <c r="AO122" s="1772">
        <f t="shared" si="108"/>
        <v>0</v>
      </c>
      <c r="AP122" s="1772">
        <f t="shared" si="109"/>
        <v>0</v>
      </c>
      <c r="AQ122" s="1678"/>
      <c r="AR122" s="1647" t="s">
        <v>1572</v>
      </c>
      <c r="AS122" s="1597" t="s">
        <v>1812</v>
      </c>
      <c r="AT122" s="1737" t="s">
        <v>784</v>
      </c>
      <c r="AU122" s="1623"/>
      <c r="AV122" s="1623"/>
      <c r="AW122" s="1623"/>
      <c r="AX122" s="1623"/>
      <c r="AY122" s="1623"/>
      <c r="AZ122" s="1623"/>
      <c r="BA122" s="1623"/>
      <c r="BB122" s="1623"/>
      <c r="BC122" s="1623"/>
      <c r="BD122" s="1623"/>
      <c r="BE122" s="2088"/>
      <c r="BF122" s="2087"/>
      <c r="BG122" s="2087"/>
      <c r="BI122" s="1647" t="s">
        <v>1572</v>
      </c>
      <c r="BJ122" s="1597" t="s">
        <v>1812</v>
      </c>
      <c r="BK122" s="1737"/>
      <c r="BL122" s="1623"/>
      <c r="BM122" s="1623"/>
      <c r="BN122" s="1623"/>
      <c r="BO122" s="1623"/>
      <c r="BP122" s="1623"/>
      <c r="BQ122" s="1623"/>
      <c r="BR122" s="1623"/>
      <c r="BS122" s="1623"/>
      <c r="BT122" s="1623"/>
      <c r="BU122" s="1623"/>
      <c r="BV122" s="2088"/>
      <c r="BW122" s="2087"/>
      <c r="BX122" s="2087"/>
    </row>
    <row r="123" spans="1:77" ht="13.5" hidden="1" customHeight="1">
      <c r="B123" s="1647" t="str">
        <f t="shared" si="116"/>
        <v>2.2</v>
      </c>
      <c r="C123" s="1647" t="str">
        <f t="shared" si="117"/>
        <v>自然エネルギーの変換利用</v>
      </c>
      <c r="D123" s="1716">
        <f>IF(I$121=0,0,G123/I$121)</f>
        <v>0</v>
      </c>
      <c r="E123" s="1716">
        <f>IF(J$121=0,0,H123/J$121)</f>
        <v>0</v>
      </c>
      <c r="G123" s="1691">
        <f t="shared" si="118"/>
        <v>0</v>
      </c>
      <c r="H123" s="1691">
        <f t="shared" si="118"/>
        <v>0</v>
      </c>
      <c r="I123" s="1691"/>
      <c r="J123" s="1691"/>
      <c r="K123" s="1616">
        <f>IF(スコア表示!X123=0,0,1)</f>
        <v>0</v>
      </c>
      <c r="L123" s="1616">
        <f>IF(スコア表示!AB123=0,0,1)</f>
        <v>0</v>
      </c>
      <c r="N123" s="1713">
        <f>IF(P$121=0,0,R123/P$121)</f>
        <v>0</v>
      </c>
      <c r="O123" s="1713">
        <f>IF(Q$121=0,0,S123/Q$121)</f>
        <v>0</v>
      </c>
      <c r="P123" s="1616"/>
      <c r="Q123" s="1616"/>
      <c r="R123" s="1616">
        <f>IF(スコア入力!R123="EB",重み_対象外!D123,U123)</f>
        <v>0</v>
      </c>
      <c r="S123" s="1616">
        <f>IF(スコア入力!Y123="EB",重み_対象外!E123,V123)</f>
        <v>0</v>
      </c>
      <c r="T123" s="1560"/>
      <c r="U123" s="1614"/>
      <c r="V123" s="1614"/>
      <c r="W123" s="1560"/>
      <c r="X123" s="1616">
        <f t="shared" si="73"/>
        <v>0</v>
      </c>
      <c r="Y123" s="1616">
        <f t="shared" si="74"/>
        <v>0</v>
      </c>
      <c r="Z123" s="1645"/>
      <c r="AA123" s="1613" t="str">
        <f t="shared" si="122"/>
        <v>2.2</v>
      </c>
      <c r="AB123" s="1597" t="s">
        <v>1813</v>
      </c>
      <c r="AC123" s="1737" t="s">
        <v>785</v>
      </c>
      <c r="AD123" s="1759">
        <f t="shared" si="94"/>
        <v>0</v>
      </c>
      <c r="AE123" s="1759">
        <f t="shared" si="95"/>
        <v>0</v>
      </c>
      <c r="AF123" s="1759">
        <f t="shared" si="96"/>
        <v>0</v>
      </c>
      <c r="AG123" s="1759">
        <f t="shared" si="97"/>
        <v>0</v>
      </c>
      <c r="AH123" s="1759">
        <f t="shared" si="98"/>
        <v>0</v>
      </c>
      <c r="AI123" s="1759">
        <f t="shared" si="99"/>
        <v>0</v>
      </c>
      <c r="AJ123" s="1759">
        <f t="shared" si="100"/>
        <v>0</v>
      </c>
      <c r="AK123" s="1761">
        <f t="shared" si="101"/>
        <v>0</v>
      </c>
      <c r="AL123" s="1759">
        <f t="shared" si="102"/>
        <v>0</v>
      </c>
      <c r="AM123" s="1759">
        <f t="shared" si="102"/>
        <v>0</v>
      </c>
      <c r="AN123" s="1773">
        <f t="shared" si="107"/>
        <v>0</v>
      </c>
      <c r="AO123" s="1772">
        <f t="shared" si="108"/>
        <v>0</v>
      </c>
      <c r="AP123" s="1772">
        <f t="shared" si="109"/>
        <v>0</v>
      </c>
      <c r="AQ123" s="1678"/>
      <c r="AR123" s="1647" t="s">
        <v>1574</v>
      </c>
      <c r="AS123" s="1597" t="s">
        <v>1813</v>
      </c>
      <c r="AT123" s="1737" t="s">
        <v>785</v>
      </c>
      <c r="AU123" s="1623"/>
      <c r="AV123" s="1623"/>
      <c r="AW123" s="1623"/>
      <c r="AX123" s="1623"/>
      <c r="AY123" s="1623"/>
      <c r="AZ123" s="1623"/>
      <c r="BA123" s="1623"/>
      <c r="BB123" s="1623"/>
      <c r="BC123" s="1623"/>
      <c r="BD123" s="1623"/>
      <c r="BE123" s="2088"/>
      <c r="BF123" s="2087"/>
      <c r="BG123" s="2087"/>
      <c r="BI123" s="1647" t="s">
        <v>1574</v>
      </c>
      <c r="BJ123" s="1597" t="s">
        <v>1813</v>
      </c>
      <c r="BK123" s="1737"/>
      <c r="BL123" s="1623"/>
      <c r="BM123" s="1623"/>
      <c r="BN123" s="1623"/>
      <c r="BO123" s="1623"/>
      <c r="BP123" s="1623"/>
      <c r="BQ123" s="1623"/>
      <c r="BR123" s="1623"/>
      <c r="BS123" s="1623"/>
      <c r="BT123" s="1623"/>
      <c r="BU123" s="1623"/>
      <c r="BV123" s="2088"/>
      <c r="BW123" s="2087"/>
      <c r="BX123" s="2087"/>
    </row>
    <row r="124" spans="1:77" s="1605" customFormat="1" ht="13.5" customHeight="1">
      <c r="A124"/>
      <c r="B124" s="1641">
        <f t="shared" si="116"/>
        <v>3</v>
      </c>
      <c r="C124" s="1641" t="str">
        <f t="shared" si="117"/>
        <v>設備システムの高効率化</v>
      </c>
      <c r="D124" s="2062">
        <f>IF(I$117=0,0,G124/I$117)</f>
        <v>0.5</v>
      </c>
      <c r="E124" s="1743">
        <f>IF(J$117=0,0,H124/J$117)</f>
        <v>0</v>
      </c>
      <c r="F124"/>
      <c r="G124" s="1743">
        <f t="shared" si="118"/>
        <v>0.5</v>
      </c>
      <c r="H124" s="1743">
        <f t="shared" si="118"/>
        <v>0</v>
      </c>
      <c r="I124" s="1724">
        <f>SUM(G125:G126)</f>
        <v>1</v>
      </c>
      <c r="J124" s="1724">
        <f>SUM(H125:H126)</f>
        <v>0</v>
      </c>
      <c r="K124" s="1616">
        <f>IF(スコア表示!X124=0,0,1)</f>
        <v>1</v>
      </c>
      <c r="L124" s="1616">
        <f>IF(スコア表示!AB124=0,0,1)</f>
        <v>0</v>
      </c>
      <c r="M124"/>
      <c r="N124" s="1707">
        <f>IF(P$117=0,0,R124/P$117)</f>
        <v>0.5</v>
      </c>
      <c r="O124" s="1707">
        <f>IF(Q$117=0,0,S124/Q$117)</f>
        <v>0</v>
      </c>
      <c r="P124" s="1724">
        <f>SUM(R125:R131)</f>
        <v>0.5</v>
      </c>
      <c r="Q124" s="1724">
        <f>SUM(S125:S131)</f>
        <v>0</v>
      </c>
      <c r="R124" s="1609">
        <f>IF(スコア入力!R124="EB",重み_対象外!D124,U124)</f>
        <v>0.5</v>
      </c>
      <c r="S124" s="1609">
        <f>IF(スコア入力!Y124="EB",重み_対象外!E124,V124)</f>
        <v>0</v>
      </c>
      <c r="T124" s="1560"/>
      <c r="U124" s="1607">
        <f>SUM(U125:U132)</f>
        <v>0.5</v>
      </c>
      <c r="V124" s="1607">
        <f>SUM(V125:V132)</f>
        <v>0</v>
      </c>
      <c r="W124" s="1560"/>
      <c r="X124" s="1609">
        <f t="shared" si="73"/>
        <v>0.5</v>
      </c>
      <c r="Y124" s="1779">
        <f t="shared" si="74"/>
        <v>0</v>
      </c>
      <c r="Z124" s="1642"/>
      <c r="AA124" s="1606">
        <f t="shared" si="122"/>
        <v>3</v>
      </c>
      <c r="AB124" s="1597">
        <v>3</v>
      </c>
      <c r="AC124" s="1780" t="s">
        <v>1814</v>
      </c>
      <c r="AD124" s="1765">
        <f t="shared" si="94"/>
        <v>0.5</v>
      </c>
      <c r="AE124" s="1765">
        <f t="shared" si="95"/>
        <v>0.5</v>
      </c>
      <c r="AF124" s="1765">
        <f t="shared" si="96"/>
        <v>0.5</v>
      </c>
      <c r="AG124" s="1765">
        <f t="shared" si="97"/>
        <v>0.5</v>
      </c>
      <c r="AH124" s="1765">
        <f t="shared" si="98"/>
        <v>0.5</v>
      </c>
      <c r="AI124" s="1765">
        <f t="shared" si="99"/>
        <v>0.5</v>
      </c>
      <c r="AJ124" s="1765">
        <f t="shared" si="100"/>
        <v>0.5</v>
      </c>
      <c r="AK124" s="1757">
        <f t="shared" si="101"/>
        <v>0.5</v>
      </c>
      <c r="AL124" s="1765">
        <f t="shared" si="102"/>
        <v>0.625</v>
      </c>
      <c r="AM124" s="1765">
        <f t="shared" si="102"/>
        <v>0.5</v>
      </c>
      <c r="AN124" s="1758">
        <f t="shared" si="107"/>
        <v>0</v>
      </c>
      <c r="AO124" s="1756">
        <f t="shared" si="108"/>
        <v>0</v>
      </c>
      <c r="AP124" s="1756">
        <f t="shared" si="109"/>
        <v>0</v>
      </c>
      <c r="AQ124" s="1612"/>
      <c r="AR124" s="1641">
        <v>3</v>
      </c>
      <c r="AS124" s="1597">
        <v>3</v>
      </c>
      <c r="AT124" s="1780" t="s">
        <v>1814</v>
      </c>
      <c r="AU124" s="2079">
        <v>0.5</v>
      </c>
      <c r="AV124" s="2079">
        <v>0.5</v>
      </c>
      <c r="AW124" s="2079">
        <v>0.5</v>
      </c>
      <c r="AX124" s="2079">
        <v>0.5</v>
      </c>
      <c r="AY124" s="2079">
        <v>0.5</v>
      </c>
      <c r="AZ124" s="2079">
        <v>0.5</v>
      </c>
      <c r="BA124" s="2079">
        <v>0.5</v>
      </c>
      <c r="BB124" s="2079">
        <v>0.5</v>
      </c>
      <c r="BC124" s="2352">
        <v>0.625</v>
      </c>
      <c r="BD124" s="2079">
        <v>0.5</v>
      </c>
      <c r="BE124" s="2063"/>
      <c r="BF124" s="1711"/>
      <c r="BG124" s="1711"/>
      <c r="BH124"/>
      <c r="BI124" s="1641">
        <v>3</v>
      </c>
      <c r="BJ124" s="1597">
        <v>3</v>
      </c>
      <c r="BK124" s="1780" t="s">
        <v>1814</v>
      </c>
      <c r="BL124" s="2079">
        <v>0.5</v>
      </c>
      <c r="BM124" s="2079">
        <v>0.5</v>
      </c>
      <c r="BN124" s="2079">
        <v>0.5</v>
      </c>
      <c r="BO124" s="2079">
        <v>0.5</v>
      </c>
      <c r="BP124" s="2079">
        <v>0.5</v>
      </c>
      <c r="BQ124" s="2079">
        <v>0.5</v>
      </c>
      <c r="BR124" s="2079">
        <v>0.5</v>
      </c>
      <c r="BS124" s="2079">
        <v>0.5</v>
      </c>
      <c r="BT124" s="2352">
        <v>0.625</v>
      </c>
      <c r="BU124" s="2079">
        <v>0.5</v>
      </c>
      <c r="BV124" s="2063"/>
      <c r="BW124" s="1711"/>
      <c r="BX124" s="1711"/>
      <c r="BY124"/>
    </row>
    <row r="125" spans="1:77" s="1605" customFormat="1" ht="13.5" customHeight="1">
      <c r="A125"/>
      <c r="B125" s="1641" t="str">
        <f t="shared" si="116"/>
        <v>3a.3b</v>
      </c>
      <c r="C125" s="1733" t="str">
        <f t="shared" si="117"/>
        <v>非住宅部分</v>
      </c>
      <c r="D125" s="2062">
        <f>IF(I$124=0,0,G125/I$124)</f>
        <v>1</v>
      </c>
      <c r="E125" s="1743">
        <f>IF(J$124=0,0,H125/J$124)</f>
        <v>0</v>
      </c>
      <c r="F125"/>
      <c r="G125" s="1743">
        <f t="shared" si="118"/>
        <v>1</v>
      </c>
      <c r="H125" s="1743">
        <f t="shared" si="118"/>
        <v>0</v>
      </c>
      <c r="I125" s="1743"/>
      <c r="J125" s="1743"/>
      <c r="K125" s="1609">
        <f>IF(スコア表示!X125=0,0,1)</f>
        <v>1</v>
      </c>
      <c r="L125" s="1609">
        <f>IF(スコア表示!AB125=0,0,1)</f>
        <v>0</v>
      </c>
      <c r="M125"/>
      <c r="N125" s="1707">
        <f>IF(P$124=0,0,R125/P$124)</f>
        <v>1</v>
      </c>
      <c r="O125" s="1707">
        <f>IF(Q$124=0,0,S125/Q$124)</f>
        <v>0</v>
      </c>
      <c r="P125" s="1609"/>
      <c r="Q125" s="1609"/>
      <c r="R125" s="1609">
        <f>IF(スコア入力!R125="EB",重み_対象外!D125,U125)</f>
        <v>0.5</v>
      </c>
      <c r="S125" s="1609">
        <f>IF(スコア入力!Y125="EB",重み_対象外!E125,V125)</f>
        <v>0</v>
      </c>
      <c r="T125" s="1560"/>
      <c r="U125" s="1614">
        <f>X124*X125</f>
        <v>0.5</v>
      </c>
      <c r="V125" s="1614">
        <f>Y124*Y125</f>
        <v>0</v>
      </c>
      <c r="W125" s="1560"/>
      <c r="X125" s="1609">
        <f t="shared" si="73"/>
        <v>1</v>
      </c>
      <c r="Y125" s="1609">
        <f t="shared" si="74"/>
        <v>0</v>
      </c>
      <c r="Z125" s="1642"/>
      <c r="AA125" s="1606" t="str">
        <f t="shared" si="122"/>
        <v>3a.3b</v>
      </c>
      <c r="AB125" s="1597" t="s">
        <v>1815</v>
      </c>
      <c r="AC125" s="1780" t="s">
        <v>1816</v>
      </c>
      <c r="AD125" s="1765">
        <f t="shared" si="94"/>
        <v>1</v>
      </c>
      <c r="AE125" s="1765">
        <f t="shared" si="95"/>
        <v>1</v>
      </c>
      <c r="AF125" s="1765">
        <f t="shared" si="96"/>
        <v>1</v>
      </c>
      <c r="AG125" s="1765">
        <f t="shared" si="97"/>
        <v>1</v>
      </c>
      <c r="AH125" s="1765">
        <f t="shared" si="98"/>
        <v>1</v>
      </c>
      <c r="AI125" s="1765">
        <f t="shared" si="99"/>
        <v>1</v>
      </c>
      <c r="AJ125" s="1765">
        <f t="shared" si="100"/>
        <v>0</v>
      </c>
      <c r="AK125" s="1765">
        <f t="shared" si="101"/>
        <v>1</v>
      </c>
      <c r="AL125" s="1765">
        <f t="shared" si="102"/>
        <v>1</v>
      </c>
      <c r="AM125" s="1765">
        <f t="shared" si="102"/>
        <v>1</v>
      </c>
      <c r="AN125" s="1758">
        <f t="shared" si="107"/>
        <v>0</v>
      </c>
      <c r="AO125" s="1756">
        <f t="shared" si="108"/>
        <v>0</v>
      </c>
      <c r="AP125" s="1756">
        <f t="shared" si="109"/>
        <v>0</v>
      </c>
      <c r="AQ125" s="1612"/>
      <c r="AR125" s="1641" t="s">
        <v>1575</v>
      </c>
      <c r="AS125" s="1597" t="s">
        <v>1815</v>
      </c>
      <c r="AT125" s="1780" t="s">
        <v>1816</v>
      </c>
      <c r="AU125" s="1736">
        <v>1</v>
      </c>
      <c r="AV125" s="1736">
        <v>1</v>
      </c>
      <c r="AW125" s="1736">
        <v>1</v>
      </c>
      <c r="AX125" s="1736">
        <v>1</v>
      </c>
      <c r="AY125" s="1736">
        <v>1</v>
      </c>
      <c r="AZ125" s="1736">
        <v>1</v>
      </c>
      <c r="BA125" s="1736"/>
      <c r="BB125" s="1736">
        <v>1</v>
      </c>
      <c r="BC125" s="1736">
        <v>1</v>
      </c>
      <c r="BD125" s="1736">
        <v>1</v>
      </c>
      <c r="BE125" s="2063"/>
      <c r="BF125" s="1711"/>
      <c r="BG125" s="1711"/>
      <c r="BH125"/>
      <c r="BI125" s="1641" t="s">
        <v>1575</v>
      </c>
      <c r="BJ125" s="1597" t="s">
        <v>1815</v>
      </c>
      <c r="BK125" s="1780" t="s">
        <v>1816</v>
      </c>
      <c r="BL125" s="1736">
        <v>1</v>
      </c>
      <c r="BM125" s="1736">
        <v>1</v>
      </c>
      <c r="BN125" s="1736">
        <v>1</v>
      </c>
      <c r="BO125" s="1736">
        <v>1</v>
      </c>
      <c r="BP125" s="1736">
        <v>1</v>
      </c>
      <c r="BQ125" s="1736">
        <v>1</v>
      </c>
      <c r="BR125" s="1736"/>
      <c r="BS125" s="1736">
        <v>1</v>
      </c>
      <c r="BT125" s="1736">
        <v>1</v>
      </c>
      <c r="BU125" s="1736">
        <v>1</v>
      </c>
      <c r="BV125" s="2063"/>
      <c r="BW125" s="1711"/>
      <c r="BX125" s="1711"/>
      <c r="BY125"/>
    </row>
    <row r="126" spans="1:77" s="1605" customFormat="1" ht="13.5" customHeight="1">
      <c r="A126"/>
      <c r="B126" s="1641" t="str">
        <f t="shared" si="116"/>
        <v>3b.c</v>
      </c>
      <c r="C126" s="1733" t="str">
        <f t="shared" si="117"/>
        <v>集合住宅の評価</v>
      </c>
      <c r="D126" s="2062">
        <f>IF(I$124=0,0,G126/I$124)</f>
        <v>0</v>
      </c>
      <c r="E126" s="1743">
        <f>IF(J$124=0,0,H126/J$124)</f>
        <v>0</v>
      </c>
      <c r="F126"/>
      <c r="G126" s="1743">
        <f t="shared" si="118"/>
        <v>0</v>
      </c>
      <c r="H126" s="1743">
        <f t="shared" si="118"/>
        <v>0</v>
      </c>
      <c r="I126" s="1743">
        <f>G127+G128+G129+G130+G131</f>
        <v>0</v>
      </c>
      <c r="J126" s="1743">
        <f>H127+H128+H129+H130+H131</f>
        <v>0</v>
      </c>
      <c r="K126" s="1609">
        <f>IF(スコア表示!X126=0,0,1)</f>
        <v>0</v>
      </c>
      <c r="L126" s="1609">
        <f>IF(スコア表示!AB126=0,0,1)</f>
        <v>0</v>
      </c>
      <c r="M126"/>
      <c r="N126" s="1707">
        <f>IF(P$124=0,0,R126/P$124)</f>
        <v>0</v>
      </c>
      <c r="O126" s="1707">
        <f>IF(Q$124=0,0,S126/Q$124)</f>
        <v>0</v>
      </c>
      <c r="P126" s="1609"/>
      <c r="Q126" s="1609"/>
      <c r="R126" s="1609">
        <f>IF(スコア入力!R126="EB",重み_対象外!D126,U126)</f>
        <v>0</v>
      </c>
      <c r="S126" s="1609">
        <f>IF(スコア入力!Y126="EB",重み_対象外!E126,V126)</f>
        <v>0</v>
      </c>
      <c r="T126" s="1560"/>
      <c r="U126" s="1614">
        <f>X124*X126</f>
        <v>0</v>
      </c>
      <c r="V126" s="1614">
        <f>Y124*Y126</f>
        <v>0</v>
      </c>
      <c r="W126" s="1560"/>
      <c r="X126" s="1609">
        <f t="shared" si="73"/>
        <v>0</v>
      </c>
      <c r="Y126" s="1609">
        <f t="shared" si="74"/>
        <v>0</v>
      </c>
      <c r="Z126" s="1642"/>
      <c r="AA126" s="1606" t="str">
        <f t="shared" si="122"/>
        <v>3b.c</v>
      </c>
      <c r="AB126" s="1597" t="s">
        <v>1817</v>
      </c>
      <c r="AC126" s="1780" t="s">
        <v>1818</v>
      </c>
      <c r="AD126" s="1765">
        <f t="shared" si="94"/>
        <v>0</v>
      </c>
      <c r="AE126" s="1765">
        <f t="shared" si="95"/>
        <v>0</v>
      </c>
      <c r="AF126" s="1765">
        <f t="shared" si="96"/>
        <v>0</v>
      </c>
      <c r="AG126" s="1765">
        <f t="shared" si="97"/>
        <v>0</v>
      </c>
      <c r="AH126" s="1765">
        <f t="shared" si="98"/>
        <v>0</v>
      </c>
      <c r="AI126" s="1765">
        <f t="shared" si="99"/>
        <v>0</v>
      </c>
      <c r="AJ126" s="1765">
        <f t="shared" si="100"/>
        <v>1</v>
      </c>
      <c r="AK126" s="1765">
        <f t="shared" si="101"/>
        <v>0</v>
      </c>
      <c r="AL126" s="1765">
        <f t="shared" si="102"/>
        <v>0</v>
      </c>
      <c r="AM126" s="1765">
        <f t="shared" si="102"/>
        <v>0</v>
      </c>
      <c r="AN126" s="1758">
        <f t="shared" si="107"/>
        <v>0</v>
      </c>
      <c r="AO126" s="1756">
        <f t="shared" si="108"/>
        <v>0</v>
      </c>
      <c r="AP126" s="1756">
        <f t="shared" si="109"/>
        <v>0</v>
      </c>
      <c r="AQ126" s="1612"/>
      <c r="AR126" s="1641" t="s">
        <v>1578</v>
      </c>
      <c r="AS126" s="1597" t="s">
        <v>1817</v>
      </c>
      <c r="AT126" s="1780" t="s">
        <v>1818</v>
      </c>
      <c r="AU126" s="1675"/>
      <c r="AV126" s="1675"/>
      <c r="AW126" s="1675"/>
      <c r="AX126" s="1675"/>
      <c r="AY126" s="1675"/>
      <c r="AZ126" s="1675"/>
      <c r="BA126" s="1736">
        <v>1</v>
      </c>
      <c r="BB126" s="1675"/>
      <c r="BC126" s="1675"/>
      <c r="BD126" s="1736"/>
      <c r="BE126" s="2063"/>
      <c r="BF126" s="1711"/>
      <c r="BG126" s="1711"/>
      <c r="BH126"/>
      <c r="BI126" s="1641" t="s">
        <v>1578</v>
      </c>
      <c r="BJ126" s="1597" t="s">
        <v>1817</v>
      </c>
      <c r="BK126" s="1780" t="s">
        <v>1818</v>
      </c>
      <c r="BL126" s="1675"/>
      <c r="BM126" s="1675"/>
      <c r="BN126" s="1675"/>
      <c r="BO126" s="1675"/>
      <c r="BP126" s="1675"/>
      <c r="BQ126" s="1675"/>
      <c r="BR126" s="1736">
        <v>1</v>
      </c>
      <c r="BS126" s="1675"/>
      <c r="BT126" s="1675"/>
      <c r="BU126" s="1736"/>
      <c r="BV126" s="2063"/>
      <c r="BW126" s="1711"/>
      <c r="BX126" s="1711"/>
      <c r="BY126"/>
    </row>
    <row r="127" spans="1:77" ht="13.5" hidden="1" customHeight="1">
      <c r="B127" s="1613">
        <f t="shared" si="116"/>
        <v>3.1</v>
      </c>
      <c r="C127" s="1734" t="str">
        <f t="shared" si="117"/>
        <v>空調設備</v>
      </c>
      <c r="D127" s="1716">
        <f t="shared" ref="D127:E131" si="128">IF(I$126=0,0,G127/I$126)</f>
        <v>0</v>
      </c>
      <c r="E127" s="1691">
        <f t="shared" si="128"/>
        <v>0</v>
      </c>
      <c r="G127" s="1691">
        <f t="shared" si="118"/>
        <v>0</v>
      </c>
      <c r="H127" s="1691">
        <f t="shared" si="118"/>
        <v>0</v>
      </c>
      <c r="I127" s="1691"/>
      <c r="J127" s="1691"/>
      <c r="K127" s="1616">
        <f>IF(スコア表示!X127=0,0,1)</f>
        <v>0</v>
      </c>
      <c r="L127" s="1616">
        <f>IF(スコア表示!AB127=0,0,1)</f>
        <v>0</v>
      </c>
      <c r="N127" s="1713">
        <f t="shared" ref="N127:O131" si="129">IF(P$126=0,0,R127/P$126)</f>
        <v>0</v>
      </c>
      <c r="O127" s="1713">
        <f t="shared" si="129"/>
        <v>0</v>
      </c>
      <c r="P127" s="1616"/>
      <c r="Q127" s="1616"/>
      <c r="R127" s="1616">
        <f>IF(スコア入力!R127="EB",重み_対象外!D127,U127)</f>
        <v>0</v>
      </c>
      <c r="S127" s="1616">
        <f>IF(スコア入力!Y127="EB",重み_対象外!E127,V127)</f>
        <v>0</v>
      </c>
      <c r="T127" s="1560"/>
      <c r="U127" s="1614"/>
      <c r="V127" s="1614"/>
      <c r="W127" s="1560"/>
      <c r="X127" s="1616">
        <f t="shared" si="73"/>
        <v>0</v>
      </c>
      <c r="Y127" s="1616">
        <f t="shared" si="74"/>
        <v>0</v>
      </c>
      <c r="Z127" s="1644"/>
      <c r="AA127" s="1613">
        <f t="shared" si="122"/>
        <v>3.1</v>
      </c>
      <c r="AB127" s="1597">
        <v>3.1</v>
      </c>
      <c r="AC127" s="1737" t="s">
        <v>787</v>
      </c>
      <c r="AD127" s="1759">
        <f t="shared" ref="AD127:AD162" si="130">IF($AA$3=1,AU127,BL127)</f>
        <v>0</v>
      </c>
      <c r="AE127" s="1759">
        <f t="shared" ref="AE127:AE162" si="131">IF($AA$3=1,AV127,BM127)</f>
        <v>0</v>
      </c>
      <c r="AF127" s="1759">
        <f t="shared" ref="AF127:AF162" si="132">IF($AA$3=1,AW127,BN127)</f>
        <v>0</v>
      </c>
      <c r="AG127" s="1759">
        <f t="shared" ref="AG127:AG162" si="133">IF($AA$3=1,AX127,BO127)</f>
        <v>0</v>
      </c>
      <c r="AH127" s="1759">
        <f t="shared" ref="AH127:AH162" si="134">IF($AA$3=1,AY127,BP127)</f>
        <v>0</v>
      </c>
      <c r="AI127" s="1759">
        <f t="shared" ref="AI127:AJ162" si="135">IF($AA$3=1,AZ127,BQ127)</f>
        <v>0</v>
      </c>
      <c r="AJ127" s="1759">
        <f t="shared" si="135"/>
        <v>0</v>
      </c>
      <c r="AK127" s="1761">
        <f t="shared" ref="AK127:AK162" si="136">IF($AA$3=1,BB127,BS127)</f>
        <v>0</v>
      </c>
      <c r="AL127" s="1759">
        <f t="shared" ref="AL127:AM162" si="137">IF($AA$3=1,BC127,BT127)</f>
        <v>0</v>
      </c>
      <c r="AM127" s="1759">
        <f t="shared" si="137"/>
        <v>0</v>
      </c>
      <c r="AN127" s="1760">
        <f t="shared" si="107"/>
        <v>0</v>
      </c>
      <c r="AO127" s="1759">
        <f t="shared" si="108"/>
        <v>0</v>
      </c>
      <c r="AP127" s="1759">
        <f t="shared" si="109"/>
        <v>0</v>
      </c>
      <c r="AQ127" s="1620"/>
      <c r="AR127" s="1647">
        <v>3.1</v>
      </c>
      <c r="AS127" s="1597">
        <v>3.1</v>
      </c>
      <c r="AT127" s="1737" t="s">
        <v>787</v>
      </c>
      <c r="AU127" s="1623"/>
      <c r="AV127" s="1623"/>
      <c r="AW127" s="1623"/>
      <c r="AX127" s="1623"/>
      <c r="AY127" s="1623"/>
      <c r="AZ127" s="1623"/>
      <c r="BA127" s="1623"/>
      <c r="BB127" s="1624"/>
      <c r="BC127" s="1623"/>
      <c r="BD127" s="1623"/>
      <c r="BE127" s="1625"/>
      <c r="BF127" s="1623"/>
      <c r="BG127" s="1623"/>
      <c r="BI127" s="1647">
        <v>3.1</v>
      </c>
      <c r="BJ127" s="1597">
        <v>3.1</v>
      </c>
      <c r="BK127" s="1737" t="s">
        <v>787</v>
      </c>
      <c r="BL127" s="1623"/>
      <c r="BM127" s="1623"/>
      <c r="BN127" s="1623"/>
      <c r="BO127" s="1623"/>
      <c r="BP127" s="1623"/>
      <c r="BQ127" s="1623"/>
      <c r="BR127" s="1623"/>
      <c r="BS127" s="1624"/>
      <c r="BT127" s="1623"/>
      <c r="BU127" s="1623"/>
      <c r="BV127" s="1625"/>
      <c r="BW127" s="1623"/>
      <c r="BX127" s="1623"/>
    </row>
    <row r="128" spans="1:77" ht="13.5" hidden="1" customHeight="1">
      <c r="B128" s="1613">
        <f t="shared" si="116"/>
        <v>3.2</v>
      </c>
      <c r="C128" s="1734" t="str">
        <f t="shared" si="117"/>
        <v>換気設備</v>
      </c>
      <c r="D128" s="1716">
        <f t="shared" si="128"/>
        <v>0</v>
      </c>
      <c r="E128" s="1691">
        <f t="shared" si="128"/>
        <v>0</v>
      </c>
      <c r="G128" s="1691">
        <f t="shared" si="118"/>
        <v>0</v>
      </c>
      <c r="H128" s="1691">
        <f t="shared" si="118"/>
        <v>0</v>
      </c>
      <c r="I128" s="1691"/>
      <c r="J128" s="1691"/>
      <c r="K128" s="1616">
        <f>IF(スコア表示!X128=0,0,1)</f>
        <v>0</v>
      </c>
      <c r="L128" s="1616">
        <f>IF(スコア表示!AB128=0,0,1)</f>
        <v>0</v>
      </c>
      <c r="N128" s="1713">
        <f t="shared" si="129"/>
        <v>0</v>
      </c>
      <c r="O128" s="1713">
        <f t="shared" si="129"/>
        <v>0</v>
      </c>
      <c r="P128" s="1616"/>
      <c r="Q128" s="1616"/>
      <c r="R128" s="1616">
        <f>IF(スコア入力!R128="EB",重み_対象外!D128,U128)</f>
        <v>0</v>
      </c>
      <c r="S128" s="1616">
        <f>IF(スコア入力!Y128="EB",重み_対象外!E128,V128)</f>
        <v>0</v>
      </c>
      <c r="T128" s="1560"/>
      <c r="U128" s="1614"/>
      <c r="V128" s="1614"/>
      <c r="W128" s="1560"/>
      <c r="X128" s="1616">
        <f t="shared" si="73"/>
        <v>0</v>
      </c>
      <c r="Y128" s="1616">
        <f t="shared" si="74"/>
        <v>0</v>
      </c>
      <c r="Z128" s="1645"/>
      <c r="AA128" s="1613">
        <f t="shared" si="122"/>
        <v>3.2</v>
      </c>
      <c r="AB128" s="1597">
        <v>3.2</v>
      </c>
      <c r="AC128" s="1737" t="s">
        <v>788</v>
      </c>
      <c r="AD128" s="1759">
        <f t="shared" si="130"/>
        <v>0</v>
      </c>
      <c r="AE128" s="1759">
        <f t="shared" si="131"/>
        <v>0</v>
      </c>
      <c r="AF128" s="1759">
        <f t="shared" si="132"/>
        <v>0</v>
      </c>
      <c r="AG128" s="1759">
        <f t="shared" si="133"/>
        <v>0</v>
      </c>
      <c r="AH128" s="1759">
        <f t="shared" si="134"/>
        <v>0</v>
      </c>
      <c r="AI128" s="1759">
        <f t="shared" si="135"/>
        <v>0</v>
      </c>
      <c r="AJ128" s="1759">
        <f>IF($AA$3=1,BA128,BR128)</f>
        <v>0</v>
      </c>
      <c r="AK128" s="1761">
        <f t="shared" si="136"/>
        <v>0</v>
      </c>
      <c r="AL128" s="1759">
        <f t="shared" si="137"/>
        <v>0</v>
      </c>
      <c r="AM128" s="1759">
        <f t="shared" si="137"/>
        <v>0</v>
      </c>
      <c r="AN128" s="1760">
        <f t="shared" si="107"/>
        <v>0</v>
      </c>
      <c r="AO128" s="1759">
        <f t="shared" si="108"/>
        <v>0</v>
      </c>
      <c r="AP128" s="1759">
        <f t="shared" si="109"/>
        <v>0</v>
      </c>
      <c r="AQ128" s="1632"/>
      <c r="AR128" s="1647">
        <v>3.2</v>
      </c>
      <c r="AS128" s="1597">
        <v>3.2</v>
      </c>
      <c r="AT128" s="1737" t="s">
        <v>788</v>
      </c>
      <c r="AU128" s="1623"/>
      <c r="AV128" s="1623"/>
      <c r="AW128" s="1623"/>
      <c r="AX128" s="1623"/>
      <c r="AY128" s="1623"/>
      <c r="AZ128" s="1623"/>
      <c r="BA128" s="1623"/>
      <c r="BB128" s="1624"/>
      <c r="BC128" s="1623"/>
      <c r="BD128" s="1623"/>
      <c r="BE128" s="1625"/>
      <c r="BF128" s="1623"/>
      <c r="BG128" s="1623"/>
      <c r="BI128" s="1647">
        <v>3.2</v>
      </c>
      <c r="BJ128" s="1597">
        <v>3.2</v>
      </c>
      <c r="BK128" s="1737" t="s">
        <v>788</v>
      </c>
      <c r="BL128" s="1623"/>
      <c r="BM128" s="1623"/>
      <c r="BN128" s="1623"/>
      <c r="BO128" s="1623"/>
      <c r="BP128" s="1623"/>
      <c r="BQ128" s="1623"/>
      <c r="BR128" s="1623"/>
      <c r="BS128" s="1624"/>
      <c r="BT128" s="1623"/>
      <c r="BU128" s="1623"/>
      <c r="BV128" s="1625"/>
      <c r="BW128" s="1623"/>
      <c r="BX128" s="1623"/>
    </row>
    <row r="129" spans="1:77" ht="13.5" hidden="1" customHeight="1">
      <c r="B129" s="1613">
        <f t="shared" si="116"/>
        <v>3.3</v>
      </c>
      <c r="C129" s="1734" t="str">
        <f t="shared" si="117"/>
        <v>照明設備</v>
      </c>
      <c r="D129" s="1716">
        <f t="shared" si="128"/>
        <v>0</v>
      </c>
      <c r="E129" s="1691">
        <f t="shared" si="128"/>
        <v>0</v>
      </c>
      <c r="G129" s="1691">
        <f t="shared" si="118"/>
        <v>0</v>
      </c>
      <c r="H129" s="1691">
        <f t="shared" si="118"/>
        <v>0</v>
      </c>
      <c r="I129" s="1691"/>
      <c r="J129" s="1691"/>
      <c r="K129" s="1616">
        <f>IF(スコア表示!X129=0,0,1)</f>
        <v>0</v>
      </c>
      <c r="L129" s="1616">
        <f>IF(スコア表示!AB129=0,0,1)</f>
        <v>0</v>
      </c>
      <c r="N129" s="1713">
        <f t="shared" si="129"/>
        <v>0</v>
      </c>
      <c r="O129" s="1713">
        <f t="shared" si="129"/>
        <v>0</v>
      </c>
      <c r="P129" s="1616"/>
      <c r="Q129" s="1616"/>
      <c r="R129" s="1616">
        <f>IF(スコア入力!R129="EB",重み_対象外!D129,U129)</f>
        <v>0</v>
      </c>
      <c r="S129" s="1616">
        <f>IF(スコア入力!Y129="EB",重み_対象外!E129,V129)</f>
        <v>0</v>
      </c>
      <c r="T129" s="1560"/>
      <c r="U129" s="1614"/>
      <c r="V129" s="1614"/>
      <c r="W129" s="1560"/>
      <c r="X129" s="1616">
        <f t="shared" si="73"/>
        <v>0</v>
      </c>
      <c r="Y129" s="1616">
        <f t="shared" si="74"/>
        <v>0</v>
      </c>
      <c r="Z129" s="1644"/>
      <c r="AA129" s="1613">
        <f t="shared" si="122"/>
        <v>3.3</v>
      </c>
      <c r="AB129" s="1597">
        <v>3.3</v>
      </c>
      <c r="AC129" s="1737" t="s">
        <v>789</v>
      </c>
      <c r="AD129" s="1759">
        <f t="shared" si="130"/>
        <v>0</v>
      </c>
      <c r="AE129" s="1759">
        <f t="shared" si="131"/>
        <v>0</v>
      </c>
      <c r="AF129" s="1759">
        <f t="shared" si="132"/>
        <v>0</v>
      </c>
      <c r="AG129" s="1759">
        <f t="shared" si="133"/>
        <v>0</v>
      </c>
      <c r="AH129" s="1759">
        <f t="shared" si="134"/>
        <v>0</v>
      </c>
      <c r="AI129" s="1759">
        <f t="shared" si="135"/>
        <v>0</v>
      </c>
      <c r="AJ129" s="1759">
        <f t="shared" si="135"/>
        <v>0</v>
      </c>
      <c r="AK129" s="1761">
        <f t="shared" si="136"/>
        <v>0</v>
      </c>
      <c r="AL129" s="1759">
        <f t="shared" si="137"/>
        <v>0</v>
      </c>
      <c r="AM129" s="1759">
        <f t="shared" si="137"/>
        <v>0</v>
      </c>
      <c r="AN129" s="1760">
        <f t="shared" si="107"/>
        <v>0</v>
      </c>
      <c r="AO129" s="1759">
        <f t="shared" si="108"/>
        <v>0</v>
      </c>
      <c r="AP129" s="1759">
        <f t="shared" si="109"/>
        <v>0</v>
      </c>
      <c r="AQ129" s="1620"/>
      <c r="AR129" s="1647">
        <v>3.3</v>
      </c>
      <c r="AS129" s="1597">
        <v>3.3</v>
      </c>
      <c r="AT129" s="1737" t="s">
        <v>789</v>
      </c>
      <c r="AU129" s="1623"/>
      <c r="AV129" s="1623"/>
      <c r="AW129" s="1623"/>
      <c r="AX129" s="1623"/>
      <c r="AY129" s="1623"/>
      <c r="AZ129" s="1623"/>
      <c r="BA129" s="1623"/>
      <c r="BB129" s="1624"/>
      <c r="BC129" s="1623"/>
      <c r="BD129" s="1623"/>
      <c r="BE129" s="1625"/>
      <c r="BF129" s="1623"/>
      <c r="BG129" s="1623"/>
      <c r="BI129" s="1647">
        <v>3.3</v>
      </c>
      <c r="BJ129" s="1597">
        <v>3.3</v>
      </c>
      <c r="BK129" s="1737" t="s">
        <v>789</v>
      </c>
      <c r="BL129" s="1623"/>
      <c r="BM129" s="1623"/>
      <c r="BN129" s="1623"/>
      <c r="BO129" s="1623"/>
      <c r="BP129" s="1623"/>
      <c r="BQ129" s="1623"/>
      <c r="BR129" s="1623"/>
      <c r="BS129" s="1624"/>
      <c r="BT129" s="1623"/>
      <c r="BU129" s="1623"/>
      <c r="BV129" s="1625"/>
      <c r="BW129" s="1623"/>
      <c r="BX129" s="1623"/>
    </row>
    <row r="130" spans="1:77" ht="13.5" hidden="1" customHeight="1">
      <c r="B130" s="1676">
        <f t="shared" si="116"/>
        <v>3.4</v>
      </c>
      <c r="C130" s="1734" t="str">
        <f t="shared" si="117"/>
        <v>給湯設備</v>
      </c>
      <c r="D130" s="1716">
        <f t="shared" si="128"/>
        <v>0</v>
      </c>
      <c r="E130" s="1691">
        <f t="shared" si="128"/>
        <v>0</v>
      </c>
      <c r="G130" s="1691">
        <f t="shared" si="118"/>
        <v>0</v>
      </c>
      <c r="H130" s="1691">
        <f t="shared" si="118"/>
        <v>0</v>
      </c>
      <c r="I130" s="1691"/>
      <c r="J130" s="1691"/>
      <c r="K130" s="1616">
        <f>IF(スコア表示!X130=0,0,1)</f>
        <v>0</v>
      </c>
      <c r="L130" s="1616">
        <f>IF(スコア表示!AB130=0,0,1)</f>
        <v>0</v>
      </c>
      <c r="N130" s="1713">
        <f t="shared" si="129"/>
        <v>0</v>
      </c>
      <c r="O130" s="1713">
        <f t="shared" si="129"/>
        <v>0</v>
      </c>
      <c r="P130" s="1616"/>
      <c r="Q130" s="1616"/>
      <c r="R130" s="1616">
        <f>IF(スコア入力!R130="EB",重み_対象外!D130,U130)</f>
        <v>0</v>
      </c>
      <c r="S130" s="1616">
        <f>IF(スコア入力!Y130="EB",重み_対象外!E130,V130)</f>
        <v>0</v>
      </c>
      <c r="T130" s="1560"/>
      <c r="U130" s="1614"/>
      <c r="V130" s="1614"/>
      <c r="W130" s="1560"/>
      <c r="X130" s="1616">
        <f t="shared" si="73"/>
        <v>0</v>
      </c>
      <c r="Y130" s="1616">
        <f t="shared" si="74"/>
        <v>0</v>
      </c>
      <c r="Z130" s="1645"/>
      <c r="AA130" s="1676">
        <f t="shared" si="122"/>
        <v>3.4</v>
      </c>
      <c r="AB130" s="1597">
        <v>3.4</v>
      </c>
      <c r="AC130" s="1737" t="s">
        <v>371</v>
      </c>
      <c r="AD130" s="1759">
        <f t="shared" si="130"/>
        <v>0</v>
      </c>
      <c r="AE130" s="1759">
        <f t="shared" si="131"/>
        <v>0</v>
      </c>
      <c r="AF130" s="1759">
        <f t="shared" si="132"/>
        <v>0</v>
      </c>
      <c r="AG130" s="1759">
        <f t="shared" si="133"/>
        <v>0</v>
      </c>
      <c r="AH130" s="1759">
        <f t="shared" si="134"/>
        <v>0</v>
      </c>
      <c r="AI130" s="1759">
        <f t="shared" si="135"/>
        <v>0</v>
      </c>
      <c r="AJ130" s="1759">
        <f t="shared" si="135"/>
        <v>0</v>
      </c>
      <c r="AK130" s="1761">
        <f t="shared" si="136"/>
        <v>0</v>
      </c>
      <c r="AL130" s="1759">
        <f t="shared" si="137"/>
        <v>0</v>
      </c>
      <c r="AM130" s="1759">
        <f t="shared" si="137"/>
        <v>0</v>
      </c>
      <c r="AN130" s="1760">
        <f t="shared" ref="AN130:AN164" si="138">IF($AA$3=1,BE130,BV130)</f>
        <v>0</v>
      </c>
      <c r="AO130" s="1759">
        <f t="shared" ref="AO130:AO164" si="139">IF($AA$3=1,BF130,BW130)</f>
        <v>0</v>
      </c>
      <c r="AP130" s="1759"/>
      <c r="AQ130" s="1632"/>
      <c r="AR130" s="2092">
        <v>3.4</v>
      </c>
      <c r="AS130" s="1597">
        <v>3.4</v>
      </c>
      <c r="AT130" s="1737" t="s">
        <v>371</v>
      </c>
      <c r="AU130" s="1623"/>
      <c r="AV130" s="1623"/>
      <c r="AW130" s="1623"/>
      <c r="AX130" s="1623"/>
      <c r="AY130" s="1623"/>
      <c r="AZ130" s="1623"/>
      <c r="BA130" s="1623"/>
      <c r="BB130" s="1624"/>
      <c r="BC130" s="1623"/>
      <c r="BD130" s="1623"/>
      <c r="BE130" s="1625"/>
      <c r="BF130" s="1623"/>
      <c r="BG130" s="1623"/>
      <c r="BI130" s="2092">
        <v>3.4</v>
      </c>
      <c r="BJ130" s="1597">
        <v>3.4</v>
      </c>
      <c r="BK130" s="1737" t="s">
        <v>371</v>
      </c>
      <c r="BL130" s="1623"/>
      <c r="BM130" s="1623"/>
      <c r="BN130" s="1623"/>
      <c r="BO130" s="1623"/>
      <c r="BP130" s="1623"/>
      <c r="BQ130" s="1623"/>
      <c r="BR130" s="1623"/>
      <c r="BS130" s="1624"/>
      <c r="BT130" s="1623"/>
      <c r="BU130" s="1623"/>
      <c r="BV130" s="1625"/>
      <c r="BW130" s="1623"/>
      <c r="BX130" s="1623"/>
    </row>
    <row r="131" spans="1:77" ht="13.5" hidden="1" customHeight="1">
      <c r="B131" s="1676">
        <f t="shared" si="116"/>
        <v>3.5</v>
      </c>
      <c r="C131" s="1734" t="str">
        <f t="shared" si="117"/>
        <v>昇降機設備</v>
      </c>
      <c r="D131" s="1716">
        <f t="shared" si="128"/>
        <v>0</v>
      </c>
      <c r="E131" s="1691">
        <f t="shared" si="128"/>
        <v>0</v>
      </c>
      <c r="G131" s="1691">
        <f t="shared" si="118"/>
        <v>0</v>
      </c>
      <c r="H131" s="1691">
        <f t="shared" si="118"/>
        <v>0</v>
      </c>
      <c r="I131" s="1691"/>
      <c r="J131" s="1691"/>
      <c r="K131" s="1616">
        <f>IF(スコア表示!X131=0,0,1)</f>
        <v>0</v>
      </c>
      <c r="L131" s="1616">
        <f>IF(スコア表示!AB131=0,0,1)</f>
        <v>0</v>
      </c>
      <c r="N131" s="1713">
        <f t="shared" si="129"/>
        <v>0</v>
      </c>
      <c r="O131" s="1713">
        <f t="shared" si="129"/>
        <v>0</v>
      </c>
      <c r="P131" s="1616"/>
      <c r="Q131" s="1616"/>
      <c r="R131" s="1616">
        <f>IF(スコア入力!R131="EB",重み_対象外!D131,U131)</f>
        <v>0</v>
      </c>
      <c r="S131" s="1616">
        <f>IF(スコア入力!Y131="EB",重み_対象外!E131,V131)</f>
        <v>0</v>
      </c>
      <c r="T131" s="1560"/>
      <c r="U131" s="1614"/>
      <c r="V131" s="1614"/>
      <c r="W131" s="1560"/>
      <c r="X131" s="1616">
        <f t="shared" si="73"/>
        <v>0</v>
      </c>
      <c r="Y131" s="1616">
        <f t="shared" si="74"/>
        <v>0</v>
      </c>
      <c r="Z131" s="1645"/>
      <c r="AA131" s="1676">
        <f t="shared" si="122"/>
        <v>3.5</v>
      </c>
      <c r="AB131" s="1597">
        <v>3.5</v>
      </c>
      <c r="AC131" s="1737" t="s">
        <v>790</v>
      </c>
      <c r="AD131" s="1759">
        <f t="shared" si="130"/>
        <v>0</v>
      </c>
      <c r="AE131" s="1759">
        <f t="shared" si="131"/>
        <v>0</v>
      </c>
      <c r="AF131" s="1759">
        <f t="shared" si="132"/>
        <v>0</v>
      </c>
      <c r="AG131" s="1759">
        <f t="shared" si="133"/>
        <v>0</v>
      </c>
      <c r="AH131" s="1759">
        <f t="shared" si="134"/>
        <v>0</v>
      </c>
      <c r="AI131" s="1759">
        <f t="shared" si="135"/>
        <v>0</v>
      </c>
      <c r="AJ131" s="1759">
        <f t="shared" si="135"/>
        <v>0</v>
      </c>
      <c r="AK131" s="1761">
        <f t="shared" si="136"/>
        <v>0</v>
      </c>
      <c r="AL131" s="1759">
        <f t="shared" si="137"/>
        <v>0</v>
      </c>
      <c r="AM131" s="1759">
        <f t="shared" si="137"/>
        <v>0</v>
      </c>
      <c r="AN131" s="1760">
        <f t="shared" si="138"/>
        <v>0</v>
      </c>
      <c r="AO131" s="1759">
        <f t="shared" si="139"/>
        <v>0</v>
      </c>
      <c r="AP131" s="1759">
        <f t="shared" ref="AP131:AP164" si="140">IF($AA$3=1,BG131,BX131)</f>
        <v>0</v>
      </c>
      <c r="AQ131" s="1632"/>
      <c r="AR131" s="2092">
        <v>3.5</v>
      </c>
      <c r="AS131" s="1597">
        <v>3.5</v>
      </c>
      <c r="AT131" s="1737" t="s">
        <v>790</v>
      </c>
      <c r="AU131" s="1623"/>
      <c r="AV131" s="1623"/>
      <c r="AW131" s="1623"/>
      <c r="AX131" s="1623"/>
      <c r="AY131" s="1623"/>
      <c r="AZ131" s="1623"/>
      <c r="BA131" s="1623"/>
      <c r="BB131" s="1624"/>
      <c r="BC131" s="1623"/>
      <c r="BD131" s="1623"/>
      <c r="BE131" s="1625"/>
      <c r="BF131" s="1623"/>
      <c r="BG131" s="1623"/>
      <c r="BI131" s="2092">
        <v>3.5</v>
      </c>
      <c r="BJ131" s="1597">
        <v>3.5</v>
      </c>
      <c r="BK131" s="1737" t="s">
        <v>790</v>
      </c>
      <c r="BL131" s="1623"/>
      <c r="BM131" s="1623"/>
      <c r="BN131" s="1623"/>
      <c r="BO131" s="1623"/>
      <c r="BP131" s="1623"/>
      <c r="BQ131" s="1623"/>
      <c r="BR131" s="1623"/>
      <c r="BS131" s="1624"/>
      <c r="BT131" s="1623"/>
      <c r="BU131" s="1623"/>
      <c r="BV131" s="1625"/>
      <c r="BW131" s="1623"/>
      <c r="BX131" s="1623"/>
    </row>
    <row r="132" spans="1:77" ht="13.5" customHeight="1">
      <c r="B132" s="1676">
        <f t="shared" si="116"/>
        <v>0</v>
      </c>
      <c r="C132" s="1735" t="str">
        <f t="shared" si="117"/>
        <v>実績値を用いた総合評価</v>
      </c>
      <c r="D132" s="2062">
        <f>IF(I$124=0,0,G132/I$124)</f>
        <v>0</v>
      </c>
      <c r="E132" s="1743"/>
      <c r="F132" s="2416"/>
      <c r="G132" s="1743">
        <f>K132*N132</f>
        <v>0</v>
      </c>
      <c r="H132" s="1743">
        <f>L132*O132</f>
        <v>0</v>
      </c>
      <c r="I132" s="1743"/>
      <c r="J132" s="1743"/>
      <c r="K132" s="1616">
        <f>IF(スコア表示!X132=0,0,1)</f>
        <v>1</v>
      </c>
      <c r="L132" s="1616">
        <f>IF(スコア表示!AB132=0,0,1)</f>
        <v>0</v>
      </c>
      <c r="N132" s="1707">
        <f>IF(P$124=0,0,R132/P$124)</f>
        <v>0</v>
      </c>
      <c r="O132" s="1707">
        <f>IF(Q$124=0,0,S132/Q$124)</f>
        <v>0</v>
      </c>
      <c r="P132" s="1616"/>
      <c r="Q132" s="1616"/>
      <c r="R132" s="1616">
        <f>IF(スコア入力!R132="EB",重み_対象外!D132,U132)</f>
        <v>0</v>
      </c>
      <c r="S132" s="1616">
        <f>IF(スコア入力!Y132="EB",重み_対象外!E132,V132)</f>
        <v>0</v>
      </c>
      <c r="T132" s="1560"/>
      <c r="U132" s="1614"/>
      <c r="V132" s="1614"/>
      <c r="W132" s="1560"/>
      <c r="X132" s="1616">
        <f t="shared" si="73"/>
        <v>0</v>
      </c>
      <c r="Y132" s="1616">
        <f t="shared" si="74"/>
        <v>0</v>
      </c>
      <c r="Z132" s="1645"/>
      <c r="AA132" s="1676">
        <f t="shared" si="122"/>
        <v>0</v>
      </c>
      <c r="AB132" s="1597">
        <v>3</v>
      </c>
      <c r="AC132" s="1780" t="s">
        <v>1720</v>
      </c>
      <c r="AD132" s="1759">
        <f t="shared" si="130"/>
        <v>0</v>
      </c>
      <c r="AE132" s="1759">
        <f t="shared" si="131"/>
        <v>0</v>
      </c>
      <c r="AF132" s="1759">
        <f t="shared" si="132"/>
        <v>0</v>
      </c>
      <c r="AG132" s="1759">
        <f t="shared" si="133"/>
        <v>0</v>
      </c>
      <c r="AH132" s="1759">
        <f t="shared" si="134"/>
        <v>0</v>
      </c>
      <c r="AI132" s="1759">
        <f t="shared" si="135"/>
        <v>0</v>
      </c>
      <c r="AJ132" s="1759">
        <f t="shared" ref="AJ132:AJ180" si="141">IF($AA$3=1,BA132,BR132)</f>
        <v>0</v>
      </c>
      <c r="AK132" s="1761">
        <f t="shared" si="136"/>
        <v>0</v>
      </c>
      <c r="AL132" s="1759">
        <f t="shared" si="137"/>
        <v>0</v>
      </c>
      <c r="AM132" s="1759">
        <f t="shared" si="137"/>
        <v>0</v>
      </c>
      <c r="AN132" s="1760">
        <f t="shared" si="138"/>
        <v>0</v>
      </c>
      <c r="AO132" s="1759">
        <f t="shared" si="139"/>
        <v>0</v>
      </c>
      <c r="AP132" s="1759">
        <f t="shared" si="140"/>
        <v>0</v>
      </c>
      <c r="AQ132" s="1632"/>
      <c r="AR132" s="2092"/>
      <c r="AS132" s="1597">
        <v>3</v>
      </c>
      <c r="AT132" s="1780" t="s">
        <v>1720</v>
      </c>
      <c r="AU132" s="1623"/>
      <c r="AV132" s="1623"/>
      <c r="AW132" s="1623"/>
      <c r="AX132" s="1623"/>
      <c r="AY132" s="1623"/>
      <c r="AZ132" s="1623"/>
      <c r="BA132" s="1623"/>
      <c r="BB132" s="1624"/>
      <c r="BC132" s="1623"/>
      <c r="BD132" s="1623"/>
      <c r="BE132" s="1625"/>
      <c r="BF132" s="1623"/>
      <c r="BG132" s="1623"/>
      <c r="BI132" s="2092"/>
      <c r="BJ132" s="1597">
        <v>3</v>
      </c>
      <c r="BK132" s="1780" t="s">
        <v>1720</v>
      </c>
      <c r="BL132" s="1623"/>
      <c r="BM132" s="1623"/>
      <c r="BN132" s="1623"/>
      <c r="BO132" s="1623"/>
      <c r="BP132" s="1623"/>
      <c r="BQ132" s="1623"/>
      <c r="BR132" s="1623"/>
      <c r="BS132" s="1624"/>
      <c r="BT132" s="1623"/>
      <c r="BU132" s="1623"/>
      <c r="BV132" s="1625"/>
      <c r="BW132" s="1623"/>
      <c r="BX132" s="1623"/>
    </row>
    <row r="133" spans="1:77" s="1605" customFormat="1" ht="13.5" customHeight="1">
      <c r="A133"/>
      <c r="B133" s="1673">
        <f t="shared" si="116"/>
        <v>4</v>
      </c>
      <c r="C133" s="1641" t="str">
        <f t="shared" si="117"/>
        <v>効率的運用</v>
      </c>
      <c r="D133" s="2062">
        <f>IF(I$117=0,0,G133/I$117)</f>
        <v>0.19999999999999998</v>
      </c>
      <c r="E133" s="1743">
        <f>IF(J$117=0,0,H133/J$117)</f>
        <v>0</v>
      </c>
      <c r="F133"/>
      <c r="G133" s="1743">
        <f>K133*N133</f>
        <v>0.19999999999999998</v>
      </c>
      <c r="H133" s="1743">
        <f t="shared" si="118"/>
        <v>0</v>
      </c>
      <c r="I133" s="1743">
        <f>G134+G137</f>
        <v>1</v>
      </c>
      <c r="J133" s="1743">
        <f>H134+H137</f>
        <v>0</v>
      </c>
      <c r="K133" s="1609">
        <f>IF(スコア表示!X133=0,0,1)</f>
        <v>1</v>
      </c>
      <c r="L133" s="1609">
        <f>IF(スコア表示!AB133=0,0,1)</f>
        <v>0</v>
      </c>
      <c r="M133"/>
      <c r="N133" s="1707">
        <f>IF(P$117=0,0,R133/P$117)</f>
        <v>0.19999999999999998</v>
      </c>
      <c r="O133" s="1707">
        <f>IF(Q$117=0,0,S133/Q$117)</f>
        <v>0</v>
      </c>
      <c r="P133" s="1609">
        <f>SUM(R134:R139)</f>
        <v>0.19999999999999998</v>
      </c>
      <c r="Q133" s="1609">
        <f>SUM(S134:S139)</f>
        <v>0</v>
      </c>
      <c r="R133" s="1609">
        <f>IF(スコア入力!R133="EB",重み_対象外!D133,U133)</f>
        <v>0.19999999999999998</v>
      </c>
      <c r="S133" s="1609">
        <f>IF(スコア入力!Y133="EB",重み_対象外!E133,V133)</f>
        <v>0</v>
      </c>
      <c r="T133" s="1560"/>
      <c r="U133" s="1607">
        <f>SUM(U134:U139)</f>
        <v>0.19999999999999998</v>
      </c>
      <c r="V133" s="1607">
        <f>SUM(V134:V139)</f>
        <v>0</v>
      </c>
      <c r="W133" s="1560"/>
      <c r="X133" s="1609">
        <f t="shared" si="73"/>
        <v>0.19999999999999998</v>
      </c>
      <c r="Y133" s="1609">
        <f t="shared" si="74"/>
        <v>0</v>
      </c>
      <c r="Z133" s="1642"/>
      <c r="AA133" s="1674">
        <f t="shared" si="122"/>
        <v>4</v>
      </c>
      <c r="AB133" s="1597">
        <v>4</v>
      </c>
      <c r="AC133" s="1780" t="s">
        <v>1819</v>
      </c>
      <c r="AD133" s="1765">
        <f t="shared" si="130"/>
        <v>0.2</v>
      </c>
      <c r="AE133" s="1765">
        <f t="shared" si="131"/>
        <v>0.2</v>
      </c>
      <c r="AF133" s="1765">
        <f t="shared" si="132"/>
        <v>0.2</v>
      </c>
      <c r="AG133" s="1765">
        <f t="shared" si="133"/>
        <v>0.2</v>
      </c>
      <c r="AH133" s="1765">
        <f t="shared" si="134"/>
        <v>0.2</v>
      </c>
      <c r="AI133" s="1765">
        <f t="shared" si="135"/>
        <v>0.2</v>
      </c>
      <c r="AJ133" s="1765">
        <f t="shared" si="141"/>
        <v>0.2</v>
      </c>
      <c r="AK133" s="1757">
        <f t="shared" si="136"/>
        <v>0.2</v>
      </c>
      <c r="AL133" s="1765">
        <f t="shared" si="137"/>
        <v>0.25</v>
      </c>
      <c r="AM133" s="1765">
        <f t="shared" si="137"/>
        <v>0.2</v>
      </c>
      <c r="AN133" s="1758">
        <f t="shared" si="138"/>
        <v>0</v>
      </c>
      <c r="AO133" s="1756">
        <f t="shared" si="139"/>
        <v>0</v>
      </c>
      <c r="AP133" s="1756">
        <f t="shared" si="140"/>
        <v>0</v>
      </c>
      <c r="AQ133" s="1612"/>
      <c r="AR133" s="1673">
        <v>4</v>
      </c>
      <c r="AS133" s="1597">
        <v>4</v>
      </c>
      <c r="AT133" s="1780" t="s">
        <v>1819</v>
      </c>
      <c r="AU133" s="2079">
        <v>0.2</v>
      </c>
      <c r="AV133" s="2079">
        <v>0.2</v>
      </c>
      <c r="AW133" s="2079">
        <v>0.2</v>
      </c>
      <c r="AX133" s="2079">
        <v>0.2</v>
      </c>
      <c r="AY133" s="2079">
        <v>0.2</v>
      </c>
      <c r="AZ133" s="2079">
        <v>0.2</v>
      </c>
      <c r="BA133" s="2079">
        <v>0.2</v>
      </c>
      <c r="BB133" s="2079">
        <v>0.2</v>
      </c>
      <c r="BC133" s="2079">
        <v>0.25</v>
      </c>
      <c r="BD133" s="2079">
        <v>0.2</v>
      </c>
      <c r="BE133" s="2063"/>
      <c r="BF133" s="1711"/>
      <c r="BG133" s="1711"/>
      <c r="BH133"/>
      <c r="BI133" s="1673">
        <v>4</v>
      </c>
      <c r="BJ133" s="1597">
        <v>4</v>
      </c>
      <c r="BK133" s="1780" t="s">
        <v>1819</v>
      </c>
      <c r="BL133" s="2079">
        <v>0.2</v>
      </c>
      <c r="BM133" s="2079">
        <v>0.2</v>
      </c>
      <c r="BN133" s="2079">
        <v>0.2</v>
      </c>
      <c r="BO133" s="2079">
        <v>0.2</v>
      </c>
      <c r="BP133" s="2079">
        <v>0.2</v>
      </c>
      <c r="BQ133" s="2079">
        <v>0.2</v>
      </c>
      <c r="BR133" s="2079">
        <v>0.2</v>
      </c>
      <c r="BS133" s="2079">
        <v>0.2</v>
      </c>
      <c r="BT133" s="2079">
        <v>0.25</v>
      </c>
      <c r="BU133" s="2079">
        <v>0.2</v>
      </c>
      <c r="BV133" s="2063"/>
      <c r="BW133" s="1711"/>
      <c r="BX133" s="1711"/>
      <c r="BY133"/>
    </row>
    <row r="134" spans="1:77" ht="13.5" customHeight="1">
      <c r="B134" s="1613">
        <f t="shared" si="116"/>
        <v>4.0999999999999996</v>
      </c>
      <c r="C134" s="1647" t="str">
        <f t="shared" si="117"/>
        <v>住宅以外の評価</v>
      </c>
      <c r="D134" s="1716">
        <f>IF(I$133=0,0,G134/I$133)</f>
        <v>1</v>
      </c>
      <c r="E134" s="1716">
        <f>IF(J$133=0,0,H134/J$133)</f>
        <v>0</v>
      </c>
      <c r="G134" s="1691">
        <f>K134*N134</f>
        <v>1</v>
      </c>
      <c r="H134" s="1691">
        <f t="shared" si="118"/>
        <v>0</v>
      </c>
      <c r="I134" s="1691">
        <f>SUM(G135:G136)</f>
        <v>1</v>
      </c>
      <c r="J134" s="1691">
        <f>SUM(H135:H136)</f>
        <v>0</v>
      </c>
      <c r="K134" s="1616">
        <f>IF(スコア表示!X134=0,0,1)</f>
        <v>1</v>
      </c>
      <c r="L134" s="1616">
        <f>IF(スコア表示!AB134=0,0,1)</f>
        <v>0</v>
      </c>
      <c r="N134" s="1713">
        <f>IF(P$133=0,0,P134/P$133)</f>
        <v>1</v>
      </c>
      <c r="O134" s="1713">
        <f>IF(Q$133=0,0,Q134/Q$133)</f>
        <v>0</v>
      </c>
      <c r="P134" s="1616">
        <f>SUM(R135:R136)</f>
        <v>0.19999999999999998</v>
      </c>
      <c r="Q134" s="1616">
        <f>SUM(S135:S136)</f>
        <v>0</v>
      </c>
      <c r="R134" s="1616">
        <f>IF(スコア入力!R134="EB",重み_対象外!D134,U134)</f>
        <v>0</v>
      </c>
      <c r="S134" s="1616">
        <f>IF(スコア入力!Y134="EB",重み_対象外!E134,V134)</f>
        <v>0</v>
      </c>
      <c r="T134" s="1560"/>
      <c r="U134" s="1614"/>
      <c r="V134" s="1614"/>
      <c r="W134" s="1560"/>
      <c r="X134" s="1616">
        <f t="shared" si="73"/>
        <v>1</v>
      </c>
      <c r="Y134" s="1616">
        <f t="shared" si="74"/>
        <v>0</v>
      </c>
      <c r="Z134" s="1677"/>
      <c r="AA134" s="1647">
        <v>4.0999999999999996</v>
      </c>
      <c r="AB134" s="1597">
        <v>4.0999999999999996</v>
      </c>
      <c r="AC134" s="1737" t="s">
        <v>1820</v>
      </c>
      <c r="AD134" s="1759">
        <f t="shared" si="130"/>
        <v>1</v>
      </c>
      <c r="AE134" s="1759">
        <f t="shared" si="131"/>
        <v>1</v>
      </c>
      <c r="AF134" s="1759">
        <f t="shared" si="132"/>
        <v>1</v>
      </c>
      <c r="AG134" s="1759">
        <f t="shared" si="133"/>
        <v>1</v>
      </c>
      <c r="AH134" s="1759">
        <f t="shared" si="134"/>
        <v>1</v>
      </c>
      <c r="AI134" s="1759">
        <f t="shared" si="135"/>
        <v>1</v>
      </c>
      <c r="AJ134" s="1759">
        <f t="shared" si="141"/>
        <v>0</v>
      </c>
      <c r="AK134" s="1761">
        <f t="shared" si="136"/>
        <v>1</v>
      </c>
      <c r="AL134" s="1759">
        <f t="shared" si="137"/>
        <v>1</v>
      </c>
      <c r="AM134" s="1759">
        <f t="shared" si="137"/>
        <v>1</v>
      </c>
      <c r="AN134" s="1760">
        <f t="shared" si="138"/>
        <v>0</v>
      </c>
      <c r="AO134" s="1772">
        <f t="shared" si="139"/>
        <v>0</v>
      </c>
      <c r="AP134" s="1772">
        <f t="shared" si="140"/>
        <v>0</v>
      </c>
      <c r="AQ134" s="1678"/>
      <c r="AR134" s="1647">
        <v>4.0999999999999996</v>
      </c>
      <c r="AS134" s="1597">
        <v>4.0999999999999996</v>
      </c>
      <c r="AT134" s="1737" t="s">
        <v>1820</v>
      </c>
      <c r="AU134" s="1623">
        <v>1</v>
      </c>
      <c r="AV134" s="1623">
        <v>1</v>
      </c>
      <c r="AW134" s="1623">
        <v>1</v>
      </c>
      <c r="AX134" s="1623">
        <v>1</v>
      </c>
      <c r="AY134" s="1623">
        <v>1</v>
      </c>
      <c r="AZ134" s="1623">
        <v>1</v>
      </c>
      <c r="BA134" s="1623"/>
      <c r="BB134" s="1623">
        <v>1</v>
      </c>
      <c r="BC134" s="1623">
        <v>1</v>
      </c>
      <c r="BD134" s="1623">
        <v>1</v>
      </c>
      <c r="BE134" s="1625"/>
      <c r="BF134" s="2087"/>
      <c r="BG134" s="2087"/>
      <c r="BI134" s="1647">
        <v>4.0999999999999996</v>
      </c>
      <c r="BJ134" s="1597">
        <v>4.0999999999999996</v>
      </c>
      <c r="BK134" s="1737" t="s">
        <v>1820</v>
      </c>
      <c r="BL134" s="1623">
        <v>1</v>
      </c>
      <c r="BM134" s="1623">
        <v>1</v>
      </c>
      <c r="BN134" s="1623">
        <v>1</v>
      </c>
      <c r="BO134" s="1623">
        <v>1</v>
      </c>
      <c r="BP134" s="1623">
        <v>1</v>
      </c>
      <c r="BQ134" s="1623">
        <v>1</v>
      </c>
      <c r="BR134" s="1623"/>
      <c r="BS134" s="1623">
        <v>1</v>
      </c>
      <c r="BT134" s="1623">
        <v>1</v>
      </c>
      <c r="BU134" s="1623">
        <v>1</v>
      </c>
      <c r="BV134" s="1625"/>
      <c r="BW134" s="2087"/>
      <c r="BX134" s="2087"/>
    </row>
    <row r="135" spans="1:77" ht="13.5" customHeight="1">
      <c r="B135" s="1613" t="str">
        <f t="shared" ref="B135:B139" si="142">AA135</f>
        <v>4.1.1</v>
      </c>
      <c r="C135" s="1647" t="str">
        <f t="shared" ref="C135:C139" si="143">AC135</f>
        <v>モニタリング</v>
      </c>
      <c r="D135" s="1716">
        <f>IF(I$134=0,0,G135/I$134)</f>
        <v>0.5</v>
      </c>
      <c r="E135" s="1716">
        <f>IF(J$134=0,0,H135/J$134)</f>
        <v>0</v>
      </c>
      <c r="G135" s="1691">
        <f t="shared" si="118"/>
        <v>0.5</v>
      </c>
      <c r="H135" s="1691">
        <f t="shared" si="118"/>
        <v>0</v>
      </c>
      <c r="I135" s="1691"/>
      <c r="J135" s="1691"/>
      <c r="K135" s="1616">
        <f>IF(スコア表示!X135=0,0,1)</f>
        <v>1</v>
      </c>
      <c r="L135" s="1616">
        <f>IF(スコア表示!AB135=0,0,1)</f>
        <v>0</v>
      </c>
      <c r="N135" s="1708">
        <f>IF(P$134&gt;0,R135/P$134,0)</f>
        <v>0.5</v>
      </c>
      <c r="O135" s="1708">
        <f>IF(Q$134&gt;0,S135/Q$134,0)</f>
        <v>0</v>
      </c>
      <c r="P135" s="1616"/>
      <c r="Q135" s="1616"/>
      <c r="R135" s="1616">
        <f>IF(スコア入力!R135="EB",重み_対象外!D135,U135)</f>
        <v>9.9999999999999992E-2</v>
      </c>
      <c r="S135" s="1616">
        <f>IF(スコア入力!Y135="EB",重み_対象外!E135,V135)</f>
        <v>0</v>
      </c>
      <c r="T135" s="1560"/>
      <c r="U135" s="1614">
        <f>X$133*X$134*X135</f>
        <v>9.9999999999999992E-2</v>
      </c>
      <c r="V135" s="1614">
        <f>Y$133*Y$134*Y135</f>
        <v>0</v>
      </c>
      <c r="W135" s="1560"/>
      <c r="X135" s="1616">
        <f t="shared" si="73"/>
        <v>0.5</v>
      </c>
      <c r="Y135" s="1616">
        <f t="shared" si="74"/>
        <v>0</v>
      </c>
      <c r="Z135" s="1677"/>
      <c r="AA135" s="1647" t="s">
        <v>1501</v>
      </c>
      <c r="AB135" s="1597" t="s">
        <v>1821</v>
      </c>
      <c r="AC135" s="1737" t="s">
        <v>1822</v>
      </c>
      <c r="AD135" s="1759">
        <f t="shared" ref="AD135:AD139" si="144">IF($AA$3=1,AU135,BL135)</f>
        <v>0.5</v>
      </c>
      <c r="AE135" s="1759">
        <f t="shared" ref="AE135:AE139" si="145">IF($AA$3=1,AV135,BM135)</f>
        <v>0.5</v>
      </c>
      <c r="AF135" s="1759">
        <f t="shared" ref="AF135:AF139" si="146">IF($AA$3=1,AW135,BN135)</f>
        <v>0.5</v>
      </c>
      <c r="AG135" s="1759">
        <f t="shared" ref="AG135:AG139" si="147">IF($AA$3=1,AX135,BO135)</f>
        <v>0.5</v>
      </c>
      <c r="AH135" s="1759">
        <f t="shared" ref="AH135:AH139" si="148">IF($AA$3=1,AY135,BP135)</f>
        <v>0.5</v>
      </c>
      <c r="AI135" s="1759">
        <f t="shared" ref="AI135:AI139" si="149">IF($AA$3=1,AZ135,BQ135)</f>
        <v>0.5</v>
      </c>
      <c r="AJ135" s="1759">
        <f t="shared" ref="AJ135:AJ139" si="150">IF($AA$3=1,BA135,BR135)</f>
        <v>0</v>
      </c>
      <c r="AK135" s="1761">
        <f t="shared" ref="AK135:AK139" si="151">IF($AA$3=1,BB135,BS135)</f>
        <v>0.5</v>
      </c>
      <c r="AL135" s="1759">
        <f t="shared" ref="AL135:AL139" si="152">IF($AA$3=1,BC135,BT135)</f>
        <v>0.5</v>
      </c>
      <c r="AM135" s="1759">
        <f t="shared" ref="AM135:AM139" si="153">IF($AA$3=1,BD135,BU135)</f>
        <v>0.5</v>
      </c>
      <c r="AN135" s="1760"/>
      <c r="AO135" s="1772"/>
      <c r="AP135" s="1772"/>
      <c r="AQ135" s="1678"/>
      <c r="AR135" s="1647" t="s">
        <v>1582</v>
      </c>
      <c r="AS135" s="1597" t="s">
        <v>1821</v>
      </c>
      <c r="AT135" s="1737" t="s">
        <v>1822</v>
      </c>
      <c r="AU135" s="1623">
        <v>0.5</v>
      </c>
      <c r="AV135" s="1623">
        <v>0.5</v>
      </c>
      <c r="AW135" s="1623">
        <v>0.5</v>
      </c>
      <c r="AX135" s="1623">
        <v>0.5</v>
      </c>
      <c r="AY135" s="1623">
        <v>0.5</v>
      </c>
      <c r="AZ135" s="1623">
        <v>0.5</v>
      </c>
      <c r="BA135" s="1623"/>
      <c r="BB135" s="1623">
        <v>0.5</v>
      </c>
      <c r="BC135" s="1623">
        <v>0.5</v>
      </c>
      <c r="BD135" s="1623">
        <v>0.5</v>
      </c>
      <c r="BE135" s="1625"/>
      <c r="BF135" s="2087"/>
      <c r="BG135" s="2087"/>
      <c r="BI135" s="1647" t="s">
        <v>1582</v>
      </c>
      <c r="BJ135" s="1597" t="s">
        <v>1821</v>
      </c>
      <c r="BK135" s="1737" t="s">
        <v>1822</v>
      </c>
      <c r="BL135" s="1623">
        <v>0.5</v>
      </c>
      <c r="BM135" s="1623">
        <v>0.5</v>
      </c>
      <c r="BN135" s="1623">
        <v>0.5</v>
      </c>
      <c r="BO135" s="1623">
        <v>0.5</v>
      </c>
      <c r="BP135" s="1623">
        <v>0.5</v>
      </c>
      <c r="BQ135" s="1623">
        <v>0.5</v>
      </c>
      <c r="BR135" s="1623"/>
      <c r="BS135" s="1623">
        <v>0.5</v>
      </c>
      <c r="BT135" s="1623">
        <v>0.5</v>
      </c>
      <c r="BU135" s="1623">
        <v>0.5</v>
      </c>
      <c r="BV135" s="1625"/>
      <c r="BW135" s="2087"/>
      <c r="BX135" s="2087"/>
    </row>
    <row r="136" spans="1:77" ht="13.5" customHeight="1">
      <c r="B136" s="1613" t="str">
        <f t="shared" si="142"/>
        <v>4.1.2</v>
      </c>
      <c r="C136" s="1647" t="str">
        <f t="shared" si="143"/>
        <v>運用管理体制</v>
      </c>
      <c r="D136" s="1721">
        <f>IF(I$134&gt;0,G136/I$134,0)</f>
        <v>0.5</v>
      </c>
      <c r="E136" s="1721">
        <f>IF(J$134&gt;0,H136/J$134,0)</f>
        <v>0</v>
      </c>
      <c r="G136" s="1691">
        <f t="shared" si="118"/>
        <v>0.5</v>
      </c>
      <c r="H136" s="1691">
        <f t="shared" si="118"/>
        <v>0</v>
      </c>
      <c r="I136" s="1691"/>
      <c r="J136" s="1691"/>
      <c r="K136" s="1616">
        <f>IF(スコア表示!X136=0,0,1)</f>
        <v>1</v>
      </c>
      <c r="L136" s="1616">
        <f>IF(スコア表示!AB136=0,0,1)</f>
        <v>0</v>
      </c>
      <c r="N136" s="1708">
        <f>IF(P$134&gt;0,R136/P$134,0)</f>
        <v>0.5</v>
      </c>
      <c r="O136" s="1708">
        <f>IF(Q$134&gt;0,S136/Q$134,0)</f>
        <v>0</v>
      </c>
      <c r="P136" s="1616"/>
      <c r="Q136" s="1616"/>
      <c r="R136" s="1616">
        <f>IF(スコア入力!R136="EB",重み_対象外!D136,U136)</f>
        <v>9.9999999999999992E-2</v>
      </c>
      <c r="S136" s="1616">
        <f>IF(スコア入力!Y136="EB",重み_対象外!E136,V136)</f>
        <v>0</v>
      </c>
      <c r="T136" s="1560"/>
      <c r="U136" s="1614">
        <f>X$133*X$134*X136</f>
        <v>9.9999999999999992E-2</v>
      </c>
      <c r="V136" s="1614">
        <f>Y$133*Y$134*Y136</f>
        <v>0</v>
      </c>
      <c r="W136" s="1560"/>
      <c r="X136" s="1616">
        <f t="shared" si="73"/>
        <v>0.5</v>
      </c>
      <c r="Y136" s="1616">
        <f t="shared" si="74"/>
        <v>0</v>
      </c>
      <c r="Z136" s="1677"/>
      <c r="AA136" s="1647" t="s">
        <v>1502</v>
      </c>
      <c r="AB136" s="1597" t="s">
        <v>1823</v>
      </c>
      <c r="AC136" s="1737" t="s">
        <v>1824</v>
      </c>
      <c r="AD136" s="1759">
        <f t="shared" si="144"/>
        <v>0.5</v>
      </c>
      <c r="AE136" s="1759">
        <f t="shared" si="145"/>
        <v>0.5</v>
      </c>
      <c r="AF136" s="1759">
        <f t="shared" si="146"/>
        <v>0.5</v>
      </c>
      <c r="AG136" s="1759">
        <f t="shared" si="147"/>
        <v>0.5</v>
      </c>
      <c r="AH136" s="1759">
        <f t="shared" si="148"/>
        <v>0.5</v>
      </c>
      <c r="AI136" s="1759">
        <f t="shared" si="149"/>
        <v>0.5</v>
      </c>
      <c r="AJ136" s="1759">
        <f t="shared" si="150"/>
        <v>0</v>
      </c>
      <c r="AK136" s="1761">
        <f t="shared" si="151"/>
        <v>0.5</v>
      </c>
      <c r="AL136" s="1759">
        <f t="shared" si="152"/>
        <v>0.5</v>
      </c>
      <c r="AM136" s="1759">
        <f t="shared" si="153"/>
        <v>0.5</v>
      </c>
      <c r="AN136" s="1760"/>
      <c r="AO136" s="1772"/>
      <c r="AP136" s="1772"/>
      <c r="AQ136" s="1678"/>
      <c r="AR136" s="1647" t="s">
        <v>1586</v>
      </c>
      <c r="AS136" s="1597" t="s">
        <v>1823</v>
      </c>
      <c r="AT136" s="1737" t="s">
        <v>1824</v>
      </c>
      <c r="AU136" s="1623">
        <v>0.5</v>
      </c>
      <c r="AV136" s="1623">
        <v>0.5</v>
      </c>
      <c r="AW136" s="1623">
        <v>0.5</v>
      </c>
      <c r="AX136" s="1623">
        <v>0.5</v>
      </c>
      <c r="AY136" s="1623">
        <v>0.5</v>
      </c>
      <c r="AZ136" s="1623">
        <v>0.5</v>
      </c>
      <c r="BA136" s="1623"/>
      <c r="BB136" s="1623">
        <v>0.5</v>
      </c>
      <c r="BC136" s="1623">
        <v>0.5</v>
      </c>
      <c r="BD136" s="1623">
        <v>0.5</v>
      </c>
      <c r="BE136" s="1625"/>
      <c r="BF136" s="2087"/>
      <c r="BG136" s="2087"/>
      <c r="BI136" s="1647" t="s">
        <v>1586</v>
      </c>
      <c r="BJ136" s="1597" t="s">
        <v>1823</v>
      </c>
      <c r="BK136" s="1737" t="s">
        <v>1824</v>
      </c>
      <c r="BL136" s="1623">
        <v>0.5</v>
      </c>
      <c r="BM136" s="1623">
        <v>0.5</v>
      </c>
      <c r="BN136" s="1623">
        <v>0.5</v>
      </c>
      <c r="BO136" s="1623">
        <v>0.5</v>
      </c>
      <c r="BP136" s="1623">
        <v>0.5</v>
      </c>
      <c r="BQ136" s="1623">
        <v>0.5</v>
      </c>
      <c r="BR136" s="1623"/>
      <c r="BS136" s="1623">
        <v>0.5</v>
      </c>
      <c r="BT136" s="1623">
        <v>0.5</v>
      </c>
      <c r="BU136" s="1623">
        <v>0.5</v>
      </c>
      <c r="BV136" s="1625"/>
      <c r="BW136" s="2087"/>
      <c r="BX136" s="2087"/>
    </row>
    <row r="137" spans="1:77" s="1680" customFormat="1" ht="13.5" customHeight="1">
      <c r="A137"/>
      <c r="B137" s="1613">
        <f t="shared" si="142"/>
        <v>4.2</v>
      </c>
      <c r="C137" s="1647" t="str">
        <f t="shared" si="143"/>
        <v>住宅の評価</v>
      </c>
      <c r="D137" s="1716">
        <f>IF(I$133=0,0,G137/I$133)</f>
        <v>0</v>
      </c>
      <c r="E137" s="1716">
        <f>IF(J$133=0,0,H137/J$133)</f>
        <v>0</v>
      </c>
      <c r="F137"/>
      <c r="G137" s="1691">
        <f t="shared" ref="G137:H139" si="154">K137*N137</f>
        <v>0</v>
      </c>
      <c r="H137" s="1691">
        <f t="shared" si="154"/>
        <v>0</v>
      </c>
      <c r="I137" s="1691">
        <f>SUM(G138:G139)</f>
        <v>0</v>
      </c>
      <c r="J137" s="1691">
        <f>SUM(H138:H139)</f>
        <v>0</v>
      </c>
      <c r="K137" s="1616">
        <f>IF(スコア表示!X137=0,0,1)</f>
        <v>0</v>
      </c>
      <c r="L137" s="1616">
        <f>IF(スコア表示!AB137=0,0,1)</f>
        <v>0</v>
      </c>
      <c r="M137"/>
      <c r="N137" s="1713">
        <f>IF(P$133=0,0,P137/P$133)</f>
        <v>0</v>
      </c>
      <c r="O137" s="1713">
        <f>IF(Q$133=0,0,Q137/Q$133)</f>
        <v>0</v>
      </c>
      <c r="P137" s="1616">
        <f>SUM(R138:R139)</f>
        <v>0</v>
      </c>
      <c r="Q137" s="1616">
        <f>SUM(S138:S139)</f>
        <v>0</v>
      </c>
      <c r="R137" s="1616">
        <f>IF(スコア入力!R137="EB",重み_対象外!D137,U137)</f>
        <v>0</v>
      </c>
      <c r="S137" s="1616">
        <f>IF(スコア入力!Y137="EB",重み_対象外!E137,V137)</f>
        <v>0</v>
      </c>
      <c r="T137" s="1560"/>
      <c r="U137" s="1614"/>
      <c r="V137" s="1614"/>
      <c r="W137" s="1560"/>
      <c r="X137" s="1616">
        <f t="shared" si="73"/>
        <v>0</v>
      </c>
      <c r="Y137" s="1616">
        <f t="shared" si="74"/>
        <v>0</v>
      </c>
      <c r="Z137" s="1677"/>
      <c r="AA137" s="1647">
        <v>4.2</v>
      </c>
      <c r="AB137" s="1597">
        <v>4.2</v>
      </c>
      <c r="AC137" s="1737" t="s">
        <v>1825</v>
      </c>
      <c r="AD137" s="1759">
        <f t="shared" si="144"/>
        <v>0</v>
      </c>
      <c r="AE137" s="1759">
        <f t="shared" si="145"/>
        <v>0</v>
      </c>
      <c r="AF137" s="1759">
        <f t="shared" si="146"/>
        <v>0</v>
      </c>
      <c r="AG137" s="1759">
        <f t="shared" si="147"/>
        <v>0</v>
      </c>
      <c r="AH137" s="1759">
        <f t="shared" si="148"/>
        <v>0</v>
      </c>
      <c r="AI137" s="1759">
        <f t="shared" si="149"/>
        <v>0</v>
      </c>
      <c r="AJ137" s="1759">
        <f t="shared" si="150"/>
        <v>1</v>
      </c>
      <c r="AK137" s="1761">
        <f t="shared" si="151"/>
        <v>0</v>
      </c>
      <c r="AL137" s="1759">
        <f t="shared" si="152"/>
        <v>0</v>
      </c>
      <c r="AM137" s="1759">
        <f t="shared" si="153"/>
        <v>0</v>
      </c>
      <c r="AN137" s="1760">
        <f t="shared" si="138"/>
        <v>0</v>
      </c>
      <c r="AO137" s="1772">
        <f t="shared" si="139"/>
        <v>0</v>
      </c>
      <c r="AP137" s="1772">
        <f t="shared" si="140"/>
        <v>0</v>
      </c>
      <c r="AQ137" s="1678"/>
      <c r="AR137" s="1647">
        <v>4.2</v>
      </c>
      <c r="AS137" s="1597">
        <v>4.2</v>
      </c>
      <c r="AT137" s="1737" t="s">
        <v>1825</v>
      </c>
      <c r="AU137" s="1623"/>
      <c r="AV137" s="1623"/>
      <c r="AW137" s="1623"/>
      <c r="AX137" s="1623"/>
      <c r="AY137" s="1623"/>
      <c r="AZ137" s="1623"/>
      <c r="BA137" s="1623">
        <v>1</v>
      </c>
      <c r="BB137" s="1624"/>
      <c r="BC137" s="1623"/>
      <c r="BD137" s="1623"/>
      <c r="BE137" s="1625"/>
      <c r="BF137" s="2087"/>
      <c r="BG137" s="2087"/>
      <c r="BH137"/>
      <c r="BI137" s="1647">
        <v>4.2</v>
      </c>
      <c r="BJ137" s="1597">
        <v>4.2</v>
      </c>
      <c r="BK137" s="1737" t="s">
        <v>1825</v>
      </c>
      <c r="BL137" s="1623"/>
      <c r="BM137" s="1623"/>
      <c r="BN137" s="1623"/>
      <c r="BO137" s="1623"/>
      <c r="BP137" s="1623"/>
      <c r="BQ137" s="1623"/>
      <c r="BR137" s="1623">
        <v>1</v>
      </c>
      <c r="BS137" s="1624"/>
      <c r="BT137" s="1623"/>
      <c r="BU137" s="1623"/>
      <c r="BV137" s="1625"/>
      <c r="BW137" s="2087"/>
      <c r="BX137" s="2087"/>
      <c r="BY137"/>
    </row>
    <row r="138" spans="1:77" s="1680" customFormat="1" ht="13.5" customHeight="1">
      <c r="A138"/>
      <c r="B138" s="1613" t="str">
        <f t="shared" si="142"/>
        <v>4.2.1</v>
      </c>
      <c r="C138" s="1647" t="str">
        <f t="shared" si="143"/>
        <v>住まい方の提示</v>
      </c>
      <c r="D138" s="1721">
        <f>IF(I$137&gt;0,G138/I$137,0)</f>
        <v>0</v>
      </c>
      <c r="E138" s="1721">
        <f>IF(J$137&gt;0,H138/J$137,0)</f>
        <v>0</v>
      </c>
      <c r="F138"/>
      <c r="G138" s="1691">
        <f t="shared" si="154"/>
        <v>0</v>
      </c>
      <c r="H138" s="1691">
        <f t="shared" si="154"/>
        <v>0</v>
      </c>
      <c r="I138" s="1691"/>
      <c r="J138" s="1691"/>
      <c r="K138" s="1616">
        <f>IF(スコア表示!X138=0,0,1)</f>
        <v>0</v>
      </c>
      <c r="L138" s="1616">
        <f>IF(スコア表示!AB138=0,0,1)</f>
        <v>0</v>
      </c>
      <c r="M138"/>
      <c r="N138" s="1708">
        <f>IF(P$137&gt;0,R138/P$137,0)</f>
        <v>0</v>
      </c>
      <c r="O138" s="1708">
        <f>IF(Q$137&gt;0,S138/Q$137,0)</f>
        <v>0</v>
      </c>
      <c r="P138" s="1616"/>
      <c r="Q138" s="1616"/>
      <c r="R138" s="1616">
        <f>IF(スコア入力!R138="EB",重み_対象外!D138,U138)</f>
        <v>0</v>
      </c>
      <c r="S138" s="1616">
        <f>IF(スコア入力!Y138="EB",重み_対象外!E138,V138)</f>
        <v>0</v>
      </c>
      <c r="T138" s="1560"/>
      <c r="U138" s="1614">
        <f>X$133*X$137*X138</f>
        <v>0</v>
      </c>
      <c r="V138" s="1614">
        <f>Y$133*Y$134*Y138</f>
        <v>0</v>
      </c>
      <c r="W138" s="1560"/>
      <c r="X138" s="1616">
        <f>SUMPRODUCT($AD$7:$AM$7,AD138:AM138)</f>
        <v>0</v>
      </c>
      <c r="Y138" s="1616">
        <f>(AN$7*AN138)+(AO$7*AO138)+(AP$7*AP138)</f>
        <v>0</v>
      </c>
      <c r="Z138" s="1677"/>
      <c r="AA138" s="1647" t="s">
        <v>1506</v>
      </c>
      <c r="AB138" s="1597" t="s">
        <v>1826</v>
      </c>
      <c r="AC138" s="1737" t="s">
        <v>1827</v>
      </c>
      <c r="AD138" s="1759">
        <f t="shared" si="144"/>
        <v>0</v>
      </c>
      <c r="AE138" s="1759">
        <f t="shared" si="145"/>
        <v>0</v>
      </c>
      <c r="AF138" s="1759">
        <f t="shared" si="146"/>
        <v>0</v>
      </c>
      <c r="AG138" s="1759">
        <f t="shared" si="147"/>
        <v>0</v>
      </c>
      <c r="AH138" s="1759">
        <f t="shared" si="148"/>
        <v>0</v>
      </c>
      <c r="AI138" s="1759">
        <f t="shared" si="149"/>
        <v>0</v>
      </c>
      <c r="AJ138" s="1759">
        <f t="shared" si="150"/>
        <v>0.5</v>
      </c>
      <c r="AK138" s="1761">
        <f t="shared" si="151"/>
        <v>0</v>
      </c>
      <c r="AL138" s="1759">
        <f t="shared" si="152"/>
        <v>0</v>
      </c>
      <c r="AM138" s="1759">
        <f t="shared" si="153"/>
        <v>0</v>
      </c>
      <c r="AN138" s="1760"/>
      <c r="AO138" s="1772"/>
      <c r="AP138" s="1772"/>
      <c r="AQ138" s="1678"/>
      <c r="AR138" s="1647" t="s">
        <v>1506</v>
      </c>
      <c r="AS138" s="1597" t="s">
        <v>1826</v>
      </c>
      <c r="AT138" s="1737" t="s">
        <v>1827</v>
      </c>
      <c r="AU138" s="1623"/>
      <c r="AV138" s="1623"/>
      <c r="AW138" s="1623"/>
      <c r="AX138" s="1623"/>
      <c r="AY138" s="1623"/>
      <c r="AZ138" s="1623"/>
      <c r="BA138" s="1623">
        <v>0.5</v>
      </c>
      <c r="BB138" s="1624"/>
      <c r="BC138" s="1623"/>
      <c r="BD138" s="1623"/>
      <c r="BE138" s="1625"/>
      <c r="BF138" s="2087"/>
      <c r="BG138" s="2087"/>
      <c r="BH138"/>
      <c r="BI138" s="1647" t="s">
        <v>1506</v>
      </c>
      <c r="BJ138" s="1597" t="s">
        <v>1826</v>
      </c>
      <c r="BK138" s="1737" t="s">
        <v>1827</v>
      </c>
      <c r="BL138" s="1623"/>
      <c r="BM138" s="1623"/>
      <c r="BN138" s="1623"/>
      <c r="BO138" s="1623"/>
      <c r="BP138" s="1623"/>
      <c r="BQ138" s="1623"/>
      <c r="BR138" s="1623">
        <v>0.5</v>
      </c>
      <c r="BS138" s="1624"/>
      <c r="BT138" s="1623"/>
      <c r="BU138" s="1623"/>
      <c r="BV138" s="1625"/>
      <c r="BW138" s="2087"/>
      <c r="BX138" s="2087"/>
      <c r="BY138"/>
    </row>
    <row r="139" spans="1:77" s="1680" customFormat="1" ht="13.5" customHeight="1">
      <c r="A139"/>
      <c r="B139" s="1613" t="str">
        <f t="shared" si="142"/>
        <v>4.2.2</v>
      </c>
      <c r="C139" s="1647" t="str">
        <f t="shared" si="143"/>
        <v>エネルギーの管理と制御</v>
      </c>
      <c r="D139" s="1721">
        <f>IF(I$137&gt;0,G139/I$137,0)</f>
        <v>0</v>
      </c>
      <c r="E139" s="1721">
        <f>IF(J$137&gt;0,H139/J$137,0)</f>
        <v>0</v>
      </c>
      <c r="F139"/>
      <c r="G139" s="1691">
        <f t="shared" si="154"/>
        <v>0</v>
      </c>
      <c r="H139" s="1691">
        <f t="shared" si="154"/>
        <v>0</v>
      </c>
      <c r="I139" s="1691"/>
      <c r="J139" s="1691"/>
      <c r="K139" s="1616">
        <f>IF(スコア表示!X139=0,0,1)</f>
        <v>0</v>
      </c>
      <c r="L139" s="1616">
        <f>IF(スコア表示!AB139=0,0,1)</f>
        <v>0</v>
      </c>
      <c r="M139"/>
      <c r="N139" s="1708">
        <f>IF(P$137&gt;0,R139/P$137,0)</f>
        <v>0</v>
      </c>
      <c r="O139" s="1708">
        <f>IF(Q$137&gt;0,S139/Q$137,0)</f>
        <v>0</v>
      </c>
      <c r="P139" s="1616"/>
      <c r="Q139" s="1616"/>
      <c r="R139" s="1616">
        <f>IF(スコア入力!R139="EB",重み_対象外!D139,U139)</f>
        <v>0</v>
      </c>
      <c r="S139" s="1616">
        <f>IF(スコア入力!Y139="EB",重み_対象外!E139,V139)</f>
        <v>0</v>
      </c>
      <c r="T139" s="1560"/>
      <c r="U139" s="1614">
        <f>X$133*X$138*X139</f>
        <v>0</v>
      </c>
      <c r="V139" s="1614">
        <f>Y$133*Y$134*Y139</f>
        <v>0</v>
      </c>
      <c r="W139" s="1560"/>
      <c r="X139" s="1616">
        <f t="shared" si="73"/>
        <v>0</v>
      </c>
      <c r="Y139" s="1616">
        <f t="shared" si="74"/>
        <v>0</v>
      </c>
      <c r="Z139" s="1677"/>
      <c r="AA139" s="1647" t="s">
        <v>1507</v>
      </c>
      <c r="AB139" s="1597" t="s">
        <v>1828</v>
      </c>
      <c r="AC139" s="1737" t="s">
        <v>1723</v>
      </c>
      <c r="AD139" s="1759">
        <f t="shared" si="144"/>
        <v>0</v>
      </c>
      <c r="AE139" s="1759">
        <f t="shared" si="145"/>
        <v>0</v>
      </c>
      <c r="AF139" s="1759">
        <f t="shared" si="146"/>
        <v>0</v>
      </c>
      <c r="AG139" s="1759">
        <f t="shared" si="147"/>
        <v>0</v>
      </c>
      <c r="AH139" s="1759">
        <f t="shared" si="148"/>
        <v>0</v>
      </c>
      <c r="AI139" s="1759">
        <f t="shared" si="149"/>
        <v>0</v>
      </c>
      <c r="AJ139" s="1759">
        <f t="shared" si="150"/>
        <v>0.5</v>
      </c>
      <c r="AK139" s="1761">
        <f t="shared" si="151"/>
        <v>0</v>
      </c>
      <c r="AL139" s="1759">
        <f t="shared" si="152"/>
        <v>0</v>
      </c>
      <c r="AM139" s="1759">
        <f t="shared" si="153"/>
        <v>0</v>
      </c>
      <c r="AN139" s="1760"/>
      <c r="AO139" s="1772"/>
      <c r="AP139" s="1772"/>
      <c r="AQ139" s="1678"/>
      <c r="AR139" s="1647" t="s">
        <v>1508</v>
      </c>
      <c r="AS139" s="1597" t="s">
        <v>1828</v>
      </c>
      <c r="AT139" s="1737" t="s">
        <v>1723</v>
      </c>
      <c r="AU139" s="1623"/>
      <c r="AV139" s="1623"/>
      <c r="AW139" s="1623"/>
      <c r="AX139" s="1623"/>
      <c r="AY139" s="1623"/>
      <c r="AZ139" s="1623"/>
      <c r="BA139" s="1623">
        <v>0.5</v>
      </c>
      <c r="BB139" s="1624"/>
      <c r="BC139" s="1623"/>
      <c r="BD139" s="1623"/>
      <c r="BE139" s="1625"/>
      <c r="BF139" s="2087"/>
      <c r="BG139" s="2087"/>
      <c r="BH139"/>
      <c r="BI139" s="1647" t="s">
        <v>1508</v>
      </c>
      <c r="BJ139" s="1597" t="s">
        <v>1828</v>
      </c>
      <c r="BK139" s="1737" t="s">
        <v>1723</v>
      </c>
      <c r="BL139" s="1623"/>
      <c r="BM139" s="1623"/>
      <c r="BN139" s="1623"/>
      <c r="BO139" s="1623"/>
      <c r="BP139" s="1623"/>
      <c r="BQ139" s="1623"/>
      <c r="BR139" s="1623">
        <v>0.5</v>
      </c>
      <c r="BS139" s="1624"/>
      <c r="BT139" s="1623"/>
      <c r="BU139" s="1623"/>
      <c r="BV139" s="1625"/>
      <c r="BW139" s="2087"/>
      <c r="BX139" s="2087"/>
      <c r="BY139"/>
    </row>
    <row r="140" spans="1:77" s="1605" customFormat="1" ht="13.5" customHeight="1">
      <c r="A140"/>
      <c r="B140" s="1597" t="str">
        <f t="shared" si="116"/>
        <v>LR2</v>
      </c>
      <c r="C140" s="1597" t="str">
        <f t="shared" si="117"/>
        <v>資源・マテリアル</v>
      </c>
      <c r="D140" s="2091">
        <f>IF(I$116=0,0,G140/I$116)</f>
        <v>0.3</v>
      </c>
      <c r="E140" s="2057">
        <f>IF(J$116=0,0,H140/J$116)</f>
        <v>0</v>
      </c>
      <c r="F140"/>
      <c r="G140" s="2057">
        <f t="shared" si="118"/>
        <v>0.3</v>
      </c>
      <c r="H140" s="2057">
        <f t="shared" si="118"/>
        <v>0</v>
      </c>
      <c r="I140" s="2057">
        <f>G141+G146+G153</f>
        <v>1</v>
      </c>
      <c r="J140" s="2057">
        <f>H141+H146+H153</f>
        <v>0</v>
      </c>
      <c r="K140" s="1600">
        <f>IF(スコア表示!X140=0,0,1)</f>
        <v>1</v>
      </c>
      <c r="L140" s="1600">
        <f>IF(スコア表示!AB140=0,0,1)</f>
        <v>0</v>
      </c>
      <c r="M140"/>
      <c r="N140" s="1731">
        <f>IF(P$116=0,0,R140/P$116)</f>
        <v>0.3</v>
      </c>
      <c r="O140" s="1731">
        <f>IF(Q$116=0,0,S140/Q$116)</f>
        <v>0</v>
      </c>
      <c r="P140" s="1600">
        <f>R141+R146+R153</f>
        <v>0.99999999999999978</v>
      </c>
      <c r="Q140" s="1600">
        <f>S141+S146+S153</f>
        <v>0</v>
      </c>
      <c r="R140" s="1600">
        <f>IF(スコア入力!R140="EB",重み_対象外!D140,U140)</f>
        <v>0.3</v>
      </c>
      <c r="S140" s="1600">
        <f>IF(スコア入力!Y140="EB",重み_対象外!E140,V140)</f>
        <v>0</v>
      </c>
      <c r="T140" s="1560"/>
      <c r="U140" s="1753">
        <f>X140</f>
        <v>0.3</v>
      </c>
      <c r="V140" s="1753">
        <f>Y140</f>
        <v>0</v>
      </c>
      <c r="W140" s="1560"/>
      <c r="X140" s="1600">
        <f t="shared" si="73"/>
        <v>0.3</v>
      </c>
      <c r="Y140" s="1600">
        <f t="shared" si="74"/>
        <v>0</v>
      </c>
      <c r="Z140" s="1601"/>
      <c r="AA140" s="1681" t="str">
        <f t="shared" si="122"/>
        <v>LR2</v>
      </c>
      <c r="AB140" s="1681" t="str">
        <f t="shared" si="123"/>
        <v>LR</v>
      </c>
      <c r="AC140" s="1602" t="str">
        <f t="shared" ref="AC140:AC162" si="155">IF($AA$3=1,AT140,BK140)</f>
        <v>資源・マテリアル</v>
      </c>
      <c r="AD140" s="1754">
        <f t="shared" si="130"/>
        <v>0.3</v>
      </c>
      <c r="AE140" s="1754">
        <f t="shared" si="131"/>
        <v>0.3</v>
      </c>
      <c r="AF140" s="1754">
        <f t="shared" si="132"/>
        <v>0.3</v>
      </c>
      <c r="AG140" s="1754">
        <f t="shared" si="133"/>
        <v>0.3</v>
      </c>
      <c r="AH140" s="1754">
        <f t="shared" si="134"/>
        <v>0.3</v>
      </c>
      <c r="AI140" s="1754">
        <f t="shared" si="135"/>
        <v>0.3</v>
      </c>
      <c r="AJ140" s="1754">
        <f t="shared" si="141"/>
        <v>0.3</v>
      </c>
      <c r="AK140" s="1781">
        <f t="shared" si="136"/>
        <v>0.3</v>
      </c>
      <c r="AL140" s="1754">
        <f t="shared" si="137"/>
        <v>0.3</v>
      </c>
      <c r="AM140" s="1754">
        <f t="shared" si="137"/>
        <v>0.3</v>
      </c>
      <c r="AN140" s="1782">
        <f t="shared" si="138"/>
        <v>0</v>
      </c>
      <c r="AO140" s="1783">
        <f t="shared" si="139"/>
        <v>0</v>
      </c>
      <c r="AP140" s="1783">
        <f t="shared" si="140"/>
        <v>0</v>
      </c>
      <c r="AQ140" s="1685"/>
      <c r="AR140" s="1598" t="s">
        <v>1593</v>
      </c>
      <c r="AS140" s="2094" t="s">
        <v>1567</v>
      </c>
      <c r="AT140" s="2058" t="s">
        <v>1594</v>
      </c>
      <c r="AU140" s="2060">
        <v>0.3</v>
      </c>
      <c r="AV140" s="2060">
        <v>0.3</v>
      </c>
      <c r="AW140" s="2060">
        <v>0.3</v>
      </c>
      <c r="AX140" s="2060">
        <v>0.3</v>
      </c>
      <c r="AY140" s="2060">
        <v>0.3</v>
      </c>
      <c r="AZ140" s="2060">
        <v>0.3</v>
      </c>
      <c r="BA140" s="2060">
        <v>0.3</v>
      </c>
      <c r="BB140" s="2095">
        <v>0.3</v>
      </c>
      <c r="BC140" s="2060">
        <v>0.3</v>
      </c>
      <c r="BD140" s="2060">
        <v>0.3</v>
      </c>
      <c r="BE140" s="2096"/>
      <c r="BF140" s="2097"/>
      <c r="BG140" s="2097"/>
      <c r="BH140"/>
      <c r="BI140" s="1598" t="s">
        <v>1593</v>
      </c>
      <c r="BJ140" s="2094" t="s">
        <v>1567</v>
      </c>
      <c r="BK140" s="2058" t="s">
        <v>1594</v>
      </c>
      <c r="BL140" s="2060">
        <v>0.3</v>
      </c>
      <c r="BM140" s="2060">
        <v>0.3</v>
      </c>
      <c r="BN140" s="2060">
        <v>0.3</v>
      </c>
      <c r="BO140" s="2060">
        <v>0.3</v>
      </c>
      <c r="BP140" s="2060">
        <v>0.3</v>
      </c>
      <c r="BQ140" s="2060">
        <v>0.3</v>
      </c>
      <c r="BR140" s="2060">
        <v>0.3</v>
      </c>
      <c r="BS140" s="2095">
        <v>0.3</v>
      </c>
      <c r="BT140" s="2060">
        <v>0.3</v>
      </c>
      <c r="BU140" s="2060">
        <v>0.3</v>
      </c>
      <c r="BV140" s="2096"/>
      <c r="BW140" s="2097"/>
      <c r="BX140" s="2097"/>
      <c r="BY140"/>
    </row>
    <row r="141" spans="1:77" s="1605" customFormat="1" ht="13.5" customHeight="1">
      <c r="A141"/>
      <c r="B141" s="1673">
        <f t="shared" ref="B141:B172" si="156">AA141</f>
        <v>1</v>
      </c>
      <c r="C141" s="1641" t="str">
        <f t="shared" ref="C141:C172" si="157">AC141</f>
        <v>水資源保護</v>
      </c>
      <c r="D141" s="2062">
        <f>IF(I$140=0,0,G141/I$140)</f>
        <v>0.2</v>
      </c>
      <c r="E141" s="1743">
        <f>IF(J$140=0,0,H141/J$140)</f>
        <v>0</v>
      </c>
      <c r="F141"/>
      <c r="G141" s="1743">
        <f t="shared" ref="G141:H172" si="158">K141*N141</f>
        <v>0.2</v>
      </c>
      <c r="H141" s="1743">
        <f t="shared" si="158"/>
        <v>0</v>
      </c>
      <c r="I141" s="1743">
        <f>G142+G143</f>
        <v>1</v>
      </c>
      <c r="J141" s="1743">
        <f>H142+H143</f>
        <v>0</v>
      </c>
      <c r="K141" s="1609">
        <f>IF(スコア表示!X141=0,0,1)</f>
        <v>1</v>
      </c>
      <c r="L141" s="1609">
        <f>IF(スコア表示!AB141=0,0,1)</f>
        <v>0</v>
      </c>
      <c r="M141"/>
      <c r="N141" s="1707">
        <f>IF(P$140=0,0,R141/P$140)</f>
        <v>0.2</v>
      </c>
      <c r="O141" s="1707">
        <f>IF(Q$140=0,0,S141/Q$140)</f>
        <v>0</v>
      </c>
      <c r="P141" s="1609">
        <f>SUM(R142:R145)</f>
        <v>0.19999999999999996</v>
      </c>
      <c r="Q141" s="1609">
        <f>SUM(S142:S145)</f>
        <v>0</v>
      </c>
      <c r="R141" s="1609">
        <f>IF(スコア入力!R141="EB",重み_対象外!D141,U141)</f>
        <v>0.19999999999999996</v>
      </c>
      <c r="S141" s="1609">
        <f>IF(スコア入力!Y141="EB",重み_対象外!E141,V141)</f>
        <v>0</v>
      </c>
      <c r="T141" s="1560"/>
      <c r="U141" s="1607">
        <f>SUM(U142:U145)</f>
        <v>0.19999999999999996</v>
      </c>
      <c r="V141" s="1607">
        <f>SUM(V142:V145)</f>
        <v>0</v>
      </c>
      <c r="W141" s="1560"/>
      <c r="X141" s="1609">
        <f t="shared" si="73"/>
        <v>0.19999999999999998</v>
      </c>
      <c r="Y141" s="1609">
        <f t="shared" si="74"/>
        <v>0</v>
      </c>
      <c r="Z141" s="1601"/>
      <c r="AA141" s="1674">
        <f t="shared" si="122"/>
        <v>1</v>
      </c>
      <c r="AB141" s="1606" t="str">
        <f t="shared" si="123"/>
        <v>LR2</v>
      </c>
      <c r="AC141" s="1606" t="str">
        <f t="shared" si="155"/>
        <v>水資源保護</v>
      </c>
      <c r="AD141" s="1756">
        <f t="shared" si="130"/>
        <v>0.2</v>
      </c>
      <c r="AE141" s="1756">
        <f t="shared" si="131"/>
        <v>0.2</v>
      </c>
      <c r="AF141" s="1756">
        <f t="shared" si="132"/>
        <v>0.2</v>
      </c>
      <c r="AG141" s="1756">
        <f t="shared" si="133"/>
        <v>0.2</v>
      </c>
      <c r="AH141" s="1756">
        <f t="shared" si="134"/>
        <v>0.2</v>
      </c>
      <c r="AI141" s="1756">
        <f t="shared" si="135"/>
        <v>0.2</v>
      </c>
      <c r="AJ141" s="1756">
        <f t="shared" si="141"/>
        <v>0.2</v>
      </c>
      <c r="AK141" s="1768">
        <f t="shared" si="136"/>
        <v>0.2</v>
      </c>
      <c r="AL141" s="1756">
        <f t="shared" si="137"/>
        <v>0.2</v>
      </c>
      <c r="AM141" s="1756">
        <f t="shared" si="137"/>
        <v>0.2</v>
      </c>
      <c r="AN141" s="1784">
        <f t="shared" si="138"/>
        <v>0</v>
      </c>
      <c r="AO141" s="1785">
        <f t="shared" si="139"/>
        <v>0</v>
      </c>
      <c r="AP141" s="1785">
        <f t="shared" si="140"/>
        <v>0</v>
      </c>
      <c r="AQ141" s="1685"/>
      <c r="AR141" s="1673">
        <v>1</v>
      </c>
      <c r="AS141" s="1744" t="s">
        <v>373</v>
      </c>
      <c r="AT141" s="1780" t="s">
        <v>795</v>
      </c>
      <c r="AU141" s="1711">
        <v>0.2</v>
      </c>
      <c r="AV141" s="1711">
        <v>0.2</v>
      </c>
      <c r="AW141" s="1711">
        <v>0.2</v>
      </c>
      <c r="AX141" s="1711">
        <v>0.2</v>
      </c>
      <c r="AY141" s="1711">
        <v>0.2</v>
      </c>
      <c r="AZ141" s="1711">
        <v>0.2</v>
      </c>
      <c r="BA141" s="1711">
        <v>0.2</v>
      </c>
      <c r="BB141" s="2083">
        <v>0.2</v>
      </c>
      <c r="BC141" s="1711">
        <v>0.2</v>
      </c>
      <c r="BD141" s="1711">
        <v>0.2</v>
      </c>
      <c r="BE141" s="2098"/>
      <c r="BF141" s="2099"/>
      <c r="BG141" s="2099"/>
      <c r="BH141"/>
      <c r="BI141" s="1673">
        <v>1</v>
      </c>
      <c r="BJ141" s="1744" t="s">
        <v>373</v>
      </c>
      <c r="BK141" s="1780" t="s">
        <v>795</v>
      </c>
      <c r="BL141" s="1711">
        <v>0.2</v>
      </c>
      <c r="BM141" s="1711">
        <v>0.2</v>
      </c>
      <c r="BN141" s="1711">
        <v>0.2</v>
      </c>
      <c r="BO141" s="1711">
        <v>0.2</v>
      </c>
      <c r="BP141" s="1711">
        <v>0.2</v>
      </c>
      <c r="BQ141" s="1711">
        <v>0.2</v>
      </c>
      <c r="BR141" s="1711">
        <v>0.2</v>
      </c>
      <c r="BS141" s="2083">
        <v>0.2</v>
      </c>
      <c r="BT141" s="1711">
        <v>0.2</v>
      </c>
      <c r="BU141" s="1711">
        <v>0.2</v>
      </c>
      <c r="BV141" s="2098"/>
      <c r="BW141" s="2099"/>
      <c r="BX141" s="2099"/>
      <c r="BY141"/>
    </row>
    <row r="142" spans="1:77" ht="13.5" customHeight="1">
      <c r="B142" s="1613">
        <f t="shared" si="156"/>
        <v>1.1000000000000001</v>
      </c>
      <c r="C142" s="1614" t="str">
        <f t="shared" si="157"/>
        <v>節水</v>
      </c>
      <c r="D142" s="1716">
        <f>IF(I$141=0,0,G142/I$141)</f>
        <v>0.4</v>
      </c>
      <c r="E142" s="1691">
        <f>IF(J$141=0,0,H142/J$141)</f>
        <v>0</v>
      </c>
      <c r="G142" s="1691">
        <f t="shared" si="158"/>
        <v>0.4</v>
      </c>
      <c r="H142" s="1691">
        <f t="shared" si="158"/>
        <v>0</v>
      </c>
      <c r="I142" s="1691"/>
      <c r="J142" s="1691"/>
      <c r="K142" s="1616">
        <f>IF(スコア表示!X142=0,0,1)</f>
        <v>1</v>
      </c>
      <c r="L142" s="1616">
        <f>IF(スコア表示!AB142=0,0,1)</f>
        <v>0</v>
      </c>
      <c r="N142" s="1713">
        <f>IF(P$141=0,0,R142/P$141)</f>
        <v>0.4</v>
      </c>
      <c r="O142" s="1713">
        <f>IF(Q$141=0,0,S142/Q$141)</f>
        <v>0</v>
      </c>
      <c r="P142" s="1616"/>
      <c r="Q142" s="1616"/>
      <c r="R142" s="1616">
        <f>IF(スコア入力!R142="EB",重み_対象外!D142,U142)</f>
        <v>7.9999999999999988E-2</v>
      </c>
      <c r="S142" s="1616">
        <f>IF(スコア入力!Y142="EB",重み_対象外!E142,V142)</f>
        <v>0</v>
      </c>
      <c r="T142" s="1560"/>
      <c r="U142" s="1614">
        <f>X$141*X142</f>
        <v>7.9999999999999988E-2</v>
      </c>
      <c r="V142" s="1614">
        <f>Y$141*Y142</f>
        <v>0</v>
      </c>
      <c r="W142" s="1560"/>
      <c r="X142" s="1616">
        <f t="shared" ref="X142:X180" si="159">SUMPRODUCT($AD$7:$AM$7,AD142:AM142)</f>
        <v>0.39999999999999997</v>
      </c>
      <c r="Y142" s="1616">
        <f t="shared" ref="Y142:Y180" si="160">(AN$7*AN142)+(AO$7*AO142)+(AP$7*AP142)</f>
        <v>0</v>
      </c>
      <c r="Z142" s="1571"/>
      <c r="AA142" s="1613">
        <f t="shared" si="122"/>
        <v>1.1000000000000001</v>
      </c>
      <c r="AB142" s="1613" t="str">
        <f t="shared" si="123"/>
        <v>LR2 1</v>
      </c>
      <c r="AC142" s="1613" t="str">
        <f t="shared" si="155"/>
        <v>節水</v>
      </c>
      <c r="AD142" s="1759">
        <f t="shared" si="130"/>
        <v>0.4</v>
      </c>
      <c r="AE142" s="1759">
        <f t="shared" si="131"/>
        <v>0.4</v>
      </c>
      <c r="AF142" s="1759">
        <f t="shared" si="132"/>
        <v>0.4</v>
      </c>
      <c r="AG142" s="1759">
        <f t="shared" si="133"/>
        <v>0.4</v>
      </c>
      <c r="AH142" s="1759">
        <f t="shared" si="134"/>
        <v>0.4</v>
      </c>
      <c r="AI142" s="1759">
        <f t="shared" si="135"/>
        <v>0.4</v>
      </c>
      <c r="AJ142" s="1759">
        <f t="shared" si="141"/>
        <v>0.4</v>
      </c>
      <c r="AK142" s="1761">
        <f t="shared" si="136"/>
        <v>0.4</v>
      </c>
      <c r="AL142" s="1759">
        <f t="shared" si="137"/>
        <v>0.4</v>
      </c>
      <c r="AM142" s="1759">
        <f t="shared" si="137"/>
        <v>0.4</v>
      </c>
      <c r="AN142" s="1786">
        <f t="shared" si="138"/>
        <v>0</v>
      </c>
      <c r="AO142" s="1764">
        <f t="shared" si="139"/>
        <v>0</v>
      </c>
      <c r="AP142" s="1764">
        <f t="shared" si="140"/>
        <v>0</v>
      </c>
      <c r="AR142" s="1647">
        <v>1.1000000000000001</v>
      </c>
      <c r="AS142" s="1693" t="s">
        <v>374</v>
      </c>
      <c r="AT142" s="2064" t="s">
        <v>796</v>
      </c>
      <c r="AU142" s="1623">
        <v>0.4</v>
      </c>
      <c r="AV142" s="1623">
        <v>0.4</v>
      </c>
      <c r="AW142" s="1623">
        <v>0.4</v>
      </c>
      <c r="AX142" s="1623">
        <v>0.4</v>
      </c>
      <c r="AY142" s="1623">
        <v>0.4</v>
      </c>
      <c r="AZ142" s="1623">
        <v>0.4</v>
      </c>
      <c r="BA142" s="1623">
        <v>0.4</v>
      </c>
      <c r="BB142" s="1624">
        <v>0.4</v>
      </c>
      <c r="BC142" s="1623">
        <v>0.4</v>
      </c>
      <c r="BD142" s="1623">
        <v>0.4</v>
      </c>
      <c r="BE142" s="1870"/>
      <c r="BF142" s="1715"/>
      <c r="BG142" s="1715"/>
      <c r="BI142" s="1647">
        <v>1.1000000000000001</v>
      </c>
      <c r="BJ142" s="1693" t="s">
        <v>374</v>
      </c>
      <c r="BK142" s="2064" t="s">
        <v>796</v>
      </c>
      <c r="BL142" s="1623">
        <v>0.4</v>
      </c>
      <c r="BM142" s="1623">
        <v>0.4</v>
      </c>
      <c r="BN142" s="1623">
        <v>0.4</v>
      </c>
      <c r="BO142" s="1623">
        <v>0.4</v>
      </c>
      <c r="BP142" s="1623">
        <v>0.4</v>
      </c>
      <c r="BQ142" s="1623">
        <v>0.4</v>
      </c>
      <c r="BR142" s="1623">
        <v>0.4</v>
      </c>
      <c r="BS142" s="1624">
        <v>0.4</v>
      </c>
      <c r="BT142" s="1623">
        <v>0.4</v>
      </c>
      <c r="BU142" s="1623">
        <v>0.4</v>
      </c>
      <c r="BV142" s="1870"/>
      <c r="BW142" s="1715"/>
      <c r="BX142" s="1715"/>
    </row>
    <row r="143" spans="1:77" ht="13.5" customHeight="1">
      <c r="B143" s="1676">
        <f t="shared" si="156"/>
        <v>1.2</v>
      </c>
      <c r="C143" s="1647" t="str">
        <f t="shared" si="157"/>
        <v>雨水利用・雑排水再利用</v>
      </c>
      <c r="D143" s="1716">
        <f>IF(I$141=0,0,G143/I$141)</f>
        <v>0.6</v>
      </c>
      <c r="E143" s="1691">
        <f>IF(J$141=0,0,H143/J$141)</f>
        <v>0</v>
      </c>
      <c r="G143" s="1691">
        <f>K143*N143</f>
        <v>0.6</v>
      </c>
      <c r="H143" s="1691">
        <f t="shared" si="158"/>
        <v>0</v>
      </c>
      <c r="I143" s="1691">
        <f>SUM(G144:G145)</f>
        <v>1</v>
      </c>
      <c r="J143" s="1691">
        <f>SUM(H144:H145)</f>
        <v>0</v>
      </c>
      <c r="K143" s="1616">
        <f>IF(スコア表示!X143=0,0,1)</f>
        <v>1</v>
      </c>
      <c r="L143" s="1616">
        <f>IF(スコア表示!AB143=0,0,1)</f>
        <v>0</v>
      </c>
      <c r="N143" s="1713">
        <f>IF(P$141=0,0,P143/P$141)</f>
        <v>0.6</v>
      </c>
      <c r="O143" s="1713">
        <f>IF(Q$141=0,0,Q143/Q$141)</f>
        <v>0</v>
      </c>
      <c r="P143" s="1616">
        <f>SUM(R144:R145)</f>
        <v>0.11999999999999997</v>
      </c>
      <c r="Q143" s="1616">
        <f>SUM(S144:S145)</f>
        <v>0</v>
      </c>
      <c r="R143" s="1616">
        <f>IF(スコア入力!R143="EB",重み_対象外!D143,U143)</f>
        <v>0</v>
      </c>
      <c r="S143" s="1616">
        <f>IF(スコア入力!Y143="EB",重み_対象外!E143,V143)</f>
        <v>0</v>
      </c>
      <c r="T143" s="1560"/>
      <c r="U143" s="1630"/>
      <c r="V143" s="1630"/>
      <c r="W143" s="1560"/>
      <c r="X143" s="1616">
        <f t="shared" si="159"/>
        <v>0.6</v>
      </c>
      <c r="Y143" s="1616">
        <f t="shared" si="160"/>
        <v>0</v>
      </c>
      <c r="Z143" s="1571"/>
      <c r="AA143" s="1676">
        <f t="shared" si="122"/>
        <v>1.2</v>
      </c>
      <c r="AB143" s="1613" t="str">
        <f t="shared" si="123"/>
        <v>LR2 1</v>
      </c>
      <c r="AC143" s="1613" t="str">
        <f t="shared" si="155"/>
        <v>雨水利用・雑排水再利用</v>
      </c>
      <c r="AD143" s="1759">
        <f t="shared" si="130"/>
        <v>0.6</v>
      </c>
      <c r="AE143" s="1759">
        <f t="shared" si="131"/>
        <v>0.6</v>
      </c>
      <c r="AF143" s="1759">
        <f t="shared" si="132"/>
        <v>0.6</v>
      </c>
      <c r="AG143" s="1759">
        <f t="shared" si="133"/>
        <v>0.6</v>
      </c>
      <c r="AH143" s="1759">
        <f t="shared" si="134"/>
        <v>0.6</v>
      </c>
      <c r="AI143" s="1759">
        <f t="shared" si="135"/>
        <v>0.6</v>
      </c>
      <c r="AJ143" s="1759">
        <f t="shared" si="141"/>
        <v>0.6</v>
      </c>
      <c r="AK143" s="1761">
        <f t="shared" si="136"/>
        <v>0.6</v>
      </c>
      <c r="AL143" s="1759">
        <f t="shared" si="137"/>
        <v>0.6</v>
      </c>
      <c r="AM143" s="1759">
        <f t="shared" si="137"/>
        <v>0.6</v>
      </c>
      <c r="AN143" s="1786">
        <f t="shared" si="138"/>
        <v>0</v>
      </c>
      <c r="AO143" s="1764">
        <f t="shared" si="139"/>
        <v>0</v>
      </c>
      <c r="AP143" s="1764">
        <f t="shared" si="140"/>
        <v>0</v>
      </c>
      <c r="AR143" s="2092">
        <v>1.2</v>
      </c>
      <c r="AS143" s="1693" t="s">
        <v>374</v>
      </c>
      <c r="AT143" s="1737" t="s">
        <v>797</v>
      </c>
      <c r="AU143" s="1623">
        <v>0.6</v>
      </c>
      <c r="AV143" s="1623">
        <v>0.6</v>
      </c>
      <c r="AW143" s="1623">
        <v>0.6</v>
      </c>
      <c r="AX143" s="1623">
        <v>0.6</v>
      </c>
      <c r="AY143" s="1623">
        <v>0.6</v>
      </c>
      <c r="AZ143" s="1623">
        <v>0.6</v>
      </c>
      <c r="BA143" s="1623">
        <v>0.6</v>
      </c>
      <c r="BB143" s="1624">
        <v>0.6</v>
      </c>
      <c r="BC143" s="1623">
        <v>0.6</v>
      </c>
      <c r="BD143" s="1623">
        <v>0.6</v>
      </c>
      <c r="BE143" s="1870"/>
      <c r="BF143" s="1715"/>
      <c r="BG143" s="1715"/>
      <c r="BI143" s="2092">
        <v>1.2</v>
      </c>
      <c r="BJ143" s="1693" t="s">
        <v>374</v>
      </c>
      <c r="BK143" s="1737" t="s">
        <v>797</v>
      </c>
      <c r="BL143" s="1623">
        <v>0.6</v>
      </c>
      <c r="BM143" s="1623">
        <v>0.6</v>
      </c>
      <c r="BN143" s="1623">
        <v>0.6</v>
      </c>
      <c r="BO143" s="1623">
        <v>0.6</v>
      </c>
      <c r="BP143" s="1623">
        <v>0.6</v>
      </c>
      <c r="BQ143" s="1623">
        <v>0.6</v>
      </c>
      <c r="BR143" s="1623">
        <v>0.6</v>
      </c>
      <c r="BS143" s="1624">
        <v>0.6</v>
      </c>
      <c r="BT143" s="1623">
        <v>0.6</v>
      </c>
      <c r="BU143" s="1623">
        <v>0.6</v>
      </c>
      <c r="BV143" s="1870"/>
      <c r="BW143" s="1715"/>
      <c r="BX143" s="1715"/>
    </row>
    <row r="144" spans="1:77" ht="13.5" customHeight="1">
      <c r="B144" s="1621" t="str">
        <f t="shared" si="156"/>
        <v>1.2.1</v>
      </c>
      <c r="C144" s="1614" t="str">
        <f t="shared" si="157"/>
        <v>雨水利用システム導入の有無</v>
      </c>
      <c r="D144" s="1721">
        <f>IF(I$143&gt;0,G144/I$143,0)</f>
        <v>0.7</v>
      </c>
      <c r="E144" s="1691">
        <f>IF(J$143&gt;0,H144/J$143,0)</f>
        <v>0</v>
      </c>
      <c r="G144" s="1691">
        <f t="shared" si="158"/>
        <v>0.7</v>
      </c>
      <c r="H144" s="1691">
        <f t="shared" si="158"/>
        <v>0</v>
      </c>
      <c r="I144" s="1691"/>
      <c r="J144" s="1691"/>
      <c r="K144" s="1616">
        <f>IF(スコア表示!X144=0,0,1)</f>
        <v>1</v>
      </c>
      <c r="L144" s="1616">
        <f>IF(スコア表示!AB144=0,0,1)</f>
        <v>0</v>
      </c>
      <c r="N144" s="1708">
        <f>IF(P$143&gt;0,R144/P$143,0)</f>
        <v>0.7</v>
      </c>
      <c r="O144" s="1708">
        <f>IF(Q$143&gt;0,S144/Q$143,0)</f>
        <v>0</v>
      </c>
      <c r="P144" s="1616"/>
      <c r="Q144" s="1616"/>
      <c r="R144" s="1616">
        <f>IF(スコア入力!R144="EB",重み_対象外!D144,U144)</f>
        <v>8.3999999999999977E-2</v>
      </c>
      <c r="S144" s="1616">
        <f>IF(スコア入力!Y144="EB",重み_対象外!E144,V144)</f>
        <v>0</v>
      </c>
      <c r="T144" s="1560"/>
      <c r="U144" s="1614">
        <f>X$141*X$143*X144</f>
        <v>8.3999999999999977E-2</v>
      </c>
      <c r="V144" s="1614">
        <f>Y$141*Y$143*Y144</f>
        <v>0</v>
      </c>
      <c r="W144" s="1560"/>
      <c r="X144" s="1616">
        <f t="shared" si="159"/>
        <v>0.7</v>
      </c>
      <c r="Y144" s="1616">
        <f t="shared" si="160"/>
        <v>0</v>
      </c>
      <c r="Z144" s="1571"/>
      <c r="AA144" s="1613" t="str">
        <f t="shared" si="122"/>
        <v>1.2.1</v>
      </c>
      <c r="AB144" s="1613" t="str">
        <f t="shared" si="123"/>
        <v>LR2 1.2</v>
      </c>
      <c r="AC144" s="1613" t="str">
        <f t="shared" si="155"/>
        <v>雨水利用システム導入の有無</v>
      </c>
      <c r="AD144" s="1759">
        <f t="shared" si="130"/>
        <v>0.7</v>
      </c>
      <c r="AE144" s="1759">
        <f t="shared" si="131"/>
        <v>0.7</v>
      </c>
      <c r="AF144" s="1759">
        <f t="shared" si="132"/>
        <v>0.7</v>
      </c>
      <c r="AG144" s="1759">
        <f t="shared" si="133"/>
        <v>0.7</v>
      </c>
      <c r="AH144" s="1759">
        <f t="shared" si="134"/>
        <v>0.7</v>
      </c>
      <c r="AI144" s="1759">
        <f t="shared" si="135"/>
        <v>0.7</v>
      </c>
      <c r="AJ144" s="1759">
        <f t="shared" si="141"/>
        <v>0.7</v>
      </c>
      <c r="AK144" s="1761">
        <f t="shared" si="136"/>
        <v>0.7</v>
      </c>
      <c r="AL144" s="1759">
        <f t="shared" si="137"/>
        <v>0.7</v>
      </c>
      <c r="AM144" s="1759">
        <f t="shared" si="137"/>
        <v>0.7</v>
      </c>
      <c r="AN144" s="1786">
        <f t="shared" si="138"/>
        <v>0</v>
      </c>
      <c r="AO144" s="1764">
        <f t="shared" si="139"/>
        <v>0</v>
      </c>
      <c r="AP144" s="1764">
        <f t="shared" si="140"/>
        <v>0</v>
      </c>
      <c r="AR144" s="1647" t="s">
        <v>1522</v>
      </c>
      <c r="AS144" s="1693" t="s">
        <v>375</v>
      </c>
      <c r="AT144" s="2064" t="s">
        <v>1595</v>
      </c>
      <c r="AU144" s="1623">
        <v>0.7</v>
      </c>
      <c r="AV144" s="1623">
        <v>0.7</v>
      </c>
      <c r="AW144" s="1623">
        <v>0.7</v>
      </c>
      <c r="AX144" s="1623">
        <v>0.7</v>
      </c>
      <c r="AY144" s="1623">
        <v>0.7</v>
      </c>
      <c r="AZ144" s="1623">
        <v>0.7</v>
      </c>
      <c r="BA144" s="1623">
        <v>0.7</v>
      </c>
      <c r="BB144" s="1624">
        <v>0.7</v>
      </c>
      <c r="BC144" s="1623">
        <v>0.7</v>
      </c>
      <c r="BD144" s="1623">
        <v>0.7</v>
      </c>
      <c r="BE144" s="1870"/>
      <c r="BF144" s="1715"/>
      <c r="BG144" s="1715"/>
      <c r="BI144" s="1647" t="s">
        <v>1522</v>
      </c>
      <c r="BJ144" s="1693" t="s">
        <v>375</v>
      </c>
      <c r="BK144" s="2064" t="s">
        <v>1595</v>
      </c>
      <c r="BL144" s="1623">
        <v>0.7</v>
      </c>
      <c r="BM144" s="1623">
        <v>0.7</v>
      </c>
      <c r="BN144" s="1623">
        <v>0.7</v>
      </c>
      <c r="BO144" s="1623">
        <v>0.7</v>
      </c>
      <c r="BP144" s="1623">
        <v>0.7</v>
      </c>
      <c r="BQ144" s="1623">
        <v>0.7</v>
      </c>
      <c r="BR144" s="1623">
        <v>0.7</v>
      </c>
      <c r="BS144" s="1624">
        <v>0.7</v>
      </c>
      <c r="BT144" s="1623">
        <v>0.7</v>
      </c>
      <c r="BU144" s="1623">
        <v>0.7</v>
      </c>
      <c r="BV144" s="1870"/>
      <c r="BW144" s="1715"/>
      <c r="BX144" s="1715"/>
    </row>
    <row r="145" spans="1:77" ht="13.5" customHeight="1">
      <c r="B145" s="1613" t="str">
        <f t="shared" si="156"/>
        <v>1.2.2</v>
      </c>
      <c r="C145" s="1614" t="str">
        <f t="shared" si="157"/>
        <v>雑排水等再利用システム導入の有無</v>
      </c>
      <c r="D145" s="1721">
        <f>IF(I$143&gt;0,G145/I$143,0)</f>
        <v>0.3</v>
      </c>
      <c r="E145" s="1691">
        <f>IF(J$143&gt;0,H145/J$143,0)</f>
        <v>0</v>
      </c>
      <c r="G145" s="1691">
        <f>K145*N145</f>
        <v>0.3</v>
      </c>
      <c r="H145" s="1691">
        <f t="shared" si="158"/>
        <v>0</v>
      </c>
      <c r="I145" s="1691"/>
      <c r="J145" s="1691"/>
      <c r="K145" s="1616">
        <f>IF(スコア表示!X145=0,0,1)</f>
        <v>1</v>
      </c>
      <c r="L145" s="1616">
        <f>IF(スコア表示!AB145=0,0,1)</f>
        <v>0</v>
      </c>
      <c r="N145" s="1708">
        <f>IF(P$143&gt;0,R145/P$143,0)</f>
        <v>0.3</v>
      </c>
      <c r="O145" s="1708">
        <f>IF(Q$143&gt;0,S145/Q$143,0)</f>
        <v>0</v>
      </c>
      <c r="P145" s="1616"/>
      <c r="Q145" s="1616"/>
      <c r="R145" s="1616">
        <f>IF(スコア入力!R145="EB",重み_対象外!D145,U145)</f>
        <v>3.599999999999999E-2</v>
      </c>
      <c r="S145" s="1616">
        <f>IF(スコア入力!Y145="EB",重み_対象外!E145,V145)</f>
        <v>0</v>
      </c>
      <c r="T145" s="1560"/>
      <c r="U145" s="1614">
        <f>X$141*X$143*X145</f>
        <v>3.599999999999999E-2</v>
      </c>
      <c r="V145" s="1614">
        <f>Y$141*Y$143*Y145</f>
        <v>0</v>
      </c>
      <c r="W145" s="1560"/>
      <c r="X145" s="1616">
        <f t="shared" si="159"/>
        <v>0.3</v>
      </c>
      <c r="Y145" s="1616">
        <f t="shared" si="160"/>
        <v>0</v>
      </c>
      <c r="Z145" s="1571"/>
      <c r="AA145" s="1613" t="str">
        <f t="shared" si="122"/>
        <v>1.2.2</v>
      </c>
      <c r="AB145" s="1613" t="str">
        <f t="shared" si="123"/>
        <v>LR2 1.2</v>
      </c>
      <c r="AC145" s="1613" t="str">
        <f t="shared" si="155"/>
        <v>雑排水等再利用システム導入の有無</v>
      </c>
      <c r="AD145" s="1759">
        <f t="shared" si="130"/>
        <v>0.3</v>
      </c>
      <c r="AE145" s="1759">
        <f t="shared" si="131"/>
        <v>0.3</v>
      </c>
      <c r="AF145" s="1759">
        <f t="shared" si="132"/>
        <v>0.3</v>
      </c>
      <c r="AG145" s="1759">
        <f t="shared" si="133"/>
        <v>0.3</v>
      </c>
      <c r="AH145" s="1759">
        <f t="shared" si="134"/>
        <v>0.3</v>
      </c>
      <c r="AI145" s="1759">
        <f t="shared" si="135"/>
        <v>0.3</v>
      </c>
      <c r="AJ145" s="1759">
        <f t="shared" si="141"/>
        <v>0.3</v>
      </c>
      <c r="AK145" s="1761">
        <f t="shared" si="136"/>
        <v>0.3</v>
      </c>
      <c r="AL145" s="1759">
        <f t="shared" si="137"/>
        <v>0.3</v>
      </c>
      <c r="AM145" s="1759">
        <f t="shared" si="137"/>
        <v>0.3</v>
      </c>
      <c r="AN145" s="1786">
        <f t="shared" si="138"/>
        <v>0</v>
      </c>
      <c r="AO145" s="1764">
        <f t="shared" si="139"/>
        <v>0</v>
      </c>
      <c r="AP145" s="1764">
        <f t="shared" si="140"/>
        <v>0</v>
      </c>
      <c r="AR145" s="1647" t="s">
        <v>1523</v>
      </c>
      <c r="AS145" s="1693" t="s">
        <v>375</v>
      </c>
      <c r="AT145" s="2064" t="s">
        <v>946</v>
      </c>
      <c r="AU145" s="1623">
        <v>0.3</v>
      </c>
      <c r="AV145" s="1623">
        <v>0.3</v>
      </c>
      <c r="AW145" s="1623">
        <v>0.3</v>
      </c>
      <c r="AX145" s="1623">
        <v>0.3</v>
      </c>
      <c r="AY145" s="1623">
        <v>0.3</v>
      </c>
      <c r="AZ145" s="1623">
        <v>0.3</v>
      </c>
      <c r="BA145" s="1623">
        <v>0.3</v>
      </c>
      <c r="BB145" s="1624">
        <v>0.3</v>
      </c>
      <c r="BC145" s="1623">
        <v>0.3</v>
      </c>
      <c r="BD145" s="1623">
        <v>0.3</v>
      </c>
      <c r="BE145" s="1870"/>
      <c r="BF145" s="1715"/>
      <c r="BG145" s="1715"/>
      <c r="BI145" s="1647" t="s">
        <v>1523</v>
      </c>
      <c r="BJ145" s="1693" t="s">
        <v>375</v>
      </c>
      <c r="BK145" s="2064" t="s">
        <v>946</v>
      </c>
      <c r="BL145" s="1623">
        <v>0.3</v>
      </c>
      <c r="BM145" s="1623">
        <v>0.3</v>
      </c>
      <c r="BN145" s="1623">
        <v>0.3</v>
      </c>
      <c r="BO145" s="1623">
        <v>0.3</v>
      </c>
      <c r="BP145" s="1623">
        <v>0.3</v>
      </c>
      <c r="BQ145" s="1623">
        <v>0.3</v>
      </c>
      <c r="BR145" s="1623">
        <v>0.3</v>
      </c>
      <c r="BS145" s="1624">
        <v>0.3</v>
      </c>
      <c r="BT145" s="1623">
        <v>0.3</v>
      </c>
      <c r="BU145" s="1623">
        <v>0.3</v>
      </c>
      <c r="BV145" s="1870"/>
      <c r="BW145" s="1715"/>
      <c r="BX145" s="1715"/>
    </row>
    <row r="146" spans="1:77" s="1605" customFormat="1" ht="13.5" customHeight="1">
      <c r="A146"/>
      <c r="B146" s="1641">
        <f t="shared" si="156"/>
        <v>2</v>
      </c>
      <c r="C146" s="1689" t="str">
        <f t="shared" si="157"/>
        <v>非再生性資源の使用量削減</v>
      </c>
      <c r="D146" s="2062">
        <f>IF(I$140=0,0,G146/I$140)</f>
        <v>0.6</v>
      </c>
      <c r="E146" s="1743">
        <f>IF(J$140=0,0,H146/J$140)</f>
        <v>0</v>
      </c>
      <c r="F146"/>
      <c r="G146" s="1743">
        <f t="shared" si="158"/>
        <v>0.6</v>
      </c>
      <c r="H146" s="1743">
        <f t="shared" si="158"/>
        <v>0</v>
      </c>
      <c r="I146" s="1743">
        <f>G147+G148+G149+G150+G151+G152</f>
        <v>1</v>
      </c>
      <c r="J146" s="1743">
        <f>H147+H148+H149+H150+H151+H152</f>
        <v>0</v>
      </c>
      <c r="K146" s="1609">
        <f>IF(スコア表示!X146=0,0,1)</f>
        <v>1</v>
      </c>
      <c r="L146" s="1609">
        <f>IF(スコア表示!AB146=0,0,1)</f>
        <v>0</v>
      </c>
      <c r="M146"/>
      <c r="N146" s="1707">
        <f>IF(P$140=0,0,R146/P$140)</f>
        <v>0.6</v>
      </c>
      <c r="O146" s="1707">
        <f>IF(Q$140=0,0,S146/Q$140)</f>
        <v>0</v>
      </c>
      <c r="P146" s="1609">
        <f>SUM(R147:R152)</f>
        <v>0.59999999999999987</v>
      </c>
      <c r="Q146" s="1609">
        <f>SUM(S147:S152)</f>
        <v>0</v>
      </c>
      <c r="R146" s="1609">
        <f>IF(スコア入力!R146="EB",重み_対象外!D146,U146)</f>
        <v>0.59999999999999987</v>
      </c>
      <c r="S146" s="1609">
        <f>IF(スコア入力!Y146="EB",重み_対象外!E146,V146)</f>
        <v>0</v>
      </c>
      <c r="T146" s="1560"/>
      <c r="U146" s="1607">
        <f>SUM(U147:U152)</f>
        <v>0.59999999999999987</v>
      </c>
      <c r="V146" s="1607">
        <f>SUM(V147:V152)</f>
        <v>0</v>
      </c>
      <c r="W146" s="1560"/>
      <c r="X146" s="1609">
        <f t="shared" si="159"/>
        <v>0.6</v>
      </c>
      <c r="Y146" s="1609">
        <f t="shared" si="160"/>
        <v>0</v>
      </c>
      <c r="Z146" s="1601"/>
      <c r="AA146" s="1606">
        <f t="shared" si="122"/>
        <v>2</v>
      </c>
      <c r="AB146" s="1606" t="str">
        <f t="shared" si="123"/>
        <v>LR2</v>
      </c>
      <c r="AC146" s="1606" t="str">
        <f t="shared" si="155"/>
        <v>非再生性資源の使用量削減</v>
      </c>
      <c r="AD146" s="1756">
        <f t="shared" si="130"/>
        <v>0.6</v>
      </c>
      <c r="AE146" s="1756">
        <f t="shared" si="131"/>
        <v>0.6</v>
      </c>
      <c r="AF146" s="1756">
        <f t="shared" si="132"/>
        <v>0.6</v>
      </c>
      <c r="AG146" s="1756">
        <f t="shared" si="133"/>
        <v>0.6</v>
      </c>
      <c r="AH146" s="1756">
        <f t="shared" si="134"/>
        <v>0.6</v>
      </c>
      <c r="AI146" s="1756">
        <f t="shared" si="135"/>
        <v>0.6</v>
      </c>
      <c r="AJ146" s="1756">
        <f t="shared" si="141"/>
        <v>0.6</v>
      </c>
      <c r="AK146" s="1768">
        <f t="shared" si="136"/>
        <v>0.6</v>
      </c>
      <c r="AL146" s="1756">
        <f t="shared" si="137"/>
        <v>0.6</v>
      </c>
      <c r="AM146" s="1756">
        <f t="shared" si="137"/>
        <v>0.6</v>
      </c>
      <c r="AN146" s="1784">
        <f t="shared" si="138"/>
        <v>0</v>
      </c>
      <c r="AO146" s="1785">
        <f t="shared" si="139"/>
        <v>0</v>
      </c>
      <c r="AP146" s="1785">
        <f t="shared" si="140"/>
        <v>0</v>
      </c>
      <c r="AQ146" s="1685"/>
      <c r="AR146" s="1641">
        <v>2</v>
      </c>
      <c r="AS146" s="1744" t="s">
        <v>373</v>
      </c>
      <c r="AT146" s="1787" t="s">
        <v>801</v>
      </c>
      <c r="AU146" s="1711">
        <v>0.6</v>
      </c>
      <c r="AV146" s="1711">
        <v>0.6</v>
      </c>
      <c r="AW146" s="1711">
        <v>0.6</v>
      </c>
      <c r="AX146" s="1711">
        <v>0.6</v>
      </c>
      <c r="AY146" s="1711">
        <v>0.6</v>
      </c>
      <c r="AZ146" s="1711">
        <v>0.6</v>
      </c>
      <c r="BA146" s="1711">
        <v>0.6</v>
      </c>
      <c r="BB146" s="1711">
        <v>0.6</v>
      </c>
      <c r="BC146" s="1711">
        <v>0.6</v>
      </c>
      <c r="BD146" s="1711">
        <v>0.6</v>
      </c>
      <c r="BE146" s="2098"/>
      <c r="BF146" s="2099"/>
      <c r="BG146" s="2099"/>
      <c r="BH146"/>
      <c r="BI146" s="1641">
        <v>2</v>
      </c>
      <c r="BJ146" s="1744" t="s">
        <v>373</v>
      </c>
      <c r="BK146" s="1787" t="s">
        <v>801</v>
      </c>
      <c r="BL146" s="1711">
        <v>0.6</v>
      </c>
      <c r="BM146" s="1711">
        <v>0.6</v>
      </c>
      <c r="BN146" s="1711">
        <v>0.6</v>
      </c>
      <c r="BO146" s="1711">
        <v>0.6</v>
      </c>
      <c r="BP146" s="1711">
        <v>0.6</v>
      </c>
      <c r="BQ146" s="1711">
        <v>0.6</v>
      </c>
      <c r="BR146" s="1711">
        <v>0.6</v>
      </c>
      <c r="BS146" s="1711">
        <v>0.6</v>
      </c>
      <c r="BT146" s="1711">
        <v>0.6</v>
      </c>
      <c r="BU146" s="1711">
        <v>0.6</v>
      </c>
      <c r="BV146" s="2098"/>
      <c r="BW146" s="2099"/>
      <c r="BX146" s="2099"/>
      <c r="BY146"/>
    </row>
    <row r="147" spans="1:77" ht="13.5" customHeight="1">
      <c r="B147" s="1621" t="str">
        <f t="shared" si="156"/>
        <v>2.1</v>
      </c>
      <c r="C147" s="1647" t="str">
        <f t="shared" si="157"/>
        <v>材料使用量の削減</v>
      </c>
      <c r="D147" s="1716">
        <f t="shared" ref="D147:E152" si="161">IF(I$146=0,0,G147/I$146)</f>
        <v>0.1</v>
      </c>
      <c r="E147" s="1691">
        <f t="shared" si="161"/>
        <v>0</v>
      </c>
      <c r="G147" s="1691">
        <f t="shared" si="158"/>
        <v>0.1</v>
      </c>
      <c r="H147" s="1691">
        <f t="shared" si="158"/>
        <v>0</v>
      </c>
      <c r="I147" s="1691"/>
      <c r="J147" s="1691"/>
      <c r="K147" s="1616">
        <f>IF(スコア表示!X147=0,0,1)</f>
        <v>1</v>
      </c>
      <c r="L147" s="1616">
        <f>IF(スコア表示!AB147=0,0,1)</f>
        <v>0</v>
      </c>
      <c r="N147" s="1713">
        <f t="shared" ref="N147:O152" si="162">IF(P$146=0,0,R147/P$146)</f>
        <v>0.1</v>
      </c>
      <c r="O147" s="1713">
        <f t="shared" si="162"/>
        <v>0</v>
      </c>
      <c r="P147" s="1616"/>
      <c r="Q147" s="1616"/>
      <c r="R147" s="1616">
        <f>IF(スコア入力!R147="EB",重み_対象外!D147,U147)</f>
        <v>5.9999999999999991E-2</v>
      </c>
      <c r="S147" s="1616">
        <f>IF(スコア入力!Y147="EB",重み_対象外!E147,V147)</f>
        <v>0</v>
      </c>
      <c r="T147" s="1560"/>
      <c r="U147" s="1630">
        <f>X$146*X147</f>
        <v>5.9999999999999991E-2</v>
      </c>
      <c r="V147" s="1630">
        <f>Y$146*Y147</f>
        <v>0</v>
      </c>
      <c r="W147" s="1560"/>
      <c r="X147" s="1616">
        <f t="shared" si="159"/>
        <v>9.9999999999999992E-2</v>
      </c>
      <c r="Y147" s="1616">
        <f t="shared" si="160"/>
        <v>0</v>
      </c>
      <c r="Z147" s="1571"/>
      <c r="AA147" s="1613" t="str">
        <f t="shared" si="122"/>
        <v>2.1</v>
      </c>
      <c r="AB147" s="1613" t="str">
        <f t="shared" si="123"/>
        <v>LR2 2</v>
      </c>
      <c r="AC147" s="1613" t="str">
        <f t="shared" si="155"/>
        <v>材料使用量の削減</v>
      </c>
      <c r="AD147" s="1759">
        <f t="shared" si="130"/>
        <v>0.1</v>
      </c>
      <c r="AE147" s="1759">
        <f t="shared" si="131"/>
        <v>0.1</v>
      </c>
      <c r="AF147" s="1759">
        <f t="shared" si="132"/>
        <v>0.1</v>
      </c>
      <c r="AG147" s="1759">
        <f t="shared" si="133"/>
        <v>0.1</v>
      </c>
      <c r="AH147" s="1759">
        <f t="shared" si="134"/>
        <v>0.1</v>
      </c>
      <c r="AI147" s="1759">
        <f t="shared" si="135"/>
        <v>0.1</v>
      </c>
      <c r="AJ147" s="1759">
        <f t="shared" si="141"/>
        <v>0.1</v>
      </c>
      <c r="AK147" s="1761">
        <f t="shared" si="136"/>
        <v>0.1</v>
      </c>
      <c r="AL147" s="1759">
        <f t="shared" si="137"/>
        <v>0.1</v>
      </c>
      <c r="AM147" s="1759">
        <f t="shared" si="137"/>
        <v>0.1</v>
      </c>
      <c r="AN147" s="1786">
        <f t="shared" si="138"/>
        <v>0</v>
      </c>
      <c r="AO147" s="1764">
        <f t="shared" si="139"/>
        <v>0</v>
      </c>
      <c r="AP147" s="1764">
        <f t="shared" si="140"/>
        <v>0</v>
      </c>
      <c r="AR147" s="1647" t="s">
        <v>1572</v>
      </c>
      <c r="AS147" s="1744" t="s">
        <v>376</v>
      </c>
      <c r="AT147" s="2064" t="s">
        <v>802</v>
      </c>
      <c r="AU147" s="2087">
        <v>0.1</v>
      </c>
      <c r="AV147" s="2087">
        <v>0.1</v>
      </c>
      <c r="AW147" s="2087">
        <v>0.1</v>
      </c>
      <c r="AX147" s="2087">
        <v>0.1</v>
      </c>
      <c r="AY147" s="2087">
        <v>0.1</v>
      </c>
      <c r="AZ147" s="2087">
        <v>0.1</v>
      </c>
      <c r="BA147" s="2087">
        <v>0.1</v>
      </c>
      <c r="BB147" s="2087">
        <v>0.1</v>
      </c>
      <c r="BC147" s="2087">
        <v>0.1</v>
      </c>
      <c r="BD147" s="2087">
        <v>0.1</v>
      </c>
      <c r="BE147" s="2098"/>
      <c r="BF147" s="2099"/>
      <c r="BG147" s="2099"/>
      <c r="BI147" s="1647" t="s">
        <v>1572</v>
      </c>
      <c r="BJ147" s="1744" t="s">
        <v>376</v>
      </c>
      <c r="BK147" s="2064" t="s">
        <v>802</v>
      </c>
      <c r="BL147" s="2087">
        <v>0.1</v>
      </c>
      <c r="BM147" s="2087">
        <v>0.1</v>
      </c>
      <c r="BN147" s="2087">
        <v>0.1</v>
      </c>
      <c r="BO147" s="2087">
        <v>0.1</v>
      </c>
      <c r="BP147" s="2087">
        <v>0.1</v>
      </c>
      <c r="BQ147" s="2087">
        <v>0.1</v>
      </c>
      <c r="BR147" s="2087">
        <v>0.1</v>
      </c>
      <c r="BS147" s="2087">
        <v>0.1</v>
      </c>
      <c r="BT147" s="2087">
        <v>0.1</v>
      </c>
      <c r="BU147" s="2087">
        <v>0.1</v>
      </c>
      <c r="BV147" s="2098"/>
      <c r="BW147" s="2099"/>
      <c r="BX147" s="2099"/>
    </row>
    <row r="148" spans="1:77" ht="13.5" customHeight="1">
      <c r="B148" s="1621" t="str">
        <f t="shared" si="156"/>
        <v>2.2</v>
      </c>
      <c r="C148" s="1647" t="str">
        <f t="shared" si="157"/>
        <v>既存建築躯体等の継続使用</v>
      </c>
      <c r="D148" s="1716">
        <f t="shared" si="161"/>
        <v>0.2</v>
      </c>
      <c r="E148" s="1691">
        <f t="shared" si="161"/>
        <v>0</v>
      </c>
      <c r="G148" s="1691">
        <f t="shared" si="158"/>
        <v>0.2</v>
      </c>
      <c r="H148" s="1691">
        <f t="shared" si="158"/>
        <v>0</v>
      </c>
      <c r="I148" s="1691"/>
      <c r="J148" s="1691"/>
      <c r="K148" s="1616">
        <f>IF(スコア表示!X148=0,0,1)</f>
        <v>1</v>
      </c>
      <c r="L148" s="1616">
        <f>IF(スコア表示!AB148=0,0,1)</f>
        <v>0</v>
      </c>
      <c r="N148" s="1713">
        <f t="shared" si="162"/>
        <v>0.2</v>
      </c>
      <c r="O148" s="1713">
        <f t="shared" si="162"/>
        <v>0</v>
      </c>
      <c r="P148" s="1616"/>
      <c r="Q148" s="1616"/>
      <c r="R148" s="1616">
        <f>IF(スコア入力!R148="EB",重み_対象外!D148,U148)</f>
        <v>0.11999999999999998</v>
      </c>
      <c r="S148" s="1616">
        <f>IF(スコア入力!Y148="EB",重み_対象外!E148,V148)</f>
        <v>0</v>
      </c>
      <c r="T148" s="1560"/>
      <c r="U148" s="1614">
        <f>X$146*X148</f>
        <v>0.11999999999999998</v>
      </c>
      <c r="V148" s="1614">
        <f>Y$146*Y$147*Y148</f>
        <v>0</v>
      </c>
      <c r="W148" s="1560"/>
      <c r="X148" s="1616">
        <f t="shared" si="159"/>
        <v>0.19999999999999998</v>
      </c>
      <c r="Y148" s="1616">
        <f t="shared" si="160"/>
        <v>0</v>
      </c>
      <c r="Z148" s="1571"/>
      <c r="AA148" s="1613" t="str">
        <f t="shared" si="122"/>
        <v>2.2</v>
      </c>
      <c r="AB148" s="1613" t="str">
        <f t="shared" si="123"/>
        <v>LR2 2</v>
      </c>
      <c r="AC148" s="1613" t="str">
        <f t="shared" si="155"/>
        <v>既存建築躯体等の継続使用</v>
      </c>
      <c r="AD148" s="1759">
        <f t="shared" si="130"/>
        <v>0.2</v>
      </c>
      <c r="AE148" s="1759">
        <f t="shared" si="131"/>
        <v>0.2</v>
      </c>
      <c r="AF148" s="1759">
        <f t="shared" si="132"/>
        <v>0.2</v>
      </c>
      <c r="AG148" s="1759">
        <f t="shared" si="133"/>
        <v>0.2</v>
      </c>
      <c r="AH148" s="1759">
        <f t="shared" si="134"/>
        <v>0.2</v>
      </c>
      <c r="AI148" s="1759">
        <f t="shared" si="135"/>
        <v>0.2</v>
      </c>
      <c r="AJ148" s="1759">
        <f t="shared" si="141"/>
        <v>0.2</v>
      </c>
      <c r="AK148" s="1761">
        <f t="shared" si="136"/>
        <v>0.2</v>
      </c>
      <c r="AL148" s="1759">
        <f t="shared" si="137"/>
        <v>0.2</v>
      </c>
      <c r="AM148" s="1759">
        <f t="shared" si="137"/>
        <v>0.2</v>
      </c>
      <c r="AN148" s="1786">
        <f t="shared" si="138"/>
        <v>0</v>
      </c>
      <c r="AO148" s="1764">
        <f t="shared" si="139"/>
        <v>0</v>
      </c>
      <c r="AP148" s="1764">
        <f t="shared" si="140"/>
        <v>0</v>
      </c>
      <c r="AR148" s="1647" t="s">
        <v>1574</v>
      </c>
      <c r="AS148" s="1693" t="s">
        <v>376</v>
      </c>
      <c r="AT148" s="1737" t="s">
        <v>803</v>
      </c>
      <c r="AU148" s="1623">
        <v>0.2</v>
      </c>
      <c r="AV148" s="1623">
        <v>0.2</v>
      </c>
      <c r="AW148" s="1623">
        <v>0.2</v>
      </c>
      <c r="AX148" s="1623">
        <v>0.2</v>
      </c>
      <c r="AY148" s="1623">
        <v>0.2</v>
      </c>
      <c r="AZ148" s="1623">
        <v>0.2</v>
      </c>
      <c r="BA148" s="1623">
        <v>0.2</v>
      </c>
      <c r="BB148" s="1623">
        <v>0.2</v>
      </c>
      <c r="BC148" s="1623">
        <v>0.2</v>
      </c>
      <c r="BD148" s="1623">
        <v>0.2</v>
      </c>
      <c r="BE148" s="1870"/>
      <c r="BF148" s="1715"/>
      <c r="BG148" s="1715"/>
      <c r="BI148" s="1647" t="s">
        <v>1574</v>
      </c>
      <c r="BJ148" s="1693" t="s">
        <v>376</v>
      </c>
      <c r="BK148" s="1737" t="s">
        <v>803</v>
      </c>
      <c r="BL148" s="1623">
        <v>0.2</v>
      </c>
      <c r="BM148" s="1623">
        <v>0.2</v>
      </c>
      <c r="BN148" s="1623">
        <v>0.2</v>
      </c>
      <c r="BO148" s="1623">
        <v>0.2</v>
      </c>
      <c r="BP148" s="1623">
        <v>0.2</v>
      </c>
      <c r="BQ148" s="1623">
        <v>0.2</v>
      </c>
      <c r="BR148" s="1623">
        <v>0.2</v>
      </c>
      <c r="BS148" s="1623">
        <v>0.2</v>
      </c>
      <c r="BT148" s="1623">
        <v>0.2</v>
      </c>
      <c r="BU148" s="1623">
        <v>0.2</v>
      </c>
      <c r="BV148" s="1870"/>
      <c r="BW148" s="1715"/>
      <c r="BX148" s="1715"/>
    </row>
    <row r="149" spans="1:77" ht="13.5" customHeight="1">
      <c r="B149" s="1621" t="str">
        <f t="shared" si="156"/>
        <v>2.3</v>
      </c>
      <c r="C149" s="1647" t="str">
        <f t="shared" si="157"/>
        <v>躯体材料におけるリサイクル材の使用</v>
      </c>
      <c r="D149" s="1716">
        <f t="shared" si="161"/>
        <v>0.2</v>
      </c>
      <c r="E149" s="1691">
        <f t="shared" si="161"/>
        <v>0</v>
      </c>
      <c r="G149" s="1691">
        <f t="shared" si="158"/>
        <v>0.2</v>
      </c>
      <c r="H149" s="1691">
        <f t="shared" si="158"/>
        <v>0</v>
      </c>
      <c r="I149" s="1691"/>
      <c r="J149" s="1691"/>
      <c r="K149" s="1616">
        <f>IF(スコア表示!X149=0,0,1)</f>
        <v>1</v>
      </c>
      <c r="L149" s="1616">
        <f>IF(スコア表示!AB149=0,0,1)</f>
        <v>0</v>
      </c>
      <c r="N149" s="1713">
        <f t="shared" si="162"/>
        <v>0.2</v>
      </c>
      <c r="O149" s="1713">
        <f t="shared" si="162"/>
        <v>0</v>
      </c>
      <c r="P149" s="1616"/>
      <c r="Q149" s="1616"/>
      <c r="R149" s="1616">
        <f>IF(スコア入力!R149="EB",重み_対象外!D149,U149)</f>
        <v>0.11999999999999998</v>
      </c>
      <c r="S149" s="1616">
        <f>IF(スコア入力!Y149="EB",重み_対象外!E149,V149)</f>
        <v>0</v>
      </c>
      <c r="T149" s="1560"/>
      <c r="U149" s="1614">
        <f>X$146*X149</f>
        <v>0.11999999999999998</v>
      </c>
      <c r="V149" s="1614">
        <f>Y$146*Y$147*Y149</f>
        <v>0</v>
      </c>
      <c r="W149" s="1560"/>
      <c r="X149" s="1616">
        <f t="shared" si="159"/>
        <v>0.19999999999999998</v>
      </c>
      <c r="Y149" s="1616">
        <f t="shared" si="160"/>
        <v>0</v>
      </c>
      <c r="Z149" s="1571"/>
      <c r="AA149" s="1613" t="str">
        <f t="shared" si="122"/>
        <v>2.3</v>
      </c>
      <c r="AB149" s="1613" t="str">
        <f t="shared" si="123"/>
        <v>LR2 2</v>
      </c>
      <c r="AC149" s="1788" t="str">
        <f t="shared" si="155"/>
        <v>躯体材料におけるリサイクル材の使用</v>
      </c>
      <c r="AD149" s="1759">
        <f t="shared" si="130"/>
        <v>0.2</v>
      </c>
      <c r="AE149" s="1759">
        <f t="shared" si="131"/>
        <v>0.2</v>
      </c>
      <c r="AF149" s="1759">
        <f t="shared" si="132"/>
        <v>0.2</v>
      </c>
      <c r="AG149" s="1759">
        <f t="shared" si="133"/>
        <v>0.2</v>
      </c>
      <c r="AH149" s="1759">
        <f t="shared" si="134"/>
        <v>0.2</v>
      </c>
      <c r="AI149" s="1759">
        <f t="shared" si="135"/>
        <v>0.2</v>
      </c>
      <c r="AJ149" s="1759">
        <f t="shared" si="141"/>
        <v>0.2</v>
      </c>
      <c r="AK149" s="1761">
        <f t="shared" si="136"/>
        <v>0.2</v>
      </c>
      <c r="AL149" s="1759">
        <f t="shared" si="137"/>
        <v>0.2</v>
      </c>
      <c r="AM149" s="1759">
        <f t="shared" si="137"/>
        <v>0.2</v>
      </c>
      <c r="AN149" s="1786">
        <f t="shared" si="138"/>
        <v>0</v>
      </c>
      <c r="AO149" s="1764">
        <f t="shared" si="139"/>
        <v>0</v>
      </c>
      <c r="AP149" s="1764">
        <f t="shared" si="140"/>
        <v>0</v>
      </c>
      <c r="AR149" s="1647" t="s">
        <v>1596</v>
      </c>
      <c r="AS149" s="1693" t="s">
        <v>376</v>
      </c>
      <c r="AT149" s="1737" t="s">
        <v>805</v>
      </c>
      <c r="AU149" s="1623">
        <v>0.2</v>
      </c>
      <c r="AV149" s="1623">
        <v>0.2</v>
      </c>
      <c r="AW149" s="1623">
        <v>0.2</v>
      </c>
      <c r="AX149" s="1623">
        <v>0.2</v>
      </c>
      <c r="AY149" s="1623">
        <v>0.2</v>
      </c>
      <c r="AZ149" s="1623">
        <v>0.2</v>
      </c>
      <c r="BA149" s="1623">
        <v>0.2</v>
      </c>
      <c r="BB149" s="1623">
        <v>0.2</v>
      </c>
      <c r="BC149" s="1623">
        <v>0.2</v>
      </c>
      <c r="BD149" s="1623">
        <v>0.2</v>
      </c>
      <c r="BE149" s="1870"/>
      <c r="BF149" s="1715"/>
      <c r="BG149" s="1715"/>
      <c r="BI149" s="1647" t="s">
        <v>1596</v>
      </c>
      <c r="BJ149" s="1693" t="s">
        <v>376</v>
      </c>
      <c r="BK149" s="1737" t="s">
        <v>805</v>
      </c>
      <c r="BL149" s="1623">
        <v>0.2</v>
      </c>
      <c r="BM149" s="1623">
        <v>0.2</v>
      </c>
      <c r="BN149" s="1623">
        <v>0.2</v>
      </c>
      <c r="BO149" s="1623">
        <v>0.2</v>
      </c>
      <c r="BP149" s="1623">
        <v>0.2</v>
      </c>
      <c r="BQ149" s="1623">
        <v>0.2</v>
      </c>
      <c r="BR149" s="1623">
        <v>0.2</v>
      </c>
      <c r="BS149" s="1623">
        <v>0.2</v>
      </c>
      <c r="BT149" s="1623">
        <v>0.2</v>
      </c>
      <c r="BU149" s="1623">
        <v>0.2</v>
      </c>
      <c r="BV149" s="1870"/>
      <c r="BW149" s="1715"/>
      <c r="BX149" s="1715"/>
    </row>
    <row r="150" spans="1:77" ht="13.5" customHeight="1">
      <c r="B150" s="1621" t="str">
        <f t="shared" si="156"/>
        <v>2.4</v>
      </c>
      <c r="C150" s="1614" t="str">
        <f t="shared" si="157"/>
        <v>躯体材料以外におけるリサイクル材の使用</v>
      </c>
      <c r="D150" s="1716">
        <f t="shared" si="161"/>
        <v>0.2</v>
      </c>
      <c r="E150" s="1691">
        <f t="shared" si="161"/>
        <v>0</v>
      </c>
      <c r="G150" s="1691">
        <f t="shared" si="158"/>
        <v>0.2</v>
      </c>
      <c r="H150" s="1691">
        <f t="shared" si="158"/>
        <v>0</v>
      </c>
      <c r="I150" s="1691"/>
      <c r="J150" s="1691"/>
      <c r="K150" s="1616">
        <f>IF(スコア表示!X150=0,0,1)</f>
        <v>1</v>
      </c>
      <c r="L150" s="1616">
        <f>IF(スコア表示!AB150=0,0,1)</f>
        <v>0</v>
      </c>
      <c r="N150" s="1713">
        <f t="shared" si="162"/>
        <v>0.2</v>
      </c>
      <c r="O150" s="1713">
        <f t="shared" si="162"/>
        <v>0</v>
      </c>
      <c r="P150" s="1616"/>
      <c r="Q150" s="1616"/>
      <c r="R150" s="1616">
        <f>IF(スコア入力!R150="EB",重み_対象外!D150,U150)</f>
        <v>0.11999999999999998</v>
      </c>
      <c r="S150" s="1616">
        <f>IF(スコア入力!Y150="EB",重み_対象外!E150,V150)</f>
        <v>0</v>
      </c>
      <c r="T150" s="1560"/>
      <c r="U150" s="1614">
        <f>X$146*X150</f>
        <v>0.11999999999999998</v>
      </c>
      <c r="V150" s="1614">
        <f>Y$146*Y150</f>
        <v>0</v>
      </c>
      <c r="W150" s="1560"/>
      <c r="X150" s="1616">
        <f t="shared" si="159"/>
        <v>0.19999999999999998</v>
      </c>
      <c r="Y150" s="1616">
        <f t="shared" si="160"/>
        <v>0</v>
      </c>
      <c r="Z150" s="1571"/>
      <c r="AA150" s="1613" t="str">
        <f t="shared" si="122"/>
        <v>2.4</v>
      </c>
      <c r="AB150" s="1613" t="str">
        <f t="shared" si="123"/>
        <v>LR2 2</v>
      </c>
      <c r="AC150" s="1788" t="str">
        <f t="shared" si="155"/>
        <v>躯体材料以外におけるリサイクル材の使用</v>
      </c>
      <c r="AD150" s="1759">
        <f t="shared" si="130"/>
        <v>0.2</v>
      </c>
      <c r="AE150" s="1759">
        <f t="shared" si="131"/>
        <v>0.2</v>
      </c>
      <c r="AF150" s="1759">
        <f t="shared" si="132"/>
        <v>0.2</v>
      </c>
      <c r="AG150" s="1759">
        <f t="shared" si="133"/>
        <v>0.2</v>
      </c>
      <c r="AH150" s="1759">
        <f t="shared" si="134"/>
        <v>0.2</v>
      </c>
      <c r="AI150" s="1759">
        <f t="shared" si="135"/>
        <v>0.2</v>
      </c>
      <c r="AJ150" s="1759">
        <f t="shared" si="141"/>
        <v>0.2</v>
      </c>
      <c r="AK150" s="1761">
        <f t="shared" si="136"/>
        <v>0.2</v>
      </c>
      <c r="AL150" s="1759">
        <f t="shared" si="137"/>
        <v>0.2</v>
      </c>
      <c r="AM150" s="1759">
        <f t="shared" si="137"/>
        <v>0.2</v>
      </c>
      <c r="AN150" s="1786">
        <f t="shared" si="138"/>
        <v>0</v>
      </c>
      <c r="AO150" s="1764">
        <f t="shared" si="139"/>
        <v>0</v>
      </c>
      <c r="AP150" s="1764">
        <f t="shared" si="140"/>
        <v>0</v>
      </c>
      <c r="AR150" s="1647" t="s">
        <v>1597</v>
      </c>
      <c r="AS150" s="1693" t="s">
        <v>376</v>
      </c>
      <c r="AT150" s="1737" t="s">
        <v>1598</v>
      </c>
      <c r="AU150" s="1623">
        <v>0.2</v>
      </c>
      <c r="AV150" s="1623">
        <v>0.2</v>
      </c>
      <c r="AW150" s="1623">
        <v>0.2</v>
      </c>
      <c r="AX150" s="1623">
        <v>0.2</v>
      </c>
      <c r="AY150" s="1623">
        <v>0.2</v>
      </c>
      <c r="AZ150" s="1623">
        <v>0.2</v>
      </c>
      <c r="BA150" s="1623">
        <v>0.2</v>
      </c>
      <c r="BB150" s="1623">
        <v>0.2</v>
      </c>
      <c r="BC150" s="1623">
        <v>0.2</v>
      </c>
      <c r="BD150" s="1623">
        <v>0.2</v>
      </c>
      <c r="BE150" s="1870"/>
      <c r="BF150" s="1715"/>
      <c r="BG150" s="1715"/>
      <c r="BI150" s="1647" t="s">
        <v>1597</v>
      </c>
      <c r="BJ150" s="1693" t="s">
        <v>376</v>
      </c>
      <c r="BK150" s="1737" t="s">
        <v>1598</v>
      </c>
      <c r="BL150" s="1623">
        <v>0.2</v>
      </c>
      <c r="BM150" s="1623">
        <v>0.2</v>
      </c>
      <c r="BN150" s="1623">
        <v>0.2</v>
      </c>
      <c r="BO150" s="1623">
        <v>0.2</v>
      </c>
      <c r="BP150" s="1623">
        <v>0.2</v>
      </c>
      <c r="BQ150" s="1623">
        <v>0.2</v>
      </c>
      <c r="BR150" s="1623">
        <v>0.2</v>
      </c>
      <c r="BS150" s="1623">
        <v>0.2</v>
      </c>
      <c r="BT150" s="1623">
        <v>0.2</v>
      </c>
      <c r="BU150" s="1623">
        <v>0.2</v>
      </c>
      <c r="BV150" s="1870"/>
      <c r="BW150" s="1715"/>
      <c r="BX150" s="1715"/>
    </row>
    <row r="151" spans="1:77" ht="13.5" customHeight="1">
      <c r="B151" s="1621" t="str">
        <f t="shared" si="156"/>
        <v>2.5</v>
      </c>
      <c r="C151" s="1614" t="str">
        <f t="shared" si="157"/>
        <v>持続可能な森林から産出された木材</v>
      </c>
      <c r="D151" s="1716">
        <f t="shared" si="161"/>
        <v>0.1</v>
      </c>
      <c r="E151" s="1691">
        <f t="shared" si="161"/>
        <v>0</v>
      </c>
      <c r="G151" s="1691">
        <f t="shared" si="158"/>
        <v>0.1</v>
      </c>
      <c r="H151" s="1691">
        <f t="shared" si="158"/>
        <v>0</v>
      </c>
      <c r="I151" s="1691"/>
      <c r="J151" s="1691"/>
      <c r="K151" s="1616">
        <f>IF(スコア表示!X151=0,0,1)</f>
        <v>1</v>
      </c>
      <c r="L151" s="1616">
        <f>IF(スコア表示!AB151=0,0,1)</f>
        <v>0</v>
      </c>
      <c r="N151" s="1713">
        <f t="shared" si="162"/>
        <v>0.1</v>
      </c>
      <c r="O151" s="1713">
        <f t="shared" si="162"/>
        <v>0</v>
      </c>
      <c r="P151" s="1616"/>
      <c r="Q151" s="1616"/>
      <c r="R151" s="1616">
        <f>IF(スコア入力!R151="EB",重み_対象外!D151,U151)</f>
        <v>5.9999999999999991E-2</v>
      </c>
      <c r="S151" s="1616">
        <f>IF(スコア入力!Y151="EB",重み_対象外!E151,V151)</f>
        <v>0</v>
      </c>
      <c r="T151" s="1560"/>
      <c r="U151" s="1614">
        <f>X$146*X151</f>
        <v>5.9999999999999991E-2</v>
      </c>
      <c r="V151" s="1614">
        <f>Y$146*Y151</f>
        <v>0</v>
      </c>
      <c r="W151" s="1560"/>
      <c r="X151" s="1616">
        <f t="shared" si="159"/>
        <v>9.9999999999999992E-2</v>
      </c>
      <c r="Y151" s="1616">
        <f t="shared" si="160"/>
        <v>0</v>
      </c>
      <c r="Z151" s="1571"/>
      <c r="AA151" s="1613" t="str">
        <f t="shared" si="122"/>
        <v>2.5</v>
      </c>
      <c r="AB151" s="1613" t="str">
        <f t="shared" si="123"/>
        <v>LR2 2</v>
      </c>
      <c r="AC151" s="1613" t="str">
        <f t="shared" si="155"/>
        <v>持続可能な森林から産出された木材</v>
      </c>
      <c r="AD151" s="1759">
        <f t="shared" si="130"/>
        <v>0.1</v>
      </c>
      <c r="AE151" s="1759">
        <f t="shared" si="131"/>
        <v>0.1</v>
      </c>
      <c r="AF151" s="1759">
        <f t="shared" si="132"/>
        <v>0.1</v>
      </c>
      <c r="AG151" s="1759">
        <f t="shared" si="133"/>
        <v>0.1</v>
      </c>
      <c r="AH151" s="1759">
        <f t="shared" si="134"/>
        <v>0.1</v>
      </c>
      <c r="AI151" s="1759">
        <f t="shared" si="135"/>
        <v>0.1</v>
      </c>
      <c r="AJ151" s="1759">
        <f t="shared" si="141"/>
        <v>0.1</v>
      </c>
      <c r="AK151" s="1761">
        <f t="shared" si="136"/>
        <v>0.1</v>
      </c>
      <c r="AL151" s="1759">
        <f t="shared" si="137"/>
        <v>0.1</v>
      </c>
      <c r="AM151" s="1759">
        <f t="shared" si="137"/>
        <v>0.1</v>
      </c>
      <c r="AN151" s="1786">
        <f t="shared" si="138"/>
        <v>0</v>
      </c>
      <c r="AO151" s="1764">
        <f t="shared" si="139"/>
        <v>0</v>
      </c>
      <c r="AP151" s="1764">
        <f t="shared" si="140"/>
        <v>0</v>
      </c>
      <c r="AR151" s="1647" t="s">
        <v>1599</v>
      </c>
      <c r="AS151" s="1693" t="s">
        <v>376</v>
      </c>
      <c r="AT151" s="2064" t="s">
        <v>1600</v>
      </c>
      <c r="AU151" s="1623">
        <v>0.1</v>
      </c>
      <c r="AV151" s="1623">
        <v>0.1</v>
      </c>
      <c r="AW151" s="1623">
        <v>0.1</v>
      </c>
      <c r="AX151" s="1623">
        <v>0.1</v>
      </c>
      <c r="AY151" s="1623">
        <v>0.1</v>
      </c>
      <c r="AZ151" s="1623">
        <v>0.1</v>
      </c>
      <c r="BA151" s="1623">
        <v>0.1</v>
      </c>
      <c r="BB151" s="1623">
        <v>0.1</v>
      </c>
      <c r="BC151" s="1623">
        <v>0.1</v>
      </c>
      <c r="BD151" s="1623">
        <v>0.1</v>
      </c>
      <c r="BE151" s="1870"/>
      <c r="BF151" s="1715"/>
      <c r="BG151" s="1715"/>
      <c r="BI151" s="1647" t="s">
        <v>1599</v>
      </c>
      <c r="BJ151" s="1693" t="s">
        <v>376</v>
      </c>
      <c r="BK151" s="2064" t="s">
        <v>1600</v>
      </c>
      <c r="BL151" s="1623">
        <v>0.1</v>
      </c>
      <c r="BM151" s="1623">
        <v>0.1</v>
      </c>
      <c r="BN151" s="1623">
        <v>0.1</v>
      </c>
      <c r="BO151" s="1623">
        <v>0.1</v>
      </c>
      <c r="BP151" s="1623">
        <v>0.1</v>
      </c>
      <c r="BQ151" s="1623">
        <v>0.1</v>
      </c>
      <c r="BR151" s="1623">
        <v>0.1</v>
      </c>
      <c r="BS151" s="1623">
        <v>0.1</v>
      </c>
      <c r="BT151" s="1623">
        <v>0.1</v>
      </c>
      <c r="BU151" s="1623">
        <v>0.1</v>
      </c>
      <c r="BV151" s="1870"/>
      <c r="BW151" s="1715"/>
      <c r="BX151" s="1715"/>
    </row>
    <row r="152" spans="1:77" ht="13.5" customHeight="1">
      <c r="B152" s="1621" t="str">
        <f t="shared" si="156"/>
        <v>2.6</v>
      </c>
      <c r="C152" s="1647" t="str">
        <f t="shared" si="157"/>
        <v>部材の再利用可能性向上への取組み</v>
      </c>
      <c r="D152" s="1716">
        <f t="shared" si="161"/>
        <v>0.2</v>
      </c>
      <c r="E152" s="1691">
        <f t="shared" si="161"/>
        <v>0</v>
      </c>
      <c r="G152" s="1691">
        <f t="shared" si="158"/>
        <v>0.2</v>
      </c>
      <c r="H152" s="1691">
        <f t="shared" si="158"/>
        <v>0</v>
      </c>
      <c r="I152" s="1691"/>
      <c r="J152" s="1691"/>
      <c r="K152" s="1616">
        <f>IF(スコア表示!X152=0,0,1)</f>
        <v>1</v>
      </c>
      <c r="L152" s="1616">
        <f>IF(スコア表示!AB152=0,0,1)</f>
        <v>0</v>
      </c>
      <c r="N152" s="1713">
        <f t="shared" si="162"/>
        <v>0.2</v>
      </c>
      <c r="O152" s="1713">
        <f t="shared" si="162"/>
        <v>0</v>
      </c>
      <c r="P152" s="1616"/>
      <c r="Q152" s="1616"/>
      <c r="R152" s="1616">
        <f>IF(スコア入力!R152="EB",重み_対象外!D152,U152)</f>
        <v>0.11999999999999998</v>
      </c>
      <c r="S152" s="1616">
        <f>IF(スコア入力!Y152="EB",重み_対象外!E152,V152)</f>
        <v>0</v>
      </c>
      <c r="T152" s="1560"/>
      <c r="U152" s="1614">
        <f>X$146*X152</f>
        <v>0.11999999999999998</v>
      </c>
      <c r="V152" s="1614">
        <f>Y$146*Y152</f>
        <v>0</v>
      </c>
      <c r="W152" s="1560"/>
      <c r="X152" s="1616">
        <f t="shared" si="159"/>
        <v>0.19999999999999998</v>
      </c>
      <c r="Y152" s="1616">
        <f t="shared" si="160"/>
        <v>0</v>
      </c>
      <c r="Z152" s="1571"/>
      <c r="AA152" s="1613" t="str">
        <f t="shared" ref="AA152:AA180" si="163">IF($AA$3=1,AR152,BI152)</f>
        <v>2.6</v>
      </c>
      <c r="AB152" s="1613" t="str">
        <f t="shared" si="123"/>
        <v>LR2 2</v>
      </c>
      <c r="AC152" s="1613" t="str">
        <f t="shared" si="155"/>
        <v>部材の再利用可能性向上への取組み</v>
      </c>
      <c r="AD152" s="1759">
        <f t="shared" si="130"/>
        <v>0.2</v>
      </c>
      <c r="AE152" s="1759">
        <f t="shared" si="131"/>
        <v>0.2</v>
      </c>
      <c r="AF152" s="1759">
        <f t="shared" si="132"/>
        <v>0.2</v>
      </c>
      <c r="AG152" s="1759">
        <f t="shared" si="133"/>
        <v>0.2</v>
      </c>
      <c r="AH152" s="1759">
        <f t="shared" si="134"/>
        <v>0.2</v>
      </c>
      <c r="AI152" s="1759">
        <f t="shared" si="135"/>
        <v>0.2</v>
      </c>
      <c r="AJ152" s="1759">
        <f t="shared" si="141"/>
        <v>0.2</v>
      </c>
      <c r="AK152" s="1761">
        <f t="shared" si="136"/>
        <v>0.2</v>
      </c>
      <c r="AL152" s="1759">
        <f t="shared" si="137"/>
        <v>0.2</v>
      </c>
      <c r="AM152" s="1759">
        <f t="shared" si="137"/>
        <v>0.2</v>
      </c>
      <c r="AN152" s="1786">
        <f t="shared" si="138"/>
        <v>0</v>
      </c>
      <c r="AO152" s="1764">
        <f t="shared" si="139"/>
        <v>0</v>
      </c>
      <c r="AP152" s="1764">
        <f t="shared" si="140"/>
        <v>0</v>
      </c>
      <c r="AR152" s="1647" t="s">
        <v>1601</v>
      </c>
      <c r="AS152" s="1693" t="s">
        <v>376</v>
      </c>
      <c r="AT152" s="1737" t="s">
        <v>807</v>
      </c>
      <c r="AU152" s="1623">
        <v>0.2</v>
      </c>
      <c r="AV152" s="1623">
        <v>0.2</v>
      </c>
      <c r="AW152" s="1623">
        <v>0.2</v>
      </c>
      <c r="AX152" s="1623">
        <v>0.2</v>
      </c>
      <c r="AY152" s="1623">
        <v>0.2</v>
      </c>
      <c r="AZ152" s="1623">
        <v>0.2</v>
      </c>
      <c r="BA152" s="1623">
        <v>0.2</v>
      </c>
      <c r="BB152" s="1623">
        <v>0.2</v>
      </c>
      <c r="BC152" s="1623">
        <v>0.2</v>
      </c>
      <c r="BD152" s="1623">
        <v>0.2</v>
      </c>
      <c r="BE152" s="1870"/>
      <c r="BF152" s="1715"/>
      <c r="BG152" s="1715"/>
      <c r="BI152" s="1647" t="s">
        <v>1601</v>
      </c>
      <c r="BJ152" s="1693" t="s">
        <v>376</v>
      </c>
      <c r="BK152" s="1737" t="s">
        <v>807</v>
      </c>
      <c r="BL152" s="1623">
        <v>0.2</v>
      </c>
      <c r="BM152" s="1623">
        <v>0.2</v>
      </c>
      <c r="BN152" s="1623">
        <v>0.2</v>
      </c>
      <c r="BO152" s="1623">
        <v>0.2</v>
      </c>
      <c r="BP152" s="1623">
        <v>0.2</v>
      </c>
      <c r="BQ152" s="1623">
        <v>0.2</v>
      </c>
      <c r="BR152" s="1623">
        <v>0.2</v>
      </c>
      <c r="BS152" s="1623">
        <v>0.2</v>
      </c>
      <c r="BT152" s="1623">
        <v>0.2</v>
      </c>
      <c r="BU152" s="1623">
        <v>0.2</v>
      </c>
      <c r="BV152" s="1870"/>
      <c r="BW152" s="1715"/>
      <c r="BX152" s="1715"/>
    </row>
    <row r="153" spans="1:77" s="1605" customFormat="1" ht="13.5" customHeight="1">
      <c r="A153"/>
      <c r="B153" s="1641">
        <f t="shared" si="156"/>
        <v>3</v>
      </c>
      <c r="C153" s="1689" t="str">
        <f t="shared" si="157"/>
        <v>汚染物質含有材料の使用回避</v>
      </c>
      <c r="D153" s="2062">
        <f>IF(I$140=0,0,G153/I$140)</f>
        <v>0.20000000000000004</v>
      </c>
      <c r="E153" s="1743">
        <f>IF(J$140=0,0,H153/J$140)</f>
        <v>0</v>
      </c>
      <c r="F153"/>
      <c r="G153" s="1743">
        <f t="shared" si="158"/>
        <v>0.20000000000000004</v>
      </c>
      <c r="H153" s="1743">
        <f t="shared" si="158"/>
        <v>0</v>
      </c>
      <c r="I153" s="1743">
        <f>G154+G155</f>
        <v>1</v>
      </c>
      <c r="J153" s="1743">
        <f>H154+H155</f>
        <v>0</v>
      </c>
      <c r="K153" s="1609">
        <f>IF(スコア表示!X153=0,0,1)</f>
        <v>1</v>
      </c>
      <c r="L153" s="1609">
        <f>IF(スコア表示!AB153=0,0,1)</f>
        <v>0</v>
      </c>
      <c r="M153"/>
      <c r="N153" s="1707">
        <f>IF(P$140=0,0,R153/P$140)</f>
        <v>0.20000000000000004</v>
      </c>
      <c r="O153" s="1707">
        <f>IF(Q$140=0,0,S153/Q$140)</f>
        <v>0</v>
      </c>
      <c r="P153" s="1609">
        <f>SUM(R154:R158)</f>
        <v>0.19999999999999998</v>
      </c>
      <c r="Q153" s="1609">
        <f>SUM(S154:S158)</f>
        <v>0</v>
      </c>
      <c r="R153" s="1609">
        <f>IF(スコア入力!R153="EB",重み_対象外!D153,U153)</f>
        <v>0.19999999999999998</v>
      </c>
      <c r="S153" s="1609">
        <f>IF(スコア入力!Y153="EB",重み_対象外!E153,V153)</f>
        <v>0</v>
      </c>
      <c r="T153" s="1560"/>
      <c r="U153" s="1607">
        <f>SUM(U154:U158)</f>
        <v>0.19999999999999998</v>
      </c>
      <c r="V153" s="1607">
        <f>SUM(V154:V158)</f>
        <v>0</v>
      </c>
      <c r="W153" s="1560"/>
      <c r="X153" s="1609">
        <f t="shared" si="159"/>
        <v>0.19999999999999998</v>
      </c>
      <c r="Y153" s="1609">
        <f t="shared" si="160"/>
        <v>0</v>
      </c>
      <c r="Z153" s="1601"/>
      <c r="AA153" s="1606">
        <f t="shared" si="163"/>
        <v>3</v>
      </c>
      <c r="AB153" s="1606" t="str">
        <f t="shared" ref="AB153:AB180" si="164">IF($AA$3=1,AS153,BJ153)</f>
        <v>LR2</v>
      </c>
      <c r="AC153" s="1606" t="str">
        <f t="shared" si="155"/>
        <v>汚染物質含有材料の使用回避</v>
      </c>
      <c r="AD153" s="1756">
        <f t="shared" si="130"/>
        <v>0.2</v>
      </c>
      <c r="AE153" s="1756">
        <f t="shared" si="131"/>
        <v>0.2</v>
      </c>
      <c r="AF153" s="1756">
        <f t="shared" si="132"/>
        <v>0.2</v>
      </c>
      <c r="AG153" s="1756">
        <f t="shared" si="133"/>
        <v>0.2</v>
      </c>
      <c r="AH153" s="1756">
        <f t="shared" si="134"/>
        <v>0.2</v>
      </c>
      <c r="AI153" s="1756">
        <f t="shared" si="135"/>
        <v>0.2</v>
      </c>
      <c r="AJ153" s="1756">
        <f t="shared" si="141"/>
        <v>0.2</v>
      </c>
      <c r="AK153" s="1768">
        <f t="shared" si="136"/>
        <v>0.2</v>
      </c>
      <c r="AL153" s="1756">
        <f t="shared" si="137"/>
        <v>0.2</v>
      </c>
      <c r="AM153" s="1756">
        <f t="shared" si="137"/>
        <v>0.2</v>
      </c>
      <c r="AN153" s="1784">
        <f t="shared" si="138"/>
        <v>0</v>
      </c>
      <c r="AO153" s="1785">
        <f t="shared" si="139"/>
        <v>0</v>
      </c>
      <c r="AP153" s="1785">
        <f t="shared" si="140"/>
        <v>0</v>
      </c>
      <c r="AQ153" s="1685"/>
      <c r="AR153" s="1641">
        <v>3</v>
      </c>
      <c r="AS153" s="1744" t="s">
        <v>373</v>
      </c>
      <c r="AT153" s="1787" t="s">
        <v>808</v>
      </c>
      <c r="AU153" s="1711">
        <v>0.2</v>
      </c>
      <c r="AV153" s="1711">
        <v>0.2</v>
      </c>
      <c r="AW153" s="1711">
        <v>0.2</v>
      </c>
      <c r="AX153" s="1711">
        <v>0.2</v>
      </c>
      <c r="AY153" s="1711">
        <v>0.2</v>
      </c>
      <c r="AZ153" s="1711">
        <v>0.2</v>
      </c>
      <c r="BA153" s="1711">
        <v>0.2</v>
      </c>
      <c r="BB153" s="1711">
        <v>0.2</v>
      </c>
      <c r="BC153" s="1711">
        <v>0.2</v>
      </c>
      <c r="BD153" s="1711">
        <v>0.2</v>
      </c>
      <c r="BE153" s="2098"/>
      <c r="BF153" s="2099"/>
      <c r="BG153" s="2099"/>
      <c r="BH153"/>
      <c r="BI153" s="1641">
        <v>3</v>
      </c>
      <c r="BJ153" s="1744" t="s">
        <v>373</v>
      </c>
      <c r="BK153" s="1787" t="s">
        <v>808</v>
      </c>
      <c r="BL153" s="1711">
        <v>0.2</v>
      </c>
      <c r="BM153" s="1711">
        <v>0.2</v>
      </c>
      <c r="BN153" s="1711">
        <v>0.2</v>
      </c>
      <c r="BO153" s="1711">
        <v>0.2</v>
      </c>
      <c r="BP153" s="1711">
        <v>0.2</v>
      </c>
      <c r="BQ153" s="1711">
        <v>0.2</v>
      </c>
      <c r="BR153" s="1711">
        <v>0.2</v>
      </c>
      <c r="BS153" s="1711">
        <v>0.2</v>
      </c>
      <c r="BT153" s="1711">
        <v>0.2</v>
      </c>
      <c r="BU153" s="1711">
        <v>0.2</v>
      </c>
      <c r="BV153" s="2098"/>
      <c r="BW153" s="2099"/>
      <c r="BX153" s="2099"/>
      <c r="BY153"/>
    </row>
    <row r="154" spans="1:77" ht="13.5" customHeight="1">
      <c r="B154" s="1621" t="str">
        <f t="shared" si="156"/>
        <v>3.1</v>
      </c>
      <c r="C154" s="1647" t="str">
        <f t="shared" si="157"/>
        <v>有害物質を含まない材料の使用</v>
      </c>
      <c r="D154" s="1716">
        <f>IF(I$153=0,0,G154/I$153)</f>
        <v>0.3</v>
      </c>
      <c r="E154" s="1691">
        <f>IF(J$153=0,0,H154/J$153)</f>
        <v>0</v>
      </c>
      <c r="G154" s="1691">
        <f t="shared" si="158"/>
        <v>0.3</v>
      </c>
      <c r="H154" s="1691">
        <f t="shared" si="158"/>
        <v>0</v>
      </c>
      <c r="I154" s="1691"/>
      <c r="J154" s="1691"/>
      <c r="K154" s="1616">
        <f>IF(スコア表示!X154=0,0,1)</f>
        <v>1</v>
      </c>
      <c r="L154" s="1616">
        <f>IF(スコア表示!AB154=0,0,1)</f>
        <v>0</v>
      </c>
      <c r="N154" s="1713">
        <f>IF(P$153=0,0,R154/P$153)</f>
        <v>0.3</v>
      </c>
      <c r="O154" s="1713">
        <f>IF(Q$153=0,0,S154/Q$153)</f>
        <v>0</v>
      </c>
      <c r="P154" s="1616"/>
      <c r="Q154" s="1616"/>
      <c r="R154" s="1616">
        <f>IF(スコア入力!R154="EB",重み_対象外!D154,U154)</f>
        <v>5.9999999999999991E-2</v>
      </c>
      <c r="S154" s="1616">
        <f>IF(スコア入力!Y154="EB",重み_対象外!E154,V154)</f>
        <v>0</v>
      </c>
      <c r="T154" s="1560"/>
      <c r="U154" s="1614">
        <f>X$153*X154</f>
        <v>5.9999999999999991E-2</v>
      </c>
      <c r="V154" s="1614">
        <f>Y$153*Y154</f>
        <v>0</v>
      </c>
      <c r="W154" s="1560"/>
      <c r="X154" s="1616">
        <f t="shared" si="159"/>
        <v>0.3</v>
      </c>
      <c r="Y154" s="1616">
        <f t="shared" si="160"/>
        <v>0</v>
      </c>
      <c r="Z154" s="1571"/>
      <c r="AA154" s="1613" t="str">
        <f t="shared" si="163"/>
        <v>3.1</v>
      </c>
      <c r="AB154" s="1613" t="str">
        <f t="shared" si="164"/>
        <v>LR2 3</v>
      </c>
      <c r="AC154" s="1613" t="str">
        <f t="shared" si="155"/>
        <v>有害物質を含まない材料の使用</v>
      </c>
      <c r="AD154" s="1759">
        <f t="shared" si="130"/>
        <v>0.3</v>
      </c>
      <c r="AE154" s="1759">
        <f t="shared" si="131"/>
        <v>0.3</v>
      </c>
      <c r="AF154" s="1759">
        <f t="shared" si="132"/>
        <v>0.3</v>
      </c>
      <c r="AG154" s="1759">
        <f t="shared" si="133"/>
        <v>0.3</v>
      </c>
      <c r="AH154" s="1759">
        <f t="shared" si="134"/>
        <v>0.3</v>
      </c>
      <c r="AI154" s="1759">
        <f t="shared" si="135"/>
        <v>0.3</v>
      </c>
      <c r="AJ154" s="1759">
        <f t="shared" si="141"/>
        <v>0.3</v>
      </c>
      <c r="AK154" s="1761">
        <f t="shared" si="136"/>
        <v>0.3</v>
      </c>
      <c r="AL154" s="1759">
        <f t="shared" si="137"/>
        <v>0.3</v>
      </c>
      <c r="AM154" s="1759">
        <f t="shared" si="137"/>
        <v>0.3</v>
      </c>
      <c r="AN154" s="1786">
        <f t="shared" si="138"/>
        <v>0</v>
      </c>
      <c r="AO154" s="1764">
        <f t="shared" si="139"/>
        <v>0</v>
      </c>
      <c r="AP154" s="1764">
        <f t="shared" si="140"/>
        <v>0</v>
      </c>
      <c r="AR154" s="1647" t="s">
        <v>1557</v>
      </c>
      <c r="AS154" s="1693" t="s">
        <v>377</v>
      </c>
      <c r="AT154" s="1737" t="s">
        <v>809</v>
      </c>
      <c r="AU154" s="1623">
        <v>0.3</v>
      </c>
      <c r="AV154" s="1623">
        <v>0.3</v>
      </c>
      <c r="AW154" s="1623">
        <v>0.3</v>
      </c>
      <c r="AX154" s="1623">
        <v>0.3</v>
      </c>
      <c r="AY154" s="1623">
        <v>0.3</v>
      </c>
      <c r="AZ154" s="1623">
        <v>0.3</v>
      </c>
      <c r="BA154" s="1623">
        <v>0.3</v>
      </c>
      <c r="BB154" s="1623">
        <v>0.3</v>
      </c>
      <c r="BC154" s="1623">
        <v>0.3</v>
      </c>
      <c r="BD154" s="1623">
        <v>0.3</v>
      </c>
      <c r="BE154" s="1870"/>
      <c r="BF154" s="1715"/>
      <c r="BG154" s="1715"/>
      <c r="BI154" s="1647" t="s">
        <v>1557</v>
      </c>
      <c r="BJ154" s="1693" t="s">
        <v>377</v>
      </c>
      <c r="BK154" s="1737" t="s">
        <v>809</v>
      </c>
      <c r="BL154" s="1623">
        <v>0.3</v>
      </c>
      <c r="BM154" s="1623">
        <v>0.3</v>
      </c>
      <c r="BN154" s="1623">
        <v>0.3</v>
      </c>
      <c r="BO154" s="1623">
        <v>0.3</v>
      </c>
      <c r="BP154" s="1623">
        <v>0.3</v>
      </c>
      <c r="BQ154" s="1623">
        <v>0.3</v>
      </c>
      <c r="BR154" s="1623">
        <v>0.3</v>
      </c>
      <c r="BS154" s="1623">
        <v>0.3</v>
      </c>
      <c r="BT154" s="1623">
        <v>0.3</v>
      </c>
      <c r="BU154" s="1623">
        <v>0.3</v>
      </c>
      <c r="BV154" s="1870"/>
      <c r="BW154" s="1715"/>
      <c r="BX154" s="1715"/>
    </row>
    <row r="155" spans="1:77" ht="13.5" customHeight="1">
      <c r="B155" s="1621" t="str">
        <f t="shared" si="156"/>
        <v>3.2</v>
      </c>
      <c r="C155" s="1647" t="str">
        <f t="shared" si="157"/>
        <v>フロン・ハロンの回避</v>
      </c>
      <c r="D155" s="1716">
        <f>IF(I$153=0,0,G155/I$153)</f>
        <v>0.7</v>
      </c>
      <c r="E155" s="1691">
        <f>IF(J$153=0,0,H155/J$153)</f>
        <v>0</v>
      </c>
      <c r="G155" s="1691">
        <f t="shared" si="158"/>
        <v>0.7</v>
      </c>
      <c r="H155" s="1691">
        <f t="shared" si="158"/>
        <v>0</v>
      </c>
      <c r="I155" s="1691">
        <f>SUM(G156:G158)</f>
        <v>1</v>
      </c>
      <c r="J155" s="1691">
        <f>SUM(H156:H158)</f>
        <v>0</v>
      </c>
      <c r="K155" s="1616">
        <f>IF(スコア表示!X155=0,0,1)</f>
        <v>1</v>
      </c>
      <c r="L155" s="1616">
        <f>IF(スコア表示!AB155=0,0,1)</f>
        <v>0</v>
      </c>
      <c r="N155" s="1713">
        <f>IF(P$153=0,0,P155/P$153)</f>
        <v>0.7</v>
      </c>
      <c r="O155" s="1713">
        <f>IF(Q$153=0,0,Q155/Q$153)</f>
        <v>0</v>
      </c>
      <c r="P155" s="1616">
        <f>SUM(R156:R158)</f>
        <v>0.13999999999999999</v>
      </c>
      <c r="Q155" s="1616">
        <f>SUM(S156:S158)</f>
        <v>0</v>
      </c>
      <c r="R155" s="1616">
        <f>IF(スコア入力!R155="EB",重み_対象外!D155,U155)</f>
        <v>0</v>
      </c>
      <c r="S155" s="1616">
        <f>IF(スコア入力!Y155="EB",重み_対象外!E155,V155)</f>
        <v>0</v>
      </c>
      <c r="T155" s="1560"/>
      <c r="U155" s="1630"/>
      <c r="V155" s="1630"/>
      <c r="W155" s="1560"/>
      <c r="X155" s="1616">
        <f t="shared" si="159"/>
        <v>0.7</v>
      </c>
      <c r="Y155" s="1616">
        <f t="shared" si="160"/>
        <v>0</v>
      </c>
      <c r="Z155" s="1571"/>
      <c r="AA155" s="1613" t="str">
        <f t="shared" si="163"/>
        <v>3.2</v>
      </c>
      <c r="AB155" s="1613" t="str">
        <f t="shared" si="164"/>
        <v>LR2 3</v>
      </c>
      <c r="AC155" s="1613" t="str">
        <f t="shared" si="155"/>
        <v>フロン・ハロンの回避</v>
      </c>
      <c r="AD155" s="1759">
        <f t="shared" si="130"/>
        <v>0.7</v>
      </c>
      <c r="AE155" s="1759">
        <f t="shared" si="131"/>
        <v>0.7</v>
      </c>
      <c r="AF155" s="1759">
        <f t="shared" si="132"/>
        <v>0.7</v>
      </c>
      <c r="AG155" s="1759">
        <f t="shared" si="133"/>
        <v>0.7</v>
      </c>
      <c r="AH155" s="1759">
        <f t="shared" si="134"/>
        <v>0.7</v>
      </c>
      <c r="AI155" s="1759">
        <f t="shared" si="135"/>
        <v>0.7</v>
      </c>
      <c r="AJ155" s="1759">
        <f t="shared" si="141"/>
        <v>0.7</v>
      </c>
      <c r="AK155" s="1761">
        <f t="shared" si="136"/>
        <v>0.7</v>
      </c>
      <c r="AL155" s="1759">
        <f t="shared" si="137"/>
        <v>0.7</v>
      </c>
      <c r="AM155" s="1759">
        <f t="shared" si="137"/>
        <v>0.7</v>
      </c>
      <c r="AN155" s="1786">
        <f t="shared" si="138"/>
        <v>0</v>
      </c>
      <c r="AO155" s="1764">
        <f t="shared" si="139"/>
        <v>0</v>
      </c>
      <c r="AP155" s="1764">
        <f t="shared" si="140"/>
        <v>0</v>
      </c>
      <c r="AR155" s="1647" t="s">
        <v>1561</v>
      </c>
      <c r="AS155" s="1693" t="s">
        <v>377</v>
      </c>
      <c r="AT155" s="1737" t="s">
        <v>810</v>
      </c>
      <c r="AU155" s="1623">
        <v>0.7</v>
      </c>
      <c r="AV155" s="1623">
        <v>0.7</v>
      </c>
      <c r="AW155" s="1623">
        <v>0.7</v>
      </c>
      <c r="AX155" s="1623">
        <v>0.7</v>
      </c>
      <c r="AY155" s="1623">
        <v>0.7</v>
      </c>
      <c r="AZ155" s="1623">
        <v>0.7</v>
      </c>
      <c r="BA155" s="1623">
        <v>0.7</v>
      </c>
      <c r="BB155" s="1623">
        <v>0.7</v>
      </c>
      <c r="BC155" s="1623">
        <v>0.7</v>
      </c>
      <c r="BD155" s="1623">
        <v>0.7</v>
      </c>
      <c r="BE155" s="1870"/>
      <c r="BF155" s="1715"/>
      <c r="BG155" s="1715"/>
      <c r="BI155" s="1647" t="s">
        <v>1561</v>
      </c>
      <c r="BJ155" s="1693" t="s">
        <v>377</v>
      </c>
      <c r="BK155" s="1737" t="s">
        <v>810</v>
      </c>
      <c r="BL155" s="1623">
        <v>0.7</v>
      </c>
      <c r="BM155" s="1623">
        <v>0.7</v>
      </c>
      <c r="BN155" s="1623">
        <v>0.7</v>
      </c>
      <c r="BO155" s="1623">
        <v>0.7</v>
      </c>
      <c r="BP155" s="1623">
        <v>0.7</v>
      </c>
      <c r="BQ155" s="1623">
        <v>0.7</v>
      </c>
      <c r="BR155" s="1623">
        <v>0.7</v>
      </c>
      <c r="BS155" s="1623">
        <v>0.7</v>
      </c>
      <c r="BT155" s="1623">
        <v>0.7</v>
      </c>
      <c r="BU155" s="1623">
        <v>0.7</v>
      </c>
      <c r="BV155" s="1870"/>
      <c r="BW155" s="1715"/>
      <c r="BX155" s="1715"/>
    </row>
    <row r="156" spans="1:77" ht="13.5" customHeight="1">
      <c r="B156" s="1621" t="str">
        <f t="shared" si="156"/>
        <v>3.2.1</v>
      </c>
      <c r="C156" s="1614" t="str">
        <f t="shared" si="157"/>
        <v>消火剤</v>
      </c>
      <c r="D156" s="1721">
        <f t="shared" ref="D156:E158" si="165">IF(I$155&gt;0,G156/I$155,0)</f>
        <v>0.33333333333333331</v>
      </c>
      <c r="E156" s="1691">
        <f t="shared" si="165"/>
        <v>0</v>
      </c>
      <c r="G156" s="1691">
        <f t="shared" si="158"/>
        <v>0.33333333333333331</v>
      </c>
      <c r="H156" s="1691">
        <f t="shared" si="158"/>
        <v>0</v>
      </c>
      <c r="I156" s="1691"/>
      <c r="J156" s="1691"/>
      <c r="K156" s="1616">
        <f>IF(スコア表示!X156=0,0,1)</f>
        <v>1</v>
      </c>
      <c r="L156" s="1616">
        <f>IF(スコア表示!AB156=0,0,1)</f>
        <v>0</v>
      </c>
      <c r="N156" s="1708">
        <f t="shared" ref="N156:O158" si="166">IF(P$155&gt;0,R156/P$155,0)</f>
        <v>0.33333333333333331</v>
      </c>
      <c r="O156" s="1708">
        <f t="shared" si="166"/>
        <v>0</v>
      </c>
      <c r="P156" s="1616"/>
      <c r="Q156" s="1616"/>
      <c r="R156" s="1616">
        <f>IF(スコア入力!R156="EB",重み_対象外!D156,U156)</f>
        <v>4.6666666666666662E-2</v>
      </c>
      <c r="S156" s="1616">
        <f>IF(スコア入力!Y156="EB",重み_対象外!E156,V156)</f>
        <v>0</v>
      </c>
      <c r="T156" s="1560"/>
      <c r="U156" s="1614">
        <f t="shared" ref="U156:V158" si="167">X$153*X$155*X156</f>
        <v>4.6666666666666662E-2</v>
      </c>
      <c r="V156" s="1614">
        <f t="shared" si="167"/>
        <v>0</v>
      </c>
      <c r="W156" s="1560"/>
      <c r="X156" s="1616">
        <f t="shared" si="159"/>
        <v>0.33333333333333331</v>
      </c>
      <c r="Y156" s="1616">
        <f t="shared" si="160"/>
        <v>0</v>
      </c>
      <c r="Z156" s="1571"/>
      <c r="AA156" s="1613" t="str">
        <f t="shared" si="163"/>
        <v>3.2.1</v>
      </c>
      <c r="AB156" s="1613" t="str">
        <f t="shared" si="164"/>
        <v>LR2 3.2</v>
      </c>
      <c r="AC156" s="1613" t="str">
        <f t="shared" si="155"/>
        <v>消火剤</v>
      </c>
      <c r="AD156" s="1759">
        <f t="shared" si="130"/>
        <v>0.33333333333333331</v>
      </c>
      <c r="AE156" s="1759">
        <f t="shared" si="131"/>
        <v>0.33333333333333331</v>
      </c>
      <c r="AF156" s="1759">
        <f t="shared" si="132"/>
        <v>0.33333333333333331</v>
      </c>
      <c r="AG156" s="1759">
        <f t="shared" si="133"/>
        <v>0.33333333333333331</v>
      </c>
      <c r="AH156" s="1759">
        <f t="shared" si="134"/>
        <v>0.33333333333333331</v>
      </c>
      <c r="AI156" s="1759">
        <f t="shared" si="135"/>
        <v>0.33333333333333331</v>
      </c>
      <c r="AJ156" s="1759">
        <f t="shared" si="141"/>
        <v>0.33333333333333331</v>
      </c>
      <c r="AK156" s="1761">
        <f t="shared" si="136"/>
        <v>0.33333333333333331</v>
      </c>
      <c r="AL156" s="1759">
        <f t="shared" si="137"/>
        <v>0.33333333333333331</v>
      </c>
      <c r="AM156" s="1759">
        <f t="shared" si="137"/>
        <v>0.33333333333333331</v>
      </c>
      <c r="AN156" s="1786">
        <f t="shared" si="138"/>
        <v>0</v>
      </c>
      <c r="AO156" s="1764">
        <f t="shared" si="139"/>
        <v>0</v>
      </c>
      <c r="AP156" s="1764">
        <f t="shared" si="140"/>
        <v>0</v>
      </c>
      <c r="AR156" s="1647" t="s">
        <v>1602</v>
      </c>
      <c r="AS156" s="1693" t="s">
        <v>378</v>
      </c>
      <c r="AT156" s="2064" t="s">
        <v>1604</v>
      </c>
      <c r="AU156" s="1623">
        <v>0.33333333333333331</v>
      </c>
      <c r="AV156" s="1623">
        <v>0.33333333333333331</v>
      </c>
      <c r="AW156" s="1623">
        <v>0.33333333333333331</v>
      </c>
      <c r="AX156" s="1623">
        <v>0.33333333333333331</v>
      </c>
      <c r="AY156" s="1623">
        <v>0.33333333333333331</v>
      </c>
      <c r="AZ156" s="1623">
        <v>0.33333333333333331</v>
      </c>
      <c r="BA156" s="1623">
        <v>0.33333333333333331</v>
      </c>
      <c r="BB156" s="1623">
        <v>0.33333333333333331</v>
      </c>
      <c r="BC156" s="1623">
        <v>0.33333333333333331</v>
      </c>
      <c r="BD156" s="1623">
        <v>0.33333333333333331</v>
      </c>
      <c r="BE156" s="1870"/>
      <c r="BF156" s="1715"/>
      <c r="BG156" s="1715"/>
      <c r="BI156" s="1647" t="s">
        <v>1602</v>
      </c>
      <c r="BJ156" s="1693" t="s">
        <v>378</v>
      </c>
      <c r="BK156" s="2064" t="s">
        <v>1604</v>
      </c>
      <c r="BL156" s="1623">
        <v>0.33333333333333331</v>
      </c>
      <c r="BM156" s="1623">
        <v>0.33333333333333331</v>
      </c>
      <c r="BN156" s="1623">
        <v>0.33333333333333331</v>
      </c>
      <c r="BO156" s="1623">
        <v>0.33333333333333331</v>
      </c>
      <c r="BP156" s="1623">
        <v>0.33333333333333331</v>
      </c>
      <c r="BQ156" s="1623">
        <v>0.33333333333333331</v>
      </c>
      <c r="BR156" s="1623">
        <v>0.33333333333333331</v>
      </c>
      <c r="BS156" s="1623">
        <v>0.33333333333333331</v>
      </c>
      <c r="BT156" s="1623">
        <v>0.33333333333333331</v>
      </c>
      <c r="BU156" s="1623">
        <v>0.33333333333333331</v>
      </c>
      <c r="BV156" s="1870"/>
      <c r="BW156" s="1715"/>
      <c r="BX156" s="1715"/>
    </row>
    <row r="157" spans="1:77" ht="13.5" customHeight="1">
      <c r="B157" s="1621" t="str">
        <f t="shared" si="156"/>
        <v>3.2.2</v>
      </c>
      <c r="C157" s="1614" t="str">
        <f t="shared" si="157"/>
        <v>発泡剤（断熱材等）</v>
      </c>
      <c r="D157" s="1721">
        <f t="shared" si="165"/>
        <v>0.33333333333333331</v>
      </c>
      <c r="E157" s="1691">
        <f t="shared" si="165"/>
        <v>0</v>
      </c>
      <c r="G157" s="1691">
        <f t="shared" si="158"/>
        <v>0.33333333333333331</v>
      </c>
      <c r="H157" s="1691">
        <f t="shared" si="158"/>
        <v>0</v>
      </c>
      <c r="I157" s="1691"/>
      <c r="J157" s="1691"/>
      <c r="K157" s="1616">
        <f>IF(スコア表示!X157=0,0,1)</f>
        <v>1</v>
      </c>
      <c r="L157" s="1616">
        <f>IF(スコア表示!AB157=0,0,1)</f>
        <v>0</v>
      </c>
      <c r="N157" s="1708">
        <f t="shared" si="166"/>
        <v>0.33333333333333331</v>
      </c>
      <c r="O157" s="1708">
        <f t="shared" si="166"/>
        <v>0</v>
      </c>
      <c r="P157" s="1616"/>
      <c r="Q157" s="1616"/>
      <c r="R157" s="1616">
        <f>IF(スコア入力!R157="EB",重み_対象外!D157,U157)</f>
        <v>4.6666666666666662E-2</v>
      </c>
      <c r="S157" s="1616">
        <f>IF(スコア入力!Y157="EB",重み_対象外!E157,V157)</f>
        <v>0</v>
      </c>
      <c r="T157" s="1560"/>
      <c r="U157" s="1614">
        <f t="shared" si="167"/>
        <v>4.6666666666666662E-2</v>
      </c>
      <c r="V157" s="1614">
        <f t="shared" si="167"/>
        <v>0</v>
      </c>
      <c r="W157" s="1560"/>
      <c r="X157" s="1616">
        <f t="shared" si="159"/>
        <v>0.33333333333333331</v>
      </c>
      <c r="Y157" s="1616">
        <f t="shared" si="160"/>
        <v>0</v>
      </c>
      <c r="Z157" s="1571"/>
      <c r="AA157" s="1613" t="str">
        <f t="shared" si="163"/>
        <v>3.2.2</v>
      </c>
      <c r="AB157" s="1613" t="str">
        <f t="shared" si="164"/>
        <v>LR2 3.2</v>
      </c>
      <c r="AC157" s="1613" t="str">
        <f t="shared" si="155"/>
        <v>発泡剤（断熱材等）</v>
      </c>
      <c r="AD157" s="1759">
        <f t="shared" si="130"/>
        <v>0.33333333333333331</v>
      </c>
      <c r="AE157" s="1759">
        <f t="shared" si="131"/>
        <v>0.33333333333333331</v>
      </c>
      <c r="AF157" s="1759">
        <f t="shared" si="132"/>
        <v>0.33333333333333331</v>
      </c>
      <c r="AG157" s="1759">
        <f t="shared" si="133"/>
        <v>0.33333333333333331</v>
      </c>
      <c r="AH157" s="1759">
        <f t="shared" si="134"/>
        <v>0.33333333333333331</v>
      </c>
      <c r="AI157" s="1759">
        <f t="shared" si="135"/>
        <v>0.33333333333333331</v>
      </c>
      <c r="AJ157" s="1759">
        <f t="shared" si="141"/>
        <v>0.33333333333333331</v>
      </c>
      <c r="AK157" s="1761">
        <f t="shared" si="136"/>
        <v>0.33333333333333331</v>
      </c>
      <c r="AL157" s="1759">
        <f t="shared" si="137"/>
        <v>0.33333333333333331</v>
      </c>
      <c r="AM157" s="1759">
        <f t="shared" si="137"/>
        <v>0.33333333333333331</v>
      </c>
      <c r="AN157" s="1786">
        <f t="shared" si="138"/>
        <v>0</v>
      </c>
      <c r="AO157" s="1764">
        <f t="shared" si="139"/>
        <v>0</v>
      </c>
      <c r="AP157" s="1764">
        <f t="shared" si="140"/>
        <v>0</v>
      </c>
      <c r="AR157" s="1647" t="s">
        <v>1605</v>
      </c>
      <c r="AS157" s="1693" t="s">
        <v>378</v>
      </c>
      <c r="AT157" s="2064" t="s">
        <v>1606</v>
      </c>
      <c r="AU157" s="1623">
        <v>0.33333333333333331</v>
      </c>
      <c r="AV157" s="1623">
        <v>0.33333333333333331</v>
      </c>
      <c r="AW157" s="1623">
        <v>0.33333333333333331</v>
      </c>
      <c r="AX157" s="1623">
        <v>0.33333333333333331</v>
      </c>
      <c r="AY157" s="1623">
        <v>0.33333333333333331</v>
      </c>
      <c r="AZ157" s="1623">
        <v>0.33333333333333331</v>
      </c>
      <c r="BA157" s="1623">
        <v>0.33333333333333331</v>
      </c>
      <c r="BB157" s="1623">
        <v>0.33333333333333331</v>
      </c>
      <c r="BC157" s="1623">
        <v>0.33333333333333331</v>
      </c>
      <c r="BD157" s="1623">
        <v>0.33333333333333331</v>
      </c>
      <c r="BE157" s="1870"/>
      <c r="BF157" s="1715"/>
      <c r="BG157" s="1715"/>
      <c r="BI157" s="1647" t="s">
        <v>1605</v>
      </c>
      <c r="BJ157" s="1693" t="s">
        <v>378</v>
      </c>
      <c r="BK157" s="2064" t="s">
        <v>1606</v>
      </c>
      <c r="BL157" s="1623">
        <v>0.33333333333333331</v>
      </c>
      <c r="BM157" s="1623">
        <v>0.33333333333333331</v>
      </c>
      <c r="BN157" s="1623">
        <v>0.33333333333333331</v>
      </c>
      <c r="BO157" s="1623">
        <v>0.33333333333333331</v>
      </c>
      <c r="BP157" s="1623">
        <v>0.33333333333333331</v>
      </c>
      <c r="BQ157" s="1623">
        <v>0.33333333333333331</v>
      </c>
      <c r="BR157" s="1623">
        <v>0.33333333333333331</v>
      </c>
      <c r="BS157" s="1623">
        <v>0.33333333333333331</v>
      </c>
      <c r="BT157" s="1623">
        <v>0.33333333333333331</v>
      </c>
      <c r="BU157" s="1623">
        <v>0.33333333333333331</v>
      </c>
      <c r="BV157" s="1870"/>
      <c r="BW157" s="1715"/>
      <c r="BX157" s="1715"/>
    </row>
    <row r="158" spans="1:77" ht="13.5" customHeight="1">
      <c r="B158" s="1621" t="str">
        <f t="shared" si="156"/>
        <v>3.2.3</v>
      </c>
      <c r="C158" s="1614" t="str">
        <f t="shared" si="157"/>
        <v>冷媒</v>
      </c>
      <c r="D158" s="1721">
        <f t="shared" si="165"/>
        <v>0.33333333333333331</v>
      </c>
      <c r="E158" s="1691">
        <f t="shared" si="165"/>
        <v>0</v>
      </c>
      <c r="G158" s="1691">
        <f t="shared" si="158"/>
        <v>0.33333333333333331</v>
      </c>
      <c r="H158" s="1691">
        <f t="shared" si="158"/>
        <v>0</v>
      </c>
      <c r="I158" s="1691"/>
      <c r="J158" s="1691"/>
      <c r="K158" s="1616">
        <f>IF(スコア表示!X158=0,0,1)</f>
        <v>1</v>
      </c>
      <c r="L158" s="1616">
        <f>IF(スコア表示!AB158=0,0,1)</f>
        <v>0</v>
      </c>
      <c r="N158" s="1708">
        <f t="shared" si="166"/>
        <v>0.33333333333333331</v>
      </c>
      <c r="O158" s="1708">
        <f t="shared" si="166"/>
        <v>0</v>
      </c>
      <c r="P158" s="1616"/>
      <c r="Q158" s="1616"/>
      <c r="R158" s="1616">
        <f>IF(スコア入力!R158="EB",重み_対象外!D158,U158)</f>
        <v>4.6666666666666662E-2</v>
      </c>
      <c r="S158" s="1616">
        <f>IF(スコア入力!Y158="EB",重み_対象外!E158,V158)</f>
        <v>0</v>
      </c>
      <c r="T158" s="1560"/>
      <c r="U158" s="1614">
        <f t="shared" si="167"/>
        <v>4.6666666666666662E-2</v>
      </c>
      <c r="V158" s="1614">
        <f t="shared" si="167"/>
        <v>0</v>
      </c>
      <c r="W158" s="1560"/>
      <c r="X158" s="1616">
        <f t="shared" si="159"/>
        <v>0.33333333333333331</v>
      </c>
      <c r="Y158" s="1616">
        <f t="shared" si="160"/>
        <v>0</v>
      </c>
      <c r="Z158" s="1571"/>
      <c r="AA158" s="1613" t="str">
        <f t="shared" si="163"/>
        <v>3.2.3</v>
      </c>
      <c r="AB158" s="1613" t="str">
        <f t="shared" si="164"/>
        <v>LR2 3.2</v>
      </c>
      <c r="AC158" s="1613" t="str">
        <f t="shared" si="155"/>
        <v>冷媒</v>
      </c>
      <c r="AD158" s="1759">
        <f t="shared" si="130"/>
        <v>0.33333333333333331</v>
      </c>
      <c r="AE158" s="1759">
        <f t="shared" si="131"/>
        <v>0.33333333333333331</v>
      </c>
      <c r="AF158" s="1759">
        <f t="shared" si="132"/>
        <v>0.33333333333333331</v>
      </c>
      <c r="AG158" s="1759">
        <f t="shared" si="133"/>
        <v>0.33333333333333331</v>
      </c>
      <c r="AH158" s="1759">
        <f t="shared" si="134"/>
        <v>0.33333333333333331</v>
      </c>
      <c r="AI158" s="1759">
        <f t="shared" si="135"/>
        <v>0.33333333333333331</v>
      </c>
      <c r="AJ158" s="1759">
        <f t="shared" si="141"/>
        <v>0.33333333333333331</v>
      </c>
      <c r="AK158" s="1761">
        <f t="shared" si="136"/>
        <v>0.33333333333333331</v>
      </c>
      <c r="AL158" s="1759">
        <f t="shared" si="137"/>
        <v>0.33333333333333331</v>
      </c>
      <c r="AM158" s="1759">
        <f t="shared" si="137"/>
        <v>0.33333333333333331</v>
      </c>
      <c r="AN158" s="1786">
        <f t="shared" si="138"/>
        <v>0</v>
      </c>
      <c r="AO158" s="1764">
        <f t="shared" si="139"/>
        <v>0</v>
      </c>
      <c r="AP158" s="1764">
        <f t="shared" si="140"/>
        <v>0</v>
      </c>
      <c r="AR158" s="1647" t="s">
        <v>1608</v>
      </c>
      <c r="AS158" s="1693" t="s">
        <v>378</v>
      </c>
      <c r="AT158" s="2064" t="s">
        <v>380</v>
      </c>
      <c r="AU158" s="1623">
        <v>0.33333333333333331</v>
      </c>
      <c r="AV158" s="1623">
        <v>0.33333333333333331</v>
      </c>
      <c r="AW158" s="1623">
        <v>0.33333333333333331</v>
      </c>
      <c r="AX158" s="1623">
        <v>0.33333333333333331</v>
      </c>
      <c r="AY158" s="1623">
        <v>0.33333333333333331</v>
      </c>
      <c r="AZ158" s="1623">
        <v>0.33333333333333331</v>
      </c>
      <c r="BA158" s="1623">
        <v>0.33333333333333331</v>
      </c>
      <c r="BB158" s="1623">
        <v>0.33333333333333331</v>
      </c>
      <c r="BC158" s="1623">
        <v>0.33333333333333331</v>
      </c>
      <c r="BD158" s="1623">
        <v>0.33333333333333331</v>
      </c>
      <c r="BE158" s="1870"/>
      <c r="BF158" s="1715"/>
      <c r="BG158" s="1715"/>
      <c r="BI158" s="1647" t="s">
        <v>1608</v>
      </c>
      <c r="BJ158" s="1693" t="s">
        <v>378</v>
      </c>
      <c r="BK158" s="2064" t="s">
        <v>380</v>
      </c>
      <c r="BL158" s="1623">
        <v>0.33333333333333331</v>
      </c>
      <c r="BM158" s="1623">
        <v>0.33333333333333331</v>
      </c>
      <c r="BN158" s="1623">
        <v>0.33333333333333331</v>
      </c>
      <c r="BO158" s="1623">
        <v>0.33333333333333331</v>
      </c>
      <c r="BP158" s="1623">
        <v>0.33333333333333331</v>
      </c>
      <c r="BQ158" s="1623">
        <v>0.33333333333333331</v>
      </c>
      <c r="BR158" s="1623">
        <v>0.33333333333333331</v>
      </c>
      <c r="BS158" s="1623">
        <v>0.33333333333333331</v>
      </c>
      <c r="BT158" s="1623">
        <v>0.33333333333333331</v>
      </c>
      <c r="BU158" s="1623">
        <v>0.33333333333333331</v>
      </c>
      <c r="BV158" s="1870"/>
      <c r="BW158" s="1715"/>
      <c r="BX158" s="1715"/>
    </row>
    <row r="159" spans="1:77" s="1605" customFormat="1" ht="13.5" customHeight="1">
      <c r="A159"/>
      <c r="B159" s="1597" t="str">
        <f t="shared" si="156"/>
        <v>LR3</v>
      </c>
      <c r="C159" s="1598" t="str">
        <f t="shared" si="157"/>
        <v>敷地外環境</v>
      </c>
      <c r="D159" s="2091">
        <f>IF(I$116=0,0,G159/I$116)</f>
        <v>0.3</v>
      </c>
      <c r="E159" s="2057">
        <f>IF(J$116=0,0,H159/J$116)</f>
        <v>0</v>
      </c>
      <c r="F159"/>
      <c r="G159" s="2057">
        <f t="shared" si="158"/>
        <v>0.3</v>
      </c>
      <c r="H159" s="2057">
        <f t="shared" si="158"/>
        <v>0</v>
      </c>
      <c r="I159" s="2057">
        <f>G160+G161+G169</f>
        <v>1</v>
      </c>
      <c r="J159" s="2057">
        <f>H160+H161+H169</f>
        <v>0</v>
      </c>
      <c r="K159" s="1600">
        <f>IF(スコア表示!X159=0,0,1)</f>
        <v>1</v>
      </c>
      <c r="L159" s="1600">
        <f>IF(スコア表示!AB159=0,0,1)</f>
        <v>0</v>
      </c>
      <c r="M159"/>
      <c r="N159" s="1731">
        <f>IF(P$116=0,0,R159/P$116)</f>
        <v>0.3</v>
      </c>
      <c r="O159" s="1731">
        <f>IF(Q$116=0,0,S159/Q$116)</f>
        <v>0</v>
      </c>
      <c r="P159" s="1600">
        <f>R160+R161+R169</f>
        <v>0.99999999999999978</v>
      </c>
      <c r="Q159" s="1600">
        <f>S160+S161+S169</f>
        <v>0</v>
      </c>
      <c r="R159" s="1600">
        <f>IF(スコア入力!R159="EB",重み_対象外!D159,U159)</f>
        <v>0.3</v>
      </c>
      <c r="S159" s="1600">
        <f>IF(スコア入力!Y159="EB",重み_対象外!E159,V159)</f>
        <v>0</v>
      </c>
      <c r="T159" s="1560"/>
      <c r="U159" s="1753">
        <f>X159</f>
        <v>0.3</v>
      </c>
      <c r="V159" s="1753">
        <f>Y159</f>
        <v>0</v>
      </c>
      <c r="W159" s="1560"/>
      <c r="X159" s="1600">
        <f t="shared" si="159"/>
        <v>0.3</v>
      </c>
      <c r="Y159" s="1600">
        <f t="shared" si="160"/>
        <v>0</v>
      </c>
      <c r="Z159" s="1601"/>
      <c r="AA159" s="1681" t="str">
        <f t="shared" si="163"/>
        <v>LR3</v>
      </c>
      <c r="AB159" s="1681" t="str">
        <f t="shared" si="164"/>
        <v>LR</v>
      </c>
      <c r="AC159" s="1602" t="str">
        <f t="shared" si="155"/>
        <v>敷地外環境</v>
      </c>
      <c r="AD159" s="1754">
        <f t="shared" si="130"/>
        <v>0.3</v>
      </c>
      <c r="AE159" s="1754">
        <f t="shared" si="131"/>
        <v>0.3</v>
      </c>
      <c r="AF159" s="1754">
        <f t="shared" si="132"/>
        <v>0.3</v>
      </c>
      <c r="AG159" s="1754">
        <f t="shared" si="133"/>
        <v>0.3</v>
      </c>
      <c r="AH159" s="1754">
        <f t="shared" si="134"/>
        <v>0.3</v>
      </c>
      <c r="AI159" s="1754">
        <f t="shared" si="135"/>
        <v>0.3</v>
      </c>
      <c r="AJ159" s="1754">
        <f t="shared" si="141"/>
        <v>0.3</v>
      </c>
      <c r="AK159" s="1754">
        <f t="shared" si="136"/>
        <v>0.3</v>
      </c>
      <c r="AL159" s="1754">
        <f t="shared" si="137"/>
        <v>0.3</v>
      </c>
      <c r="AM159" s="1754">
        <f t="shared" si="137"/>
        <v>0.3</v>
      </c>
      <c r="AN159" s="1782">
        <f t="shared" si="138"/>
        <v>0</v>
      </c>
      <c r="AO159" s="1783">
        <f t="shared" si="139"/>
        <v>0</v>
      </c>
      <c r="AP159" s="1783">
        <f t="shared" si="140"/>
        <v>0</v>
      </c>
      <c r="AQ159" s="1685"/>
      <c r="AR159" s="1598" t="s">
        <v>1609</v>
      </c>
      <c r="AS159" s="2094" t="s">
        <v>1567</v>
      </c>
      <c r="AT159" s="2058" t="s">
        <v>1610</v>
      </c>
      <c r="AU159" s="2060">
        <v>0.3</v>
      </c>
      <c r="AV159" s="2060">
        <v>0.3</v>
      </c>
      <c r="AW159" s="2060">
        <v>0.3</v>
      </c>
      <c r="AX159" s="2060">
        <v>0.3</v>
      </c>
      <c r="AY159" s="2060">
        <v>0.3</v>
      </c>
      <c r="AZ159" s="2060">
        <v>0.3</v>
      </c>
      <c r="BA159" s="2060">
        <v>0.3</v>
      </c>
      <c r="BB159" s="2060">
        <v>0.3</v>
      </c>
      <c r="BC159" s="2060">
        <v>0.3</v>
      </c>
      <c r="BD159" s="2060">
        <v>0.3</v>
      </c>
      <c r="BE159" s="2096"/>
      <c r="BF159" s="2097"/>
      <c r="BG159" s="2097"/>
      <c r="BH159"/>
      <c r="BI159" s="1598" t="s">
        <v>1609</v>
      </c>
      <c r="BJ159" s="2094" t="s">
        <v>1567</v>
      </c>
      <c r="BK159" s="2058" t="s">
        <v>1610</v>
      </c>
      <c r="BL159" s="2060">
        <v>0.3</v>
      </c>
      <c r="BM159" s="2060">
        <v>0.3</v>
      </c>
      <c r="BN159" s="2060">
        <v>0.3</v>
      </c>
      <c r="BO159" s="2060">
        <v>0.3</v>
      </c>
      <c r="BP159" s="2060">
        <v>0.3</v>
      </c>
      <c r="BQ159" s="2060">
        <v>0.3</v>
      </c>
      <c r="BR159" s="2060">
        <v>0.3</v>
      </c>
      <c r="BS159" s="2060">
        <v>0.3</v>
      </c>
      <c r="BT159" s="2060">
        <v>0.3</v>
      </c>
      <c r="BU159" s="2060">
        <v>0.3</v>
      </c>
      <c r="BV159" s="2096"/>
      <c r="BW159" s="2097"/>
      <c r="BX159" s="2097"/>
      <c r="BY159"/>
    </row>
    <row r="160" spans="1:77" s="1605" customFormat="1" ht="13.5" customHeight="1">
      <c r="A160"/>
      <c r="B160" s="1732">
        <f t="shared" si="156"/>
        <v>1</v>
      </c>
      <c r="C160" s="1641" t="str">
        <f t="shared" si="157"/>
        <v>地球温暖化への配慮</v>
      </c>
      <c r="D160" s="2062">
        <f>IF(I$159=0,0,G160/I$159)</f>
        <v>0.33333333333333337</v>
      </c>
      <c r="E160" s="2062">
        <f>IF(J$159=0,0,H160/J$159)</f>
        <v>0</v>
      </c>
      <c r="F160"/>
      <c r="G160" s="1743">
        <f t="shared" si="158"/>
        <v>0.33333333333333337</v>
      </c>
      <c r="H160" s="1743">
        <f t="shared" si="158"/>
        <v>0</v>
      </c>
      <c r="I160" s="1743"/>
      <c r="J160" s="1743"/>
      <c r="K160" s="1609">
        <f>IF(スコア表示!X160=0,0,1)</f>
        <v>1</v>
      </c>
      <c r="L160" s="1609">
        <f>IF(スコア表示!AB160=0,0,1)</f>
        <v>0</v>
      </c>
      <c r="M160"/>
      <c r="N160" s="1707">
        <f>IF(P$159=0,0,R160/P$159)</f>
        <v>0.33333333333333337</v>
      </c>
      <c r="O160" s="1707">
        <f>IF(Q$159=0,0,S160/Q$159)</f>
        <v>0</v>
      </c>
      <c r="P160" s="1609"/>
      <c r="Q160" s="1609"/>
      <c r="R160" s="1609">
        <f>IF(スコア入力!R160="EB",重み_対象外!D160,U160)</f>
        <v>0.33333333333333331</v>
      </c>
      <c r="S160" s="1609">
        <f>IF(スコア入力!Y160="EB",重み_対象外!E160,V160)</f>
        <v>0</v>
      </c>
      <c r="T160" s="1560"/>
      <c r="U160" s="1710">
        <f>X160</f>
        <v>0.33333333333333331</v>
      </c>
      <c r="V160" s="1710">
        <f>Y160</f>
        <v>0</v>
      </c>
      <c r="W160" s="1560"/>
      <c r="X160" s="1609">
        <f t="shared" si="159"/>
        <v>0.33333333333333331</v>
      </c>
      <c r="Y160" s="1609">
        <f t="shared" si="160"/>
        <v>0</v>
      </c>
      <c r="Z160" s="1601"/>
      <c r="AA160" s="1674">
        <f t="shared" si="163"/>
        <v>1</v>
      </c>
      <c r="AB160" s="1606" t="str">
        <f t="shared" si="164"/>
        <v>LR3</v>
      </c>
      <c r="AC160" s="1606" t="str">
        <f t="shared" si="155"/>
        <v>地球温暖化への配慮</v>
      </c>
      <c r="AD160" s="1765">
        <f t="shared" si="130"/>
        <v>0.33333333333333331</v>
      </c>
      <c r="AE160" s="1765">
        <f t="shared" si="131"/>
        <v>0.33333333333333331</v>
      </c>
      <c r="AF160" s="1765">
        <f t="shared" si="132"/>
        <v>0.33333333333333331</v>
      </c>
      <c r="AG160" s="1765">
        <f t="shared" si="133"/>
        <v>0.33333333333333331</v>
      </c>
      <c r="AH160" s="1765">
        <f t="shared" si="134"/>
        <v>0.33333333333333331</v>
      </c>
      <c r="AI160" s="1765">
        <f t="shared" si="135"/>
        <v>0.33333333333333331</v>
      </c>
      <c r="AJ160" s="1765">
        <f t="shared" si="141"/>
        <v>0.33333333333333331</v>
      </c>
      <c r="AK160" s="1757">
        <f t="shared" si="136"/>
        <v>0.33333333333333331</v>
      </c>
      <c r="AL160" s="1765">
        <f t="shared" si="137"/>
        <v>0.33333333333333331</v>
      </c>
      <c r="AM160" s="1765">
        <f t="shared" si="137"/>
        <v>0.33333333333333331</v>
      </c>
      <c r="AN160" s="1766">
        <f t="shared" si="138"/>
        <v>0</v>
      </c>
      <c r="AO160" s="1765">
        <f t="shared" si="139"/>
        <v>0</v>
      </c>
      <c r="AP160" s="1765">
        <f t="shared" si="140"/>
        <v>0</v>
      </c>
      <c r="AQ160" s="1685"/>
      <c r="AR160" s="1641">
        <v>1</v>
      </c>
      <c r="AS160" s="1744" t="s">
        <v>381</v>
      </c>
      <c r="AT160" s="1780" t="s">
        <v>1149</v>
      </c>
      <c r="AU160" s="1711">
        <f t="shared" ref="AU160:BD161" si="168">1/3</f>
        <v>0.33333333333333331</v>
      </c>
      <c r="AV160" s="1711">
        <f t="shared" si="168"/>
        <v>0.33333333333333331</v>
      </c>
      <c r="AW160" s="1711">
        <f t="shared" si="168"/>
        <v>0.33333333333333331</v>
      </c>
      <c r="AX160" s="1711">
        <f t="shared" si="168"/>
        <v>0.33333333333333331</v>
      </c>
      <c r="AY160" s="1711">
        <f t="shared" si="168"/>
        <v>0.33333333333333331</v>
      </c>
      <c r="AZ160" s="1711">
        <f t="shared" si="168"/>
        <v>0.33333333333333331</v>
      </c>
      <c r="BA160" s="1711">
        <f t="shared" si="168"/>
        <v>0.33333333333333331</v>
      </c>
      <c r="BB160" s="1711">
        <f t="shared" si="168"/>
        <v>0.33333333333333331</v>
      </c>
      <c r="BC160" s="1711">
        <f t="shared" si="168"/>
        <v>0.33333333333333331</v>
      </c>
      <c r="BD160" s="1711">
        <f t="shared" si="168"/>
        <v>0.33333333333333331</v>
      </c>
      <c r="BE160" s="2063"/>
      <c r="BF160" s="1711"/>
      <c r="BG160" s="1711"/>
      <c r="BH160"/>
      <c r="BI160" s="1641">
        <v>1</v>
      </c>
      <c r="BJ160" s="1744" t="s">
        <v>381</v>
      </c>
      <c r="BK160" s="1780" t="s">
        <v>1149</v>
      </c>
      <c r="BL160" s="1711">
        <f t="shared" ref="BL160:BU161" si="169">1/3</f>
        <v>0.33333333333333331</v>
      </c>
      <c r="BM160" s="1711">
        <f t="shared" si="169"/>
        <v>0.33333333333333331</v>
      </c>
      <c r="BN160" s="1711">
        <f t="shared" si="169"/>
        <v>0.33333333333333331</v>
      </c>
      <c r="BO160" s="1711">
        <f t="shared" si="169"/>
        <v>0.33333333333333331</v>
      </c>
      <c r="BP160" s="1711">
        <f t="shared" si="169"/>
        <v>0.33333333333333331</v>
      </c>
      <c r="BQ160" s="1711">
        <f t="shared" si="169"/>
        <v>0.33333333333333331</v>
      </c>
      <c r="BR160" s="1711">
        <f t="shared" si="169"/>
        <v>0.33333333333333331</v>
      </c>
      <c r="BS160" s="1711">
        <f t="shared" si="169"/>
        <v>0.33333333333333331</v>
      </c>
      <c r="BT160" s="1711">
        <f t="shared" si="169"/>
        <v>0.33333333333333331</v>
      </c>
      <c r="BU160" s="1711">
        <f t="shared" si="169"/>
        <v>0.33333333333333331</v>
      </c>
      <c r="BV160" s="2063"/>
      <c r="BW160" s="1711"/>
      <c r="BX160" s="1711"/>
      <c r="BY160"/>
    </row>
    <row r="161" spans="1:77" s="1605" customFormat="1" ht="13.5" customHeight="1">
      <c r="A161"/>
      <c r="B161" s="1732">
        <f t="shared" si="156"/>
        <v>2</v>
      </c>
      <c r="C161" s="1641" t="str">
        <f t="shared" si="157"/>
        <v>地域環境への配慮</v>
      </c>
      <c r="D161" s="2062">
        <f>IF(I$159=0,0,G161/I$159)</f>
        <v>0.33333333333333331</v>
      </c>
      <c r="E161" s="2062">
        <f>IF(J$159=0,0,H161/J$159)</f>
        <v>0</v>
      </c>
      <c r="F161"/>
      <c r="G161" s="1743">
        <f t="shared" si="158"/>
        <v>0.33333333333333331</v>
      </c>
      <c r="H161" s="1743">
        <f t="shared" si="158"/>
        <v>0</v>
      </c>
      <c r="I161" s="1743">
        <f>G162+G163+G164</f>
        <v>1.0000000000000002</v>
      </c>
      <c r="J161" s="1743">
        <f>H162+H163+H164</f>
        <v>0</v>
      </c>
      <c r="K161" s="1609">
        <f>IF(スコア表示!X161=0,0,1)</f>
        <v>1</v>
      </c>
      <c r="L161" s="1609">
        <f>IF(スコア表示!AB161=0,0,1)</f>
        <v>0</v>
      </c>
      <c r="M161"/>
      <c r="N161" s="1707">
        <f>IF(P$159=0,0,R161/P$159)</f>
        <v>0.33333333333333331</v>
      </c>
      <c r="O161" s="1707">
        <f>IF(Q$159=0,0,S161/Q$159)</f>
        <v>0</v>
      </c>
      <c r="P161" s="1609">
        <f>SUM(R162:R168)</f>
        <v>0.33333333333333326</v>
      </c>
      <c r="Q161" s="1609">
        <f>SUM(S162:S168)</f>
        <v>0</v>
      </c>
      <c r="R161" s="1609">
        <f>IF(スコア入力!R161="EB",重み_対象外!D161,U161)</f>
        <v>0.33333333333333326</v>
      </c>
      <c r="S161" s="1609">
        <f>IF(スコア入力!Y161="EB",重み_対象外!E161,V161)</f>
        <v>0</v>
      </c>
      <c r="T161" s="1560"/>
      <c r="U161" s="1710">
        <f>SUM(U162:U168)</f>
        <v>0.33333333333333326</v>
      </c>
      <c r="V161" s="1710">
        <f>SUM(V162:V168)</f>
        <v>0</v>
      </c>
      <c r="W161" s="1560"/>
      <c r="X161" s="1609">
        <f t="shared" si="159"/>
        <v>0.33333333333333331</v>
      </c>
      <c r="Y161" s="1609">
        <f t="shared" si="160"/>
        <v>0</v>
      </c>
      <c r="Z161" s="1601"/>
      <c r="AA161" s="1674">
        <f t="shared" si="163"/>
        <v>2</v>
      </c>
      <c r="AB161" s="1606" t="str">
        <f t="shared" si="164"/>
        <v>LR3</v>
      </c>
      <c r="AC161" s="1606" t="str">
        <f t="shared" si="155"/>
        <v>地域環境への配慮</v>
      </c>
      <c r="AD161" s="1765">
        <f t="shared" si="130"/>
        <v>0.33333333333333331</v>
      </c>
      <c r="AE161" s="1765">
        <f t="shared" si="131"/>
        <v>0.33333333333333331</v>
      </c>
      <c r="AF161" s="1765">
        <f t="shared" si="132"/>
        <v>0.33333333333333331</v>
      </c>
      <c r="AG161" s="1765">
        <f t="shared" si="133"/>
        <v>0.33333333333333331</v>
      </c>
      <c r="AH161" s="1765">
        <f t="shared" si="134"/>
        <v>0.33333333333333331</v>
      </c>
      <c r="AI161" s="1765">
        <f t="shared" si="135"/>
        <v>0.33333333333333331</v>
      </c>
      <c r="AJ161" s="1765">
        <f t="shared" si="141"/>
        <v>0.33333333333333331</v>
      </c>
      <c r="AK161" s="1757">
        <f t="shared" si="136"/>
        <v>0.33333333333333331</v>
      </c>
      <c r="AL161" s="1765">
        <f t="shared" si="137"/>
        <v>0.33333333333333331</v>
      </c>
      <c r="AM161" s="1765">
        <f t="shared" si="137"/>
        <v>0.33333333333333331</v>
      </c>
      <c r="AN161" s="1766">
        <f t="shared" si="138"/>
        <v>0</v>
      </c>
      <c r="AO161" s="1765">
        <f t="shared" si="139"/>
        <v>0</v>
      </c>
      <c r="AP161" s="1765">
        <f t="shared" si="140"/>
        <v>0</v>
      </c>
      <c r="AQ161" s="1685"/>
      <c r="AR161" s="1641">
        <v>2</v>
      </c>
      <c r="AS161" s="1744" t="s">
        <v>381</v>
      </c>
      <c r="AT161" s="1780" t="s">
        <v>1150</v>
      </c>
      <c r="AU161" s="1711">
        <f t="shared" si="168"/>
        <v>0.33333333333333331</v>
      </c>
      <c r="AV161" s="1711">
        <f t="shared" si="168"/>
        <v>0.33333333333333331</v>
      </c>
      <c r="AW161" s="1711">
        <f t="shared" si="168"/>
        <v>0.33333333333333331</v>
      </c>
      <c r="AX161" s="1711">
        <f t="shared" si="168"/>
        <v>0.33333333333333331</v>
      </c>
      <c r="AY161" s="1711">
        <f t="shared" si="168"/>
        <v>0.33333333333333331</v>
      </c>
      <c r="AZ161" s="1711">
        <f t="shared" si="168"/>
        <v>0.33333333333333331</v>
      </c>
      <c r="BA161" s="1711">
        <f t="shared" si="168"/>
        <v>0.33333333333333331</v>
      </c>
      <c r="BB161" s="1711">
        <f t="shared" si="168"/>
        <v>0.33333333333333331</v>
      </c>
      <c r="BC161" s="1711">
        <f t="shared" si="168"/>
        <v>0.33333333333333331</v>
      </c>
      <c r="BD161" s="1711">
        <f t="shared" si="168"/>
        <v>0.33333333333333331</v>
      </c>
      <c r="BE161" s="2063"/>
      <c r="BF161" s="1711"/>
      <c r="BG161" s="1711"/>
      <c r="BH161"/>
      <c r="BI161" s="1641">
        <v>2</v>
      </c>
      <c r="BJ161" s="1744" t="s">
        <v>381</v>
      </c>
      <c r="BK161" s="1780" t="s">
        <v>1150</v>
      </c>
      <c r="BL161" s="1711">
        <f t="shared" si="169"/>
        <v>0.33333333333333331</v>
      </c>
      <c r="BM161" s="1711">
        <f t="shared" si="169"/>
        <v>0.33333333333333331</v>
      </c>
      <c r="BN161" s="1711">
        <f t="shared" si="169"/>
        <v>0.33333333333333331</v>
      </c>
      <c r="BO161" s="1711">
        <f t="shared" si="169"/>
        <v>0.33333333333333331</v>
      </c>
      <c r="BP161" s="1711">
        <f t="shared" si="169"/>
        <v>0.33333333333333331</v>
      </c>
      <c r="BQ161" s="1711">
        <f t="shared" si="169"/>
        <v>0.33333333333333331</v>
      </c>
      <c r="BR161" s="1711">
        <f t="shared" si="169"/>
        <v>0.33333333333333331</v>
      </c>
      <c r="BS161" s="1711">
        <f t="shared" si="169"/>
        <v>0.33333333333333331</v>
      </c>
      <c r="BT161" s="1711">
        <f t="shared" si="169"/>
        <v>0.33333333333333331</v>
      </c>
      <c r="BU161" s="1711">
        <f t="shared" si="169"/>
        <v>0.33333333333333331</v>
      </c>
      <c r="BV161" s="2063"/>
      <c r="BW161" s="1711"/>
      <c r="BX161" s="1711"/>
      <c r="BY161"/>
    </row>
    <row r="162" spans="1:77" ht="13.5" customHeight="1">
      <c r="B162" s="1617" t="str">
        <f t="shared" si="156"/>
        <v>2.1</v>
      </c>
      <c r="C162" s="1647" t="str">
        <f t="shared" si="157"/>
        <v>大気汚染防止</v>
      </c>
      <c r="D162" s="1716">
        <f t="shared" ref="D162:E164" si="170">IF(I$161=0,0,G162/I$161)</f>
        <v>0.25</v>
      </c>
      <c r="E162" s="1716">
        <f t="shared" si="170"/>
        <v>0</v>
      </c>
      <c r="G162" s="1691">
        <f t="shared" si="158"/>
        <v>0.25000000000000006</v>
      </c>
      <c r="H162" s="1691">
        <f t="shared" si="158"/>
        <v>0</v>
      </c>
      <c r="I162" s="1691"/>
      <c r="J162" s="1691"/>
      <c r="K162" s="1616">
        <f>IF(スコア表示!X162=0,0,1)</f>
        <v>1</v>
      </c>
      <c r="L162" s="1616">
        <f>IF(スコア表示!AB162=0,0,1)</f>
        <v>0</v>
      </c>
      <c r="N162" s="1713">
        <f>IF(P$161=0,0,R162/P$161)</f>
        <v>0.25000000000000006</v>
      </c>
      <c r="O162" s="1713">
        <f>IF(Q$161=0,0,S162/Q$161)</f>
        <v>0</v>
      </c>
      <c r="P162" s="1616"/>
      <c r="Q162" s="1616"/>
      <c r="R162" s="1616">
        <f>IF(スコア入力!R162="EB",重み_対象外!D162,U162)</f>
        <v>8.3333333333333329E-2</v>
      </c>
      <c r="S162" s="1616">
        <f>IF(スコア入力!Y162="EB",重み_対象外!E162,V162)</f>
        <v>0</v>
      </c>
      <c r="T162" s="1560"/>
      <c r="U162" s="1614">
        <f>X$161*X162</f>
        <v>8.3333333333333329E-2</v>
      </c>
      <c r="V162" s="1614">
        <f>Y$161*Y162</f>
        <v>0</v>
      </c>
      <c r="W162" s="1560"/>
      <c r="X162" s="1616">
        <f t="shared" si="159"/>
        <v>0.25</v>
      </c>
      <c r="Y162" s="1616">
        <f t="shared" si="160"/>
        <v>0</v>
      </c>
      <c r="Z162" s="1571"/>
      <c r="AA162" s="1613" t="str">
        <f t="shared" si="163"/>
        <v>2.1</v>
      </c>
      <c r="AB162" s="1613" t="str">
        <f t="shared" si="164"/>
        <v>LR3 2</v>
      </c>
      <c r="AC162" s="1613" t="str">
        <f t="shared" si="155"/>
        <v>大気汚染防止</v>
      </c>
      <c r="AD162" s="1759">
        <f t="shared" si="130"/>
        <v>0.25</v>
      </c>
      <c r="AE162" s="1759">
        <f t="shared" si="131"/>
        <v>0.25</v>
      </c>
      <c r="AF162" s="1759">
        <f t="shared" si="132"/>
        <v>0.25</v>
      </c>
      <c r="AG162" s="1759">
        <f t="shared" si="133"/>
        <v>0.25</v>
      </c>
      <c r="AH162" s="1759">
        <f t="shared" si="134"/>
        <v>0.25</v>
      </c>
      <c r="AI162" s="1759">
        <f t="shared" si="135"/>
        <v>0.25</v>
      </c>
      <c r="AJ162" s="1759">
        <f t="shared" si="141"/>
        <v>0.25</v>
      </c>
      <c r="AK162" s="1761">
        <f t="shared" si="136"/>
        <v>0.25</v>
      </c>
      <c r="AL162" s="1759">
        <f t="shared" si="137"/>
        <v>0.25</v>
      </c>
      <c r="AM162" s="1759">
        <f t="shared" si="137"/>
        <v>0.25</v>
      </c>
      <c r="AN162" s="1760">
        <f t="shared" si="138"/>
        <v>0</v>
      </c>
      <c r="AO162" s="1759">
        <f t="shared" si="139"/>
        <v>0</v>
      </c>
      <c r="AP162" s="1759">
        <f t="shared" si="140"/>
        <v>0</v>
      </c>
      <c r="AR162" s="1630" t="s">
        <v>1571</v>
      </c>
      <c r="AS162" s="1693" t="s">
        <v>382</v>
      </c>
      <c r="AT162" s="1737" t="s">
        <v>1151</v>
      </c>
      <c r="AU162" s="1623">
        <v>0.25</v>
      </c>
      <c r="AV162" s="1623">
        <v>0.25</v>
      </c>
      <c r="AW162" s="1623">
        <v>0.25</v>
      </c>
      <c r="AX162" s="1623">
        <v>0.25</v>
      </c>
      <c r="AY162" s="1623">
        <v>0.25</v>
      </c>
      <c r="AZ162" s="1623">
        <v>0.25</v>
      </c>
      <c r="BA162" s="1623">
        <v>0.25</v>
      </c>
      <c r="BB162" s="1623">
        <v>0.25</v>
      </c>
      <c r="BC162" s="1623">
        <v>0.25</v>
      </c>
      <c r="BD162" s="1623">
        <v>0.25</v>
      </c>
      <c r="BE162" s="1625"/>
      <c r="BF162" s="1623"/>
      <c r="BG162" s="1623"/>
      <c r="BI162" s="1630" t="s">
        <v>1571</v>
      </c>
      <c r="BJ162" s="1693" t="s">
        <v>382</v>
      </c>
      <c r="BK162" s="1737" t="s">
        <v>1151</v>
      </c>
      <c r="BL162" s="1623">
        <v>0.25</v>
      </c>
      <c r="BM162" s="1623">
        <v>0.25</v>
      </c>
      <c r="BN162" s="1623">
        <v>0.25</v>
      </c>
      <c r="BO162" s="1623">
        <v>0.25</v>
      </c>
      <c r="BP162" s="1623">
        <v>0.25</v>
      </c>
      <c r="BQ162" s="1623">
        <v>0.25</v>
      </c>
      <c r="BR162" s="1623">
        <v>0.25</v>
      </c>
      <c r="BS162" s="1623">
        <v>0.25</v>
      </c>
      <c r="BT162" s="1623">
        <v>0.25</v>
      </c>
      <c r="BU162" s="1623">
        <v>0.25</v>
      </c>
      <c r="BV162" s="1625"/>
      <c r="BW162" s="1623"/>
      <c r="BX162" s="1623"/>
    </row>
    <row r="163" spans="1:77" ht="13.5" customHeight="1">
      <c r="B163" s="1617" t="str">
        <f t="shared" si="156"/>
        <v>2.2</v>
      </c>
      <c r="C163" s="1647" t="str">
        <f t="shared" si="157"/>
        <v>温熱環境悪化の改善</v>
      </c>
      <c r="D163" s="1716">
        <f t="shared" si="170"/>
        <v>0.5</v>
      </c>
      <c r="E163" s="1716">
        <f t="shared" si="170"/>
        <v>0</v>
      </c>
      <c r="G163" s="1691">
        <f t="shared" si="158"/>
        <v>0.50000000000000011</v>
      </c>
      <c r="H163" s="1691">
        <f t="shared" si="158"/>
        <v>0</v>
      </c>
      <c r="I163" s="1691"/>
      <c r="J163" s="1691"/>
      <c r="K163" s="1616">
        <f>IF(スコア表示!X163=0,0,1)</f>
        <v>1</v>
      </c>
      <c r="L163" s="1616">
        <f>IF(スコア表示!AB163=0,0,1)</f>
        <v>0</v>
      </c>
      <c r="N163" s="1713">
        <f>IF(P$161=0,0,R163/P$161)</f>
        <v>0.50000000000000011</v>
      </c>
      <c r="O163" s="1713">
        <f>IF(Q$161=0,0,S163/Q$161)</f>
        <v>0</v>
      </c>
      <c r="P163" s="1616"/>
      <c r="Q163" s="1616"/>
      <c r="R163" s="1616">
        <f>IF(スコア入力!R163="EB",重み_対象外!D163,U163)</f>
        <v>0.16666666666666666</v>
      </c>
      <c r="S163" s="1616">
        <f>IF(スコア入力!Y163="EB",重み_対象外!E163,V163)</f>
        <v>0</v>
      </c>
      <c r="T163" s="1560"/>
      <c r="U163" s="1614">
        <f>X$161*X163</f>
        <v>0.16666666666666666</v>
      </c>
      <c r="V163" s="1614">
        <f>Y$161*Y163</f>
        <v>0</v>
      </c>
      <c r="W163" s="1560"/>
      <c r="X163" s="1616">
        <f t="shared" si="159"/>
        <v>0.5</v>
      </c>
      <c r="Y163" s="1616">
        <f t="shared" si="160"/>
        <v>0</v>
      </c>
      <c r="Z163" s="1571"/>
      <c r="AA163" s="1613" t="str">
        <f t="shared" si="163"/>
        <v>2.2</v>
      </c>
      <c r="AB163" s="1613" t="str">
        <f t="shared" si="164"/>
        <v>LR3 2</v>
      </c>
      <c r="AC163" s="1613" t="str">
        <f t="shared" ref="AC163:AC180" si="171">IF($AA$3=1,AT163,BK163)</f>
        <v>温熱環境悪化の改善</v>
      </c>
      <c r="AD163" s="1759">
        <f t="shared" ref="AD163:AD180" si="172">IF($AA$3=1,AU163,BL163)</f>
        <v>0.5</v>
      </c>
      <c r="AE163" s="1759">
        <f t="shared" ref="AE163:AE180" si="173">IF($AA$3=1,AV163,BM163)</f>
        <v>0.5</v>
      </c>
      <c r="AF163" s="1759">
        <f t="shared" ref="AF163:AF180" si="174">IF($AA$3=1,AW163,BN163)</f>
        <v>0.5</v>
      </c>
      <c r="AG163" s="1759">
        <f t="shared" ref="AG163:AG180" si="175">IF($AA$3=1,AX163,BO163)</f>
        <v>0.5</v>
      </c>
      <c r="AH163" s="1759">
        <f t="shared" ref="AH163:AH180" si="176">IF($AA$3=1,AY163,BP163)</f>
        <v>0.5</v>
      </c>
      <c r="AI163" s="1759">
        <f t="shared" ref="AI163:AI180" si="177">IF($AA$3=1,AZ163,BQ163)</f>
        <v>0.5</v>
      </c>
      <c r="AJ163" s="1759">
        <f t="shared" si="141"/>
        <v>0.5</v>
      </c>
      <c r="AK163" s="1761">
        <f t="shared" ref="AK163:AK180" si="178">IF($AA$3=1,BB163,BS163)</f>
        <v>0.5</v>
      </c>
      <c r="AL163" s="1759">
        <f t="shared" ref="AL163:AM180" si="179">IF($AA$3=1,BC163,BT163)</f>
        <v>0.5</v>
      </c>
      <c r="AM163" s="1759">
        <f t="shared" si="179"/>
        <v>0.5</v>
      </c>
      <c r="AN163" s="1760">
        <f t="shared" si="138"/>
        <v>0</v>
      </c>
      <c r="AO163" s="1759">
        <f t="shared" si="139"/>
        <v>0</v>
      </c>
      <c r="AP163" s="1759">
        <f t="shared" si="140"/>
        <v>0</v>
      </c>
      <c r="AR163" s="1630" t="s">
        <v>1573</v>
      </c>
      <c r="AS163" s="1693" t="s">
        <v>382</v>
      </c>
      <c r="AT163" s="1737" t="s">
        <v>1611</v>
      </c>
      <c r="AU163" s="2087">
        <v>0.5</v>
      </c>
      <c r="AV163" s="2087">
        <v>0.5</v>
      </c>
      <c r="AW163" s="2087">
        <v>0.5</v>
      </c>
      <c r="AX163" s="2087">
        <v>0.5</v>
      </c>
      <c r="AY163" s="2087">
        <v>0.5</v>
      </c>
      <c r="AZ163" s="2087">
        <v>0.5</v>
      </c>
      <c r="BA163" s="2087">
        <v>0.5</v>
      </c>
      <c r="BB163" s="2087">
        <v>0.5</v>
      </c>
      <c r="BC163" s="2087">
        <v>0.5</v>
      </c>
      <c r="BD163" s="2087">
        <v>0.5</v>
      </c>
      <c r="BE163" s="2088"/>
      <c r="BF163" s="2087"/>
      <c r="BG163" s="2087"/>
      <c r="BI163" s="1630" t="s">
        <v>1573</v>
      </c>
      <c r="BJ163" s="1693" t="s">
        <v>382</v>
      </c>
      <c r="BK163" s="1737" t="s">
        <v>1611</v>
      </c>
      <c r="BL163" s="2087">
        <v>0.5</v>
      </c>
      <c r="BM163" s="2087">
        <v>0.5</v>
      </c>
      <c r="BN163" s="2087">
        <v>0.5</v>
      </c>
      <c r="BO163" s="2087">
        <v>0.5</v>
      </c>
      <c r="BP163" s="2087">
        <v>0.5</v>
      </c>
      <c r="BQ163" s="2087">
        <v>0.5</v>
      </c>
      <c r="BR163" s="2087">
        <v>0.5</v>
      </c>
      <c r="BS163" s="2087">
        <v>0.5</v>
      </c>
      <c r="BT163" s="2087">
        <v>0.5</v>
      </c>
      <c r="BU163" s="2087">
        <v>0.5</v>
      </c>
      <c r="BV163" s="2088"/>
      <c r="BW163" s="2087"/>
      <c r="BX163" s="2087"/>
    </row>
    <row r="164" spans="1:77" ht="13.5" customHeight="1">
      <c r="B164" s="1617" t="str">
        <f t="shared" si="156"/>
        <v>2.3</v>
      </c>
      <c r="C164" s="1647" t="str">
        <f t="shared" si="157"/>
        <v>地域インフラへの負荷抑制</v>
      </c>
      <c r="D164" s="1716">
        <f t="shared" si="170"/>
        <v>0.25</v>
      </c>
      <c r="E164" s="1716">
        <f t="shared" si="170"/>
        <v>0</v>
      </c>
      <c r="G164" s="1691">
        <f t="shared" si="158"/>
        <v>0.25000000000000006</v>
      </c>
      <c r="H164" s="1691">
        <f t="shared" si="158"/>
        <v>0</v>
      </c>
      <c r="I164" s="1691">
        <f>SUM(G165:G168)</f>
        <v>1</v>
      </c>
      <c r="J164" s="1691">
        <f>SUM(H165:H168)</f>
        <v>0</v>
      </c>
      <c r="K164" s="1616">
        <f>IF(スコア表示!X164=0,0,1)</f>
        <v>1</v>
      </c>
      <c r="L164" s="1616">
        <f>IF(スコア表示!AB164=0,0,1)</f>
        <v>0</v>
      </c>
      <c r="N164" s="1713">
        <f>IF(P$161=0,0,P164/P$161)</f>
        <v>0.25000000000000006</v>
      </c>
      <c r="O164" s="1713">
        <f>IF(Q$161=0,0,Q164/Q$161)</f>
        <v>0</v>
      </c>
      <c r="P164" s="1616">
        <f>SUM(R165:R168)</f>
        <v>8.3333333333333329E-2</v>
      </c>
      <c r="Q164" s="1616">
        <f>SUM(S165:S168)</f>
        <v>0</v>
      </c>
      <c r="R164" s="1616">
        <f>IF(スコア入力!R164="EB",重み_対象外!D164,U164)</f>
        <v>0</v>
      </c>
      <c r="S164" s="1616">
        <f>IF(スコア入力!Y164="EB",重み_対象外!E164,V164)</f>
        <v>0</v>
      </c>
      <c r="T164" s="1560"/>
      <c r="U164" s="1614"/>
      <c r="V164" s="1614"/>
      <c r="W164" s="1560"/>
      <c r="X164" s="1616">
        <f t="shared" si="159"/>
        <v>0.25</v>
      </c>
      <c r="Y164" s="1616">
        <f t="shared" si="160"/>
        <v>0</v>
      </c>
      <c r="Z164" s="1571"/>
      <c r="AA164" s="1613" t="str">
        <f t="shared" si="163"/>
        <v>2.3</v>
      </c>
      <c r="AB164" s="1613" t="str">
        <f t="shared" si="164"/>
        <v>LR3 2</v>
      </c>
      <c r="AC164" s="1613" t="str">
        <f t="shared" si="171"/>
        <v>地域インフラへの負荷抑制</v>
      </c>
      <c r="AD164" s="1759">
        <f t="shared" si="172"/>
        <v>0.25</v>
      </c>
      <c r="AE164" s="1759">
        <f t="shared" si="173"/>
        <v>0.25</v>
      </c>
      <c r="AF164" s="1759">
        <f t="shared" si="174"/>
        <v>0.25</v>
      </c>
      <c r="AG164" s="1759">
        <f t="shared" si="175"/>
        <v>0.25</v>
      </c>
      <c r="AH164" s="1759">
        <f t="shared" si="176"/>
        <v>0.25</v>
      </c>
      <c r="AI164" s="1759">
        <f t="shared" si="177"/>
        <v>0.25</v>
      </c>
      <c r="AJ164" s="1759">
        <f t="shared" si="141"/>
        <v>0.25</v>
      </c>
      <c r="AK164" s="1761">
        <f t="shared" si="178"/>
        <v>0.25</v>
      </c>
      <c r="AL164" s="1759">
        <f t="shared" si="179"/>
        <v>0.25</v>
      </c>
      <c r="AM164" s="1759">
        <f t="shared" si="179"/>
        <v>0.25</v>
      </c>
      <c r="AN164" s="1760">
        <f t="shared" si="138"/>
        <v>0</v>
      </c>
      <c r="AO164" s="1759">
        <f t="shared" si="139"/>
        <v>0</v>
      </c>
      <c r="AP164" s="1759">
        <f t="shared" si="140"/>
        <v>0</v>
      </c>
      <c r="AR164" s="1630" t="s">
        <v>1612</v>
      </c>
      <c r="AS164" s="1693" t="s">
        <v>382</v>
      </c>
      <c r="AT164" s="1737" t="s">
        <v>948</v>
      </c>
      <c r="AU164" s="2087">
        <v>0.25</v>
      </c>
      <c r="AV164" s="2087">
        <v>0.25</v>
      </c>
      <c r="AW164" s="2087">
        <v>0.25</v>
      </c>
      <c r="AX164" s="2087">
        <v>0.25</v>
      </c>
      <c r="AY164" s="2087">
        <v>0.25</v>
      </c>
      <c r="AZ164" s="2087">
        <v>0.25</v>
      </c>
      <c r="BA164" s="2087">
        <v>0.25</v>
      </c>
      <c r="BB164" s="2087">
        <v>0.25</v>
      </c>
      <c r="BC164" s="2087">
        <v>0.25</v>
      </c>
      <c r="BD164" s="2087">
        <v>0.25</v>
      </c>
      <c r="BE164" s="2088"/>
      <c r="BF164" s="2087"/>
      <c r="BG164" s="2087"/>
      <c r="BI164" s="1630" t="s">
        <v>1612</v>
      </c>
      <c r="BJ164" s="1693" t="s">
        <v>382</v>
      </c>
      <c r="BK164" s="1737" t="s">
        <v>948</v>
      </c>
      <c r="BL164" s="2087">
        <v>0.25</v>
      </c>
      <c r="BM164" s="2087">
        <v>0.25</v>
      </c>
      <c r="BN164" s="2087">
        <v>0.25</v>
      </c>
      <c r="BO164" s="2087">
        <v>0.25</v>
      </c>
      <c r="BP164" s="2087">
        <v>0.25</v>
      </c>
      <c r="BQ164" s="2087">
        <v>0.25</v>
      </c>
      <c r="BR164" s="2087">
        <v>0.25</v>
      </c>
      <c r="BS164" s="2087">
        <v>0.25</v>
      </c>
      <c r="BT164" s="2087">
        <v>0.25</v>
      </c>
      <c r="BU164" s="2087">
        <v>0.25</v>
      </c>
      <c r="BV164" s="2088"/>
      <c r="BW164" s="2087"/>
      <c r="BX164" s="2087"/>
    </row>
    <row r="165" spans="1:77" ht="13.5" customHeight="1">
      <c r="B165" s="1617" t="str">
        <f t="shared" si="156"/>
        <v>2.3.1</v>
      </c>
      <c r="C165" s="1647" t="str">
        <f t="shared" si="157"/>
        <v>雨水排水負荷低減</v>
      </c>
      <c r="D165" s="1716">
        <f t="shared" ref="D165:E168" si="180">IF(I$164=0,0,G165/I$164)</f>
        <v>0.25</v>
      </c>
      <c r="E165" s="1716">
        <f t="shared" si="180"/>
        <v>0</v>
      </c>
      <c r="G165" s="1691">
        <f t="shared" si="158"/>
        <v>0.25</v>
      </c>
      <c r="H165" s="1691">
        <f t="shared" si="158"/>
        <v>0</v>
      </c>
      <c r="I165" s="1691"/>
      <c r="J165" s="1691"/>
      <c r="K165" s="1616">
        <f>IF(スコア表示!X165=0,0,1)</f>
        <v>1</v>
      </c>
      <c r="L165" s="1616">
        <f>IF(スコア表示!AB165=0,0,1)</f>
        <v>0</v>
      </c>
      <c r="N165" s="1713">
        <f t="shared" ref="N165:O168" si="181">IF(P$164&gt;0,R165/P$164,0)</f>
        <v>0.25</v>
      </c>
      <c r="O165" s="1713">
        <f t="shared" si="181"/>
        <v>0</v>
      </c>
      <c r="P165" s="1616"/>
      <c r="Q165" s="1616"/>
      <c r="R165" s="1616">
        <f>IF(スコア入力!R165="EB",重み_対象外!D165,U165)</f>
        <v>2.0833333333333332E-2</v>
      </c>
      <c r="S165" s="1616">
        <f>IF(スコア入力!Y165="EB",重み_対象外!E165,V165)</f>
        <v>0</v>
      </c>
      <c r="T165" s="1560"/>
      <c r="U165" s="1614">
        <f>X$161*X$164*X165</f>
        <v>2.0833333333333332E-2</v>
      </c>
      <c r="V165" s="1614">
        <f>Y$163*Y$164*Y165</f>
        <v>0</v>
      </c>
      <c r="W165" s="1560"/>
      <c r="X165" s="1616">
        <f t="shared" si="159"/>
        <v>0.25</v>
      </c>
      <c r="Y165" s="1616">
        <f t="shared" si="160"/>
        <v>0</v>
      </c>
      <c r="Z165" s="1571"/>
      <c r="AA165" s="1613" t="str">
        <f t="shared" si="163"/>
        <v>2.3.1</v>
      </c>
      <c r="AB165" s="1613" t="str">
        <f t="shared" si="164"/>
        <v>LR3 2.3</v>
      </c>
      <c r="AC165" s="1613" t="str">
        <f t="shared" si="171"/>
        <v>雨水排水負荷低減</v>
      </c>
      <c r="AD165" s="1759">
        <f t="shared" si="172"/>
        <v>0.25</v>
      </c>
      <c r="AE165" s="1759">
        <f t="shared" si="173"/>
        <v>0.25</v>
      </c>
      <c r="AF165" s="1759">
        <f t="shared" si="174"/>
        <v>0.25</v>
      </c>
      <c r="AG165" s="1759">
        <f t="shared" si="175"/>
        <v>0.25</v>
      </c>
      <c r="AH165" s="1759">
        <f t="shared" si="176"/>
        <v>0.25</v>
      </c>
      <c r="AI165" s="1759">
        <f t="shared" si="177"/>
        <v>0.25</v>
      </c>
      <c r="AJ165" s="1759">
        <f t="shared" si="141"/>
        <v>0.25</v>
      </c>
      <c r="AK165" s="1761">
        <f t="shared" si="178"/>
        <v>0.25</v>
      </c>
      <c r="AL165" s="1759">
        <f t="shared" si="179"/>
        <v>0.25</v>
      </c>
      <c r="AM165" s="1759">
        <f t="shared" si="179"/>
        <v>0.25</v>
      </c>
      <c r="AN165" s="1760"/>
      <c r="AO165" s="1759"/>
      <c r="AP165" s="1759"/>
      <c r="AR165" s="1630" t="s">
        <v>1482</v>
      </c>
      <c r="AS165" s="1693" t="s">
        <v>383</v>
      </c>
      <c r="AT165" s="1694" t="s">
        <v>1613</v>
      </c>
      <c r="AU165" s="1623">
        <v>0.25</v>
      </c>
      <c r="AV165" s="1623">
        <v>0.25</v>
      </c>
      <c r="AW165" s="1623">
        <v>0.25</v>
      </c>
      <c r="AX165" s="1623">
        <v>0.25</v>
      </c>
      <c r="AY165" s="1623">
        <v>0.25</v>
      </c>
      <c r="AZ165" s="1623">
        <v>0.25</v>
      </c>
      <c r="BA165" s="1623">
        <v>0.25</v>
      </c>
      <c r="BB165" s="1623">
        <v>0.25</v>
      </c>
      <c r="BC165" s="1623">
        <v>0.25</v>
      </c>
      <c r="BD165" s="1623">
        <v>0.25</v>
      </c>
      <c r="BE165" s="2088"/>
      <c r="BF165" s="2087"/>
      <c r="BG165" s="2087"/>
      <c r="BI165" s="1630" t="s">
        <v>1482</v>
      </c>
      <c r="BJ165" s="1693" t="s">
        <v>383</v>
      </c>
      <c r="BK165" s="1694" t="s">
        <v>1613</v>
      </c>
      <c r="BL165" s="1623">
        <v>0.25</v>
      </c>
      <c r="BM165" s="1623">
        <v>0.25</v>
      </c>
      <c r="BN165" s="1623">
        <v>0.25</v>
      </c>
      <c r="BO165" s="1623">
        <v>0.25</v>
      </c>
      <c r="BP165" s="1623">
        <v>0.25</v>
      </c>
      <c r="BQ165" s="1623">
        <v>0.25</v>
      </c>
      <c r="BR165" s="1623">
        <v>0.25</v>
      </c>
      <c r="BS165" s="1623">
        <v>0.25</v>
      </c>
      <c r="BT165" s="1623">
        <v>0.25</v>
      </c>
      <c r="BU165" s="1623">
        <v>0.25</v>
      </c>
      <c r="BV165" s="2088"/>
      <c r="BW165" s="2087"/>
      <c r="BX165" s="2087"/>
    </row>
    <row r="166" spans="1:77" ht="13.5" customHeight="1">
      <c r="B166" s="1617" t="str">
        <f t="shared" si="156"/>
        <v>2.3.2</v>
      </c>
      <c r="C166" s="1647" t="str">
        <f t="shared" si="157"/>
        <v>汚水処理負荷抑制</v>
      </c>
      <c r="D166" s="1716">
        <f t="shared" si="180"/>
        <v>0.25</v>
      </c>
      <c r="E166" s="1716">
        <f t="shared" si="180"/>
        <v>0</v>
      </c>
      <c r="G166" s="1691">
        <f t="shared" si="158"/>
        <v>0.25</v>
      </c>
      <c r="H166" s="1691">
        <f t="shared" si="158"/>
        <v>0</v>
      </c>
      <c r="I166" s="1691"/>
      <c r="J166" s="1691"/>
      <c r="K166" s="1616">
        <f>IF(スコア表示!X166=0,0,1)</f>
        <v>1</v>
      </c>
      <c r="L166" s="1616">
        <f>IF(スコア表示!AB166=0,0,1)</f>
        <v>0</v>
      </c>
      <c r="N166" s="1713">
        <f t="shared" si="181"/>
        <v>0.25</v>
      </c>
      <c r="O166" s="1713">
        <f t="shared" si="181"/>
        <v>0</v>
      </c>
      <c r="P166" s="1616"/>
      <c r="Q166" s="1616"/>
      <c r="R166" s="1616">
        <f>IF(スコア入力!R166="EB",重み_対象外!D166,U166)</f>
        <v>2.0833333333333332E-2</v>
      </c>
      <c r="S166" s="1616">
        <f>IF(スコア入力!Y166="EB",重み_対象外!E166,V166)</f>
        <v>0</v>
      </c>
      <c r="T166" s="1560"/>
      <c r="U166" s="1614">
        <f>X$161*X$164*X166</f>
        <v>2.0833333333333332E-2</v>
      </c>
      <c r="V166" s="1614">
        <f>Y$163*Y$164*Y166</f>
        <v>0</v>
      </c>
      <c r="W166" s="1560"/>
      <c r="X166" s="1616">
        <f t="shared" si="159"/>
        <v>0.25</v>
      </c>
      <c r="Y166" s="1616">
        <f t="shared" si="160"/>
        <v>0</v>
      </c>
      <c r="Z166" s="1571"/>
      <c r="AA166" s="1613" t="str">
        <f t="shared" si="163"/>
        <v>2.3.2</v>
      </c>
      <c r="AB166" s="1613" t="str">
        <f t="shared" si="164"/>
        <v>LR3 2.3</v>
      </c>
      <c r="AC166" s="1613" t="str">
        <f t="shared" si="171"/>
        <v>汚水処理負荷抑制</v>
      </c>
      <c r="AD166" s="1759">
        <f t="shared" si="172"/>
        <v>0.25</v>
      </c>
      <c r="AE166" s="1759">
        <f t="shared" si="173"/>
        <v>0.25</v>
      </c>
      <c r="AF166" s="1759">
        <f t="shared" si="174"/>
        <v>0.25</v>
      </c>
      <c r="AG166" s="1759">
        <f t="shared" si="175"/>
        <v>0.25</v>
      </c>
      <c r="AH166" s="1759">
        <f t="shared" si="176"/>
        <v>0.25</v>
      </c>
      <c r="AI166" s="1759">
        <f t="shared" si="177"/>
        <v>0.25</v>
      </c>
      <c r="AJ166" s="1759">
        <f t="shared" si="141"/>
        <v>0.25</v>
      </c>
      <c r="AK166" s="1761">
        <f t="shared" si="178"/>
        <v>0.25</v>
      </c>
      <c r="AL166" s="1759">
        <f t="shared" si="179"/>
        <v>0.25</v>
      </c>
      <c r="AM166" s="1759">
        <f t="shared" si="179"/>
        <v>0.25</v>
      </c>
      <c r="AN166" s="1760"/>
      <c r="AO166" s="1759"/>
      <c r="AP166" s="1759"/>
      <c r="AR166" s="1630" t="s">
        <v>1484</v>
      </c>
      <c r="AS166" s="1693" t="s">
        <v>383</v>
      </c>
      <c r="AT166" s="1694" t="s">
        <v>1614</v>
      </c>
      <c r="AU166" s="1623">
        <v>0.25</v>
      </c>
      <c r="AV166" s="1623">
        <v>0.25</v>
      </c>
      <c r="AW166" s="1623">
        <v>0.25</v>
      </c>
      <c r="AX166" s="1623">
        <v>0.25</v>
      </c>
      <c r="AY166" s="1623">
        <v>0.25</v>
      </c>
      <c r="AZ166" s="1623">
        <v>0.25</v>
      </c>
      <c r="BA166" s="1623">
        <v>0.25</v>
      </c>
      <c r="BB166" s="1623">
        <v>0.25</v>
      </c>
      <c r="BC166" s="1623">
        <v>0.25</v>
      </c>
      <c r="BD166" s="1623">
        <v>0.25</v>
      </c>
      <c r="BE166" s="2088"/>
      <c r="BF166" s="2087"/>
      <c r="BG166" s="2087"/>
      <c r="BI166" s="1630" t="s">
        <v>1484</v>
      </c>
      <c r="BJ166" s="1693" t="s">
        <v>383</v>
      </c>
      <c r="BK166" s="1694" t="s">
        <v>1614</v>
      </c>
      <c r="BL166" s="1623">
        <v>0.25</v>
      </c>
      <c r="BM166" s="1623">
        <v>0.25</v>
      </c>
      <c r="BN166" s="1623">
        <v>0.25</v>
      </c>
      <c r="BO166" s="1623">
        <v>0.25</v>
      </c>
      <c r="BP166" s="1623">
        <v>0.25</v>
      </c>
      <c r="BQ166" s="1623">
        <v>0.25</v>
      </c>
      <c r="BR166" s="1623">
        <v>0.25</v>
      </c>
      <c r="BS166" s="1623">
        <v>0.25</v>
      </c>
      <c r="BT166" s="1623">
        <v>0.25</v>
      </c>
      <c r="BU166" s="1623">
        <v>0.25</v>
      </c>
      <c r="BV166" s="2088"/>
      <c r="BW166" s="2087"/>
      <c r="BX166" s="2087"/>
    </row>
    <row r="167" spans="1:77" ht="13.5" customHeight="1">
      <c r="B167" s="1617" t="str">
        <f t="shared" si="156"/>
        <v>2.3.3</v>
      </c>
      <c r="C167" s="1647" t="str">
        <f t="shared" si="157"/>
        <v>交通負荷抑制</v>
      </c>
      <c r="D167" s="1716">
        <f t="shared" si="180"/>
        <v>0.25</v>
      </c>
      <c r="E167" s="1716">
        <f t="shared" si="180"/>
        <v>0</v>
      </c>
      <c r="G167" s="1691">
        <f t="shared" si="158"/>
        <v>0.25</v>
      </c>
      <c r="H167" s="1691">
        <f t="shared" si="158"/>
        <v>0</v>
      </c>
      <c r="I167" s="1691"/>
      <c r="J167" s="1691"/>
      <c r="K167" s="1616">
        <f>IF(スコア表示!X167=0,0,1)</f>
        <v>1</v>
      </c>
      <c r="L167" s="1616">
        <f>IF(スコア表示!AB167=0,0,1)</f>
        <v>0</v>
      </c>
      <c r="N167" s="1713">
        <f t="shared" si="181"/>
        <v>0.25</v>
      </c>
      <c r="O167" s="1713">
        <f t="shared" si="181"/>
        <v>0</v>
      </c>
      <c r="P167" s="1616"/>
      <c r="Q167" s="1616"/>
      <c r="R167" s="1616">
        <f>IF(スコア入力!R167="EB",重み_対象外!D167,U167)</f>
        <v>2.0833333333333332E-2</v>
      </c>
      <c r="S167" s="1616">
        <f>IF(スコア入力!Y167="EB",重み_対象外!E167,V167)</f>
        <v>0</v>
      </c>
      <c r="T167" s="1560"/>
      <c r="U167" s="1614">
        <f>X$161*X$164*X167</f>
        <v>2.0833333333333332E-2</v>
      </c>
      <c r="V167" s="1614">
        <f>Y$163*Y$164*Y167</f>
        <v>0</v>
      </c>
      <c r="W167" s="1560"/>
      <c r="X167" s="1616">
        <f t="shared" si="159"/>
        <v>0.25</v>
      </c>
      <c r="Y167" s="1616">
        <f t="shared" si="160"/>
        <v>0</v>
      </c>
      <c r="Z167" s="1571"/>
      <c r="AA167" s="1613" t="str">
        <f t="shared" si="163"/>
        <v>2.3.3</v>
      </c>
      <c r="AB167" s="1613" t="str">
        <f t="shared" si="164"/>
        <v>LR3 2.3</v>
      </c>
      <c r="AC167" s="1613" t="str">
        <f t="shared" si="171"/>
        <v>交通負荷抑制</v>
      </c>
      <c r="AD167" s="1759">
        <f t="shared" si="172"/>
        <v>0.25</v>
      </c>
      <c r="AE167" s="1759">
        <f t="shared" si="173"/>
        <v>0.25</v>
      </c>
      <c r="AF167" s="1759">
        <f t="shared" si="174"/>
        <v>0.25</v>
      </c>
      <c r="AG167" s="1759">
        <f t="shared" si="175"/>
        <v>0.25</v>
      </c>
      <c r="AH167" s="1759">
        <f t="shared" si="176"/>
        <v>0.25</v>
      </c>
      <c r="AI167" s="1759">
        <f t="shared" si="177"/>
        <v>0.25</v>
      </c>
      <c r="AJ167" s="1759">
        <f t="shared" si="141"/>
        <v>0.25</v>
      </c>
      <c r="AK167" s="1761">
        <f t="shared" si="178"/>
        <v>0.25</v>
      </c>
      <c r="AL167" s="1759">
        <f t="shared" si="179"/>
        <v>0.25</v>
      </c>
      <c r="AM167" s="1759">
        <f t="shared" si="179"/>
        <v>0.25</v>
      </c>
      <c r="AN167" s="1760"/>
      <c r="AO167" s="1759"/>
      <c r="AP167" s="1759"/>
      <c r="AR167" s="1630" t="s">
        <v>1615</v>
      </c>
      <c r="AS167" s="1693" t="s">
        <v>383</v>
      </c>
      <c r="AT167" s="1694" t="s">
        <v>1152</v>
      </c>
      <c r="AU167" s="1623">
        <v>0.25</v>
      </c>
      <c r="AV167" s="1623">
        <v>0.25</v>
      </c>
      <c r="AW167" s="1623">
        <v>0.25</v>
      </c>
      <c r="AX167" s="1623">
        <v>0.25</v>
      </c>
      <c r="AY167" s="1623">
        <v>0.25</v>
      </c>
      <c r="AZ167" s="1623">
        <v>0.25</v>
      </c>
      <c r="BA167" s="1623">
        <v>0.25</v>
      </c>
      <c r="BB167" s="1623">
        <v>0.25</v>
      </c>
      <c r="BC167" s="1623">
        <v>0.25</v>
      </c>
      <c r="BD167" s="1623">
        <v>0.25</v>
      </c>
      <c r="BE167" s="2088"/>
      <c r="BF167" s="2087"/>
      <c r="BG167" s="2087"/>
      <c r="BI167" s="1630" t="s">
        <v>1615</v>
      </c>
      <c r="BJ167" s="1693" t="s">
        <v>383</v>
      </c>
      <c r="BK167" s="1694" t="s">
        <v>1152</v>
      </c>
      <c r="BL167" s="1623">
        <v>0.25</v>
      </c>
      <c r="BM167" s="1623">
        <v>0.25</v>
      </c>
      <c r="BN167" s="1623">
        <v>0.25</v>
      </c>
      <c r="BO167" s="1623">
        <v>0.25</v>
      </c>
      <c r="BP167" s="1623">
        <v>0.25</v>
      </c>
      <c r="BQ167" s="1623">
        <v>0.25</v>
      </c>
      <c r="BR167" s="1623">
        <v>0.25</v>
      </c>
      <c r="BS167" s="1623">
        <v>0.25</v>
      </c>
      <c r="BT167" s="1623">
        <v>0.25</v>
      </c>
      <c r="BU167" s="1623">
        <v>0.25</v>
      </c>
      <c r="BV167" s="2088"/>
      <c r="BW167" s="2087"/>
      <c r="BX167" s="2087"/>
    </row>
    <row r="168" spans="1:77" ht="13.5" customHeight="1">
      <c r="B168" s="1617" t="str">
        <f t="shared" si="156"/>
        <v>2.3.4</v>
      </c>
      <c r="C168" s="1647" t="str">
        <f t="shared" si="157"/>
        <v>廃棄物処理負荷抑制</v>
      </c>
      <c r="D168" s="1716">
        <f t="shared" si="180"/>
        <v>0.25</v>
      </c>
      <c r="E168" s="1716">
        <f t="shared" si="180"/>
        <v>0</v>
      </c>
      <c r="G168" s="1691">
        <f t="shared" si="158"/>
        <v>0.25</v>
      </c>
      <c r="H168" s="1691">
        <f t="shared" si="158"/>
        <v>0</v>
      </c>
      <c r="I168" s="1691"/>
      <c r="J168" s="1691"/>
      <c r="K168" s="1616">
        <f>IF(スコア表示!X168=0,0,1)</f>
        <v>1</v>
      </c>
      <c r="L168" s="1616">
        <f>IF(スコア表示!AB168=0,0,1)</f>
        <v>0</v>
      </c>
      <c r="N168" s="1713">
        <f t="shared" si="181"/>
        <v>0.25</v>
      </c>
      <c r="O168" s="1713">
        <f t="shared" si="181"/>
        <v>0</v>
      </c>
      <c r="P168" s="1616"/>
      <c r="Q168" s="1616"/>
      <c r="R168" s="1616">
        <f>IF(スコア入力!R168="EB",重み_対象外!D168,U168)</f>
        <v>2.0833333333333332E-2</v>
      </c>
      <c r="S168" s="1616">
        <f>IF(スコア入力!Y168="EB",重み_対象外!E168,V168)</f>
        <v>0</v>
      </c>
      <c r="T168" s="1560"/>
      <c r="U168" s="1614">
        <f>X$161*X$164*X168</f>
        <v>2.0833333333333332E-2</v>
      </c>
      <c r="V168" s="1614">
        <f>Y$163*Y$164*Y168</f>
        <v>0</v>
      </c>
      <c r="W168" s="1560"/>
      <c r="X168" s="1616">
        <f t="shared" si="159"/>
        <v>0.25</v>
      </c>
      <c r="Y168" s="1616">
        <f t="shared" si="160"/>
        <v>0</v>
      </c>
      <c r="Z168" s="1571"/>
      <c r="AA168" s="1613" t="str">
        <f t="shared" si="163"/>
        <v>2.3.4</v>
      </c>
      <c r="AB168" s="1613" t="str">
        <f t="shared" si="164"/>
        <v>LR3 2.3</v>
      </c>
      <c r="AC168" s="1613" t="str">
        <f t="shared" si="171"/>
        <v>廃棄物処理負荷抑制</v>
      </c>
      <c r="AD168" s="1759">
        <f t="shared" si="172"/>
        <v>0.25</v>
      </c>
      <c r="AE168" s="1759">
        <f t="shared" si="173"/>
        <v>0.25</v>
      </c>
      <c r="AF168" s="1759">
        <f t="shared" si="174"/>
        <v>0.25</v>
      </c>
      <c r="AG168" s="1759">
        <f t="shared" si="175"/>
        <v>0.25</v>
      </c>
      <c r="AH168" s="1759">
        <f t="shared" si="176"/>
        <v>0.25</v>
      </c>
      <c r="AI168" s="1759">
        <f t="shared" si="177"/>
        <v>0.25</v>
      </c>
      <c r="AJ168" s="1759">
        <f t="shared" si="141"/>
        <v>0.25</v>
      </c>
      <c r="AK168" s="1761">
        <f t="shared" si="178"/>
        <v>0.25</v>
      </c>
      <c r="AL168" s="1759">
        <f t="shared" si="179"/>
        <v>0.25</v>
      </c>
      <c r="AM168" s="1759">
        <f t="shared" si="179"/>
        <v>0.25</v>
      </c>
      <c r="AN168" s="1760"/>
      <c r="AO168" s="1759"/>
      <c r="AP168" s="1759"/>
      <c r="AR168" s="1630" t="s">
        <v>1616</v>
      </c>
      <c r="AS168" s="1693" t="s">
        <v>383</v>
      </c>
      <c r="AT168" s="1695" t="s">
        <v>1153</v>
      </c>
      <c r="AU168" s="1623">
        <v>0.25</v>
      </c>
      <c r="AV168" s="1623">
        <v>0.25</v>
      </c>
      <c r="AW168" s="1623">
        <v>0.25</v>
      </c>
      <c r="AX168" s="1623">
        <v>0.25</v>
      </c>
      <c r="AY168" s="1623">
        <v>0.25</v>
      </c>
      <c r="AZ168" s="1623">
        <v>0.25</v>
      </c>
      <c r="BA168" s="1623">
        <v>0.25</v>
      </c>
      <c r="BB168" s="1623">
        <v>0.25</v>
      </c>
      <c r="BC168" s="1623">
        <v>0.25</v>
      </c>
      <c r="BD168" s="1623">
        <v>0.25</v>
      </c>
      <c r="BE168" s="2088"/>
      <c r="BF168" s="2087"/>
      <c r="BG168" s="2087"/>
      <c r="BI168" s="1630" t="s">
        <v>1616</v>
      </c>
      <c r="BJ168" s="1693" t="s">
        <v>383</v>
      </c>
      <c r="BK168" s="1695" t="s">
        <v>1153</v>
      </c>
      <c r="BL168" s="1623">
        <v>0.25</v>
      </c>
      <c r="BM168" s="1623">
        <v>0.25</v>
      </c>
      <c r="BN168" s="1623">
        <v>0.25</v>
      </c>
      <c r="BO168" s="1623">
        <v>0.25</v>
      </c>
      <c r="BP168" s="1623">
        <v>0.25</v>
      </c>
      <c r="BQ168" s="1623">
        <v>0.25</v>
      </c>
      <c r="BR168" s="1623">
        <v>0.25</v>
      </c>
      <c r="BS168" s="1623">
        <v>0.25</v>
      </c>
      <c r="BT168" s="1623">
        <v>0.25</v>
      </c>
      <c r="BU168" s="1623">
        <v>0.25</v>
      </c>
      <c r="BV168" s="2088"/>
      <c r="BW168" s="2087"/>
      <c r="BX168" s="2087"/>
    </row>
    <row r="169" spans="1:77" s="1605" customFormat="1" ht="13.5" customHeight="1">
      <c r="A169"/>
      <c r="B169" s="1732">
        <f t="shared" si="156"/>
        <v>3</v>
      </c>
      <c r="C169" s="1641" t="str">
        <f t="shared" si="157"/>
        <v>周辺環境への配慮</v>
      </c>
      <c r="D169" s="2062">
        <f>IF(I$159=0,0,G169/I$159)</f>
        <v>0.33333333333333331</v>
      </c>
      <c r="E169" s="2062">
        <f>IF(J$159=0,0,H169/J$159)</f>
        <v>0</v>
      </c>
      <c r="F169"/>
      <c r="G169" s="1743">
        <f t="shared" si="158"/>
        <v>0.33333333333333331</v>
      </c>
      <c r="H169" s="1743">
        <f t="shared" si="158"/>
        <v>0</v>
      </c>
      <c r="I169" s="1743">
        <f>G170+G174+G178</f>
        <v>1</v>
      </c>
      <c r="J169" s="1743">
        <f>H170+H174+H178</f>
        <v>0</v>
      </c>
      <c r="K169" s="1609">
        <f>IF(スコア表示!X169=0,0,1)</f>
        <v>1</v>
      </c>
      <c r="L169" s="1609">
        <f>IF(スコア表示!AB169=0,0,1)</f>
        <v>0</v>
      </c>
      <c r="M169"/>
      <c r="N169" s="1707">
        <f>IF(P$159=0,0,R169/P$159)</f>
        <v>0.33333333333333331</v>
      </c>
      <c r="O169" s="1707">
        <f>IF(Q$159=0,0,S169/Q$159)</f>
        <v>0</v>
      </c>
      <c r="P169" s="1609">
        <f>SUM(R170:R180)</f>
        <v>0.33333333333333326</v>
      </c>
      <c r="Q169" s="1609">
        <f>SUM(S170:S180)</f>
        <v>0</v>
      </c>
      <c r="R169" s="1609">
        <f>IF(スコア入力!R169="EB",重み_対象外!D169,U169)</f>
        <v>0.33333333333333326</v>
      </c>
      <c r="S169" s="1609">
        <f>IF(スコア入力!Y169="EB",重み_対象外!E169,V169)</f>
        <v>0</v>
      </c>
      <c r="T169" s="1560"/>
      <c r="U169" s="1710">
        <f>SUM(U170:U180)</f>
        <v>0.33333333333333326</v>
      </c>
      <c r="V169" s="1710">
        <f>SUM(V170:V180)</f>
        <v>0</v>
      </c>
      <c r="W169" s="1560"/>
      <c r="X169" s="1609">
        <f t="shared" si="159"/>
        <v>0.33333333333333331</v>
      </c>
      <c r="Y169" s="1609">
        <f t="shared" si="160"/>
        <v>0</v>
      </c>
      <c r="Z169" s="1601"/>
      <c r="AA169" s="1674">
        <f t="shared" si="163"/>
        <v>3</v>
      </c>
      <c r="AB169" s="1606" t="str">
        <f t="shared" si="164"/>
        <v>LR3</v>
      </c>
      <c r="AC169" s="1606" t="str">
        <f t="shared" si="171"/>
        <v>周辺環境への配慮</v>
      </c>
      <c r="AD169" s="1765">
        <f t="shared" si="172"/>
        <v>0.33333333333333331</v>
      </c>
      <c r="AE169" s="1765">
        <f t="shared" si="173"/>
        <v>0.33333333333333331</v>
      </c>
      <c r="AF169" s="1765">
        <f t="shared" si="174"/>
        <v>0.33333333333333331</v>
      </c>
      <c r="AG169" s="1765">
        <f t="shared" si="175"/>
        <v>0.33333333333333331</v>
      </c>
      <c r="AH169" s="1765">
        <f t="shared" si="176"/>
        <v>0.33333333333333331</v>
      </c>
      <c r="AI169" s="1765">
        <f t="shared" si="177"/>
        <v>0.33333333333333331</v>
      </c>
      <c r="AJ169" s="1765">
        <f t="shared" si="141"/>
        <v>0.33333333333333331</v>
      </c>
      <c r="AK169" s="1757">
        <f t="shared" si="178"/>
        <v>0.33333333333333331</v>
      </c>
      <c r="AL169" s="1765">
        <f t="shared" si="179"/>
        <v>0.33333333333333331</v>
      </c>
      <c r="AM169" s="1765">
        <f t="shared" si="179"/>
        <v>0.33333333333333331</v>
      </c>
      <c r="AN169" s="1766">
        <f t="shared" ref="AN169:AP174" si="182">IF($AA$3=1,BE169,BV169)</f>
        <v>0</v>
      </c>
      <c r="AO169" s="1765">
        <f t="shared" si="182"/>
        <v>0</v>
      </c>
      <c r="AP169" s="1765">
        <f t="shared" si="182"/>
        <v>0</v>
      </c>
      <c r="AQ169" s="1685"/>
      <c r="AR169" s="1641">
        <v>3</v>
      </c>
      <c r="AS169" s="1744" t="s">
        <v>381</v>
      </c>
      <c r="AT169" s="1780" t="s">
        <v>1154</v>
      </c>
      <c r="AU169" s="1711">
        <f t="shared" ref="AU169:BD169" si="183">1/3</f>
        <v>0.33333333333333331</v>
      </c>
      <c r="AV169" s="1711">
        <f t="shared" si="183"/>
        <v>0.33333333333333331</v>
      </c>
      <c r="AW169" s="1711">
        <f t="shared" si="183"/>
        <v>0.33333333333333331</v>
      </c>
      <c r="AX169" s="1711">
        <f t="shared" si="183"/>
        <v>0.33333333333333331</v>
      </c>
      <c r="AY169" s="1711">
        <f t="shared" si="183"/>
        <v>0.33333333333333331</v>
      </c>
      <c r="AZ169" s="1711">
        <f t="shared" si="183"/>
        <v>0.33333333333333331</v>
      </c>
      <c r="BA169" s="1711">
        <f t="shared" si="183"/>
        <v>0.33333333333333331</v>
      </c>
      <c r="BB169" s="1711">
        <f t="shared" si="183"/>
        <v>0.33333333333333331</v>
      </c>
      <c r="BC169" s="1711">
        <f t="shared" si="183"/>
        <v>0.33333333333333331</v>
      </c>
      <c r="BD169" s="1711">
        <f t="shared" si="183"/>
        <v>0.33333333333333331</v>
      </c>
      <c r="BE169" s="2063"/>
      <c r="BF169" s="1711"/>
      <c r="BG169" s="1711"/>
      <c r="BH169"/>
      <c r="BI169" s="1641">
        <v>3</v>
      </c>
      <c r="BJ169" s="1744" t="s">
        <v>381</v>
      </c>
      <c r="BK169" s="1780" t="s">
        <v>1154</v>
      </c>
      <c r="BL169" s="1711">
        <f t="shared" ref="BL169:BU169" si="184">1/3</f>
        <v>0.33333333333333331</v>
      </c>
      <c r="BM169" s="1711">
        <f t="shared" si="184"/>
        <v>0.33333333333333331</v>
      </c>
      <c r="BN169" s="1711">
        <f t="shared" si="184"/>
        <v>0.33333333333333331</v>
      </c>
      <c r="BO169" s="1711">
        <f t="shared" si="184"/>
        <v>0.33333333333333331</v>
      </c>
      <c r="BP169" s="1711">
        <f t="shared" si="184"/>
        <v>0.33333333333333331</v>
      </c>
      <c r="BQ169" s="1711">
        <f t="shared" si="184"/>
        <v>0.33333333333333331</v>
      </c>
      <c r="BR169" s="1711">
        <f t="shared" si="184"/>
        <v>0.33333333333333331</v>
      </c>
      <c r="BS169" s="1711">
        <f t="shared" si="184"/>
        <v>0.33333333333333331</v>
      </c>
      <c r="BT169" s="1711">
        <f t="shared" si="184"/>
        <v>0.33333333333333331</v>
      </c>
      <c r="BU169" s="1711">
        <f t="shared" si="184"/>
        <v>0.33333333333333331</v>
      </c>
      <c r="BV169" s="2063"/>
      <c r="BW169" s="1711"/>
      <c r="BX169" s="1711"/>
      <c r="BY169"/>
    </row>
    <row r="170" spans="1:77" ht="13.5" customHeight="1">
      <c r="B170" s="1617" t="str">
        <f t="shared" si="156"/>
        <v>3.1</v>
      </c>
      <c r="C170" s="1647" t="str">
        <f t="shared" si="157"/>
        <v>騒音・振動・悪臭の防止</v>
      </c>
      <c r="D170" s="1716">
        <f>IF(I$169=0,0,G170/I$169)</f>
        <v>0.4</v>
      </c>
      <c r="E170" s="1716">
        <f>IF(J$169=0,0,H170/J$169)</f>
        <v>0</v>
      </c>
      <c r="G170" s="1691">
        <f t="shared" si="158"/>
        <v>0.4</v>
      </c>
      <c r="H170" s="1691">
        <f t="shared" si="158"/>
        <v>0</v>
      </c>
      <c r="I170" s="1691">
        <f>SUM(G171:G173)</f>
        <v>1</v>
      </c>
      <c r="J170" s="1691">
        <f>SUM(H171:H173)</f>
        <v>0</v>
      </c>
      <c r="K170" s="1616">
        <f>IF(スコア表示!X170=0,0,1)</f>
        <v>1</v>
      </c>
      <c r="L170" s="1616">
        <f>IF(スコア表示!AB170=0,0,1)</f>
        <v>0</v>
      </c>
      <c r="N170" s="1713">
        <f>IF(P$169=0,0,P170/P$169)</f>
        <v>0.4</v>
      </c>
      <c r="O170" s="1713">
        <f>IF(Q$169=0,0,Q170/Q$169)</f>
        <v>0</v>
      </c>
      <c r="P170" s="1616">
        <f>SUM(R171:R173)</f>
        <v>0.1333333333333333</v>
      </c>
      <c r="Q170" s="1616">
        <f>SUM(S171:S173)</f>
        <v>0</v>
      </c>
      <c r="R170" s="1616">
        <f>IF(スコア入力!R170="EB",重み_対象外!D170,U170)</f>
        <v>0</v>
      </c>
      <c r="S170" s="1616">
        <f>IF(スコア入力!Y170="EB",重み_対象外!E170,V170)</f>
        <v>0</v>
      </c>
      <c r="T170" s="1560"/>
      <c r="U170" s="1614"/>
      <c r="V170" s="1614"/>
      <c r="W170" s="1560"/>
      <c r="X170" s="1616">
        <f t="shared" si="159"/>
        <v>0.39999999999999997</v>
      </c>
      <c r="Y170" s="1616">
        <f t="shared" si="160"/>
        <v>0</v>
      </c>
      <c r="Z170" s="1571"/>
      <c r="AA170" s="1613" t="str">
        <f t="shared" si="163"/>
        <v>3.1</v>
      </c>
      <c r="AB170" s="1613" t="str">
        <f t="shared" si="164"/>
        <v>LR3 3</v>
      </c>
      <c r="AC170" s="1613" t="str">
        <f t="shared" si="171"/>
        <v>騒音・振動・悪臭の防止</v>
      </c>
      <c r="AD170" s="1759">
        <f t="shared" si="172"/>
        <v>0.4</v>
      </c>
      <c r="AE170" s="1759">
        <f t="shared" si="173"/>
        <v>0.4</v>
      </c>
      <c r="AF170" s="1759">
        <f t="shared" si="174"/>
        <v>0.4</v>
      </c>
      <c r="AG170" s="1759">
        <f t="shared" si="175"/>
        <v>0.4</v>
      </c>
      <c r="AH170" s="1759">
        <f t="shared" si="176"/>
        <v>0.4</v>
      </c>
      <c r="AI170" s="1759">
        <f t="shared" si="177"/>
        <v>0.4</v>
      </c>
      <c r="AJ170" s="1759">
        <f t="shared" si="141"/>
        <v>0.4</v>
      </c>
      <c r="AK170" s="1761">
        <f t="shared" si="178"/>
        <v>0.4</v>
      </c>
      <c r="AL170" s="1759">
        <f t="shared" si="179"/>
        <v>0.4</v>
      </c>
      <c r="AM170" s="1759">
        <f t="shared" si="179"/>
        <v>0.4</v>
      </c>
      <c r="AN170" s="1760">
        <f t="shared" si="182"/>
        <v>0</v>
      </c>
      <c r="AO170" s="1759">
        <f t="shared" si="182"/>
        <v>0</v>
      </c>
      <c r="AP170" s="1759">
        <f t="shared" si="182"/>
        <v>0</v>
      </c>
      <c r="AR170" s="1630" t="s">
        <v>1556</v>
      </c>
      <c r="AS170" s="1693" t="s">
        <v>384</v>
      </c>
      <c r="AT170" s="1737" t="s">
        <v>1155</v>
      </c>
      <c r="AU170" s="2087">
        <v>0.4</v>
      </c>
      <c r="AV170" s="2087">
        <v>0.4</v>
      </c>
      <c r="AW170" s="2087">
        <v>0.4</v>
      </c>
      <c r="AX170" s="2087">
        <v>0.4</v>
      </c>
      <c r="AY170" s="2087">
        <v>0.4</v>
      </c>
      <c r="AZ170" s="2087">
        <v>0.4</v>
      </c>
      <c r="BA170" s="2087">
        <v>0.4</v>
      </c>
      <c r="BB170" s="2087">
        <v>0.4</v>
      </c>
      <c r="BC170" s="2087">
        <v>0.4</v>
      </c>
      <c r="BD170" s="2087">
        <v>0.4</v>
      </c>
      <c r="BE170" s="2088"/>
      <c r="BF170" s="2087"/>
      <c r="BG170" s="2087"/>
      <c r="BI170" s="1630" t="s">
        <v>1556</v>
      </c>
      <c r="BJ170" s="1693" t="s">
        <v>384</v>
      </c>
      <c r="BK170" s="1737" t="s">
        <v>1155</v>
      </c>
      <c r="BL170" s="2087">
        <v>0.4</v>
      </c>
      <c r="BM170" s="2087">
        <v>0.4</v>
      </c>
      <c r="BN170" s="2087">
        <v>0.4</v>
      </c>
      <c r="BO170" s="2087">
        <v>0.4</v>
      </c>
      <c r="BP170" s="2087">
        <v>0.4</v>
      </c>
      <c r="BQ170" s="2087">
        <v>0.4</v>
      </c>
      <c r="BR170" s="2087">
        <v>0.4</v>
      </c>
      <c r="BS170" s="2087">
        <v>0.4</v>
      </c>
      <c r="BT170" s="2087">
        <v>0.4</v>
      </c>
      <c r="BU170" s="2087">
        <v>0.4</v>
      </c>
      <c r="BV170" s="2088"/>
      <c r="BW170" s="2087"/>
      <c r="BX170" s="2087"/>
    </row>
    <row r="171" spans="1:77" ht="13.5" customHeight="1">
      <c r="B171" s="1617" t="str">
        <f t="shared" si="156"/>
        <v>3.1.1</v>
      </c>
      <c r="C171" s="1647" t="str">
        <f t="shared" si="157"/>
        <v>騒音</v>
      </c>
      <c r="D171" s="1716">
        <f t="shared" ref="D171:E173" si="185">IF(I$170=0,0,G171/I$170)</f>
        <v>0.33333333333333331</v>
      </c>
      <c r="E171" s="1716">
        <f t="shared" si="185"/>
        <v>0</v>
      </c>
      <c r="G171" s="1691">
        <f t="shared" si="158"/>
        <v>0.33333333333333331</v>
      </c>
      <c r="H171" s="1691">
        <f t="shared" si="158"/>
        <v>0</v>
      </c>
      <c r="I171" s="1691"/>
      <c r="J171" s="1691"/>
      <c r="K171" s="1616">
        <f>IF(スコア表示!X171=0,0,1)</f>
        <v>1</v>
      </c>
      <c r="L171" s="1616">
        <f>IF(スコア表示!AB171=0,0,1)</f>
        <v>0</v>
      </c>
      <c r="N171" s="1713">
        <f t="shared" ref="N171:O173" si="186">IF(P$170&gt;0,R171/P$170,0)</f>
        <v>0.33333333333333331</v>
      </c>
      <c r="O171" s="1713">
        <f t="shared" si="186"/>
        <v>0</v>
      </c>
      <c r="P171" s="1616"/>
      <c r="Q171" s="1616"/>
      <c r="R171" s="1616">
        <f>IF(スコア入力!R171="EB",重み_対象外!D171,U171)</f>
        <v>4.4444444444444432E-2</v>
      </c>
      <c r="S171" s="1616">
        <f>IF(スコア入力!Y171="EB",重み_対象外!E171,V171)</f>
        <v>0</v>
      </c>
      <c r="T171" s="1560"/>
      <c r="U171" s="1614">
        <f t="shared" ref="U171:V173" si="187">X$169*X$170*X171</f>
        <v>4.4444444444444432E-2</v>
      </c>
      <c r="V171" s="1614">
        <f t="shared" si="187"/>
        <v>0</v>
      </c>
      <c r="W171" s="1560"/>
      <c r="X171" s="1616">
        <f t="shared" si="159"/>
        <v>0.33333333333333331</v>
      </c>
      <c r="Y171" s="1616">
        <f t="shared" si="160"/>
        <v>0</v>
      </c>
      <c r="Z171" s="1571"/>
      <c r="AA171" s="1613" t="str">
        <f t="shared" si="163"/>
        <v>3.1.1</v>
      </c>
      <c r="AB171" s="1613" t="str">
        <f t="shared" si="164"/>
        <v>LR3 3.1</v>
      </c>
      <c r="AC171" s="1613" t="str">
        <f t="shared" si="171"/>
        <v>騒音</v>
      </c>
      <c r="AD171" s="1759">
        <f t="shared" si="172"/>
        <v>0.33333333333333331</v>
      </c>
      <c r="AE171" s="1759">
        <f t="shared" si="173"/>
        <v>0.33333333333333331</v>
      </c>
      <c r="AF171" s="1759">
        <f t="shared" si="174"/>
        <v>0.33333333333333331</v>
      </c>
      <c r="AG171" s="1759">
        <f t="shared" si="175"/>
        <v>0.33333333333333331</v>
      </c>
      <c r="AH171" s="1759">
        <f t="shared" si="176"/>
        <v>0.33333333333333331</v>
      </c>
      <c r="AI171" s="1759">
        <f t="shared" si="177"/>
        <v>0.33333333333333331</v>
      </c>
      <c r="AJ171" s="1759">
        <f t="shared" si="141"/>
        <v>0.33333333333333331</v>
      </c>
      <c r="AK171" s="1761">
        <f t="shared" si="178"/>
        <v>0.33333333333333331</v>
      </c>
      <c r="AL171" s="1759">
        <f t="shared" si="179"/>
        <v>0.33333333333333331</v>
      </c>
      <c r="AM171" s="1759">
        <f t="shared" si="179"/>
        <v>0.33333333333333331</v>
      </c>
      <c r="AN171" s="1760">
        <f t="shared" si="182"/>
        <v>0</v>
      </c>
      <c r="AO171" s="1759">
        <f t="shared" si="182"/>
        <v>0</v>
      </c>
      <c r="AP171" s="1759">
        <f t="shared" si="182"/>
        <v>0</v>
      </c>
      <c r="AR171" s="1630" t="s">
        <v>1617</v>
      </c>
      <c r="AS171" s="1647" t="s">
        <v>385</v>
      </c>
      <c r="AT171" s="1737" t="s">
        <v>1156</v>
      </c>
      <c r="AU171" s="1623">
        <v>0.33333333333333331</v>
      </c>
      <c r="AV171" s="1623">
        <v>0.33333333333333331</v>
      </c>
      <c r="AW171" s="1623">
        <v>0.33333333333333331</v>
      </c>
      <c r="AX171" s="1623">
        <v>0.33333333333333331</v>
      </c>
      <c r="AY171" s="1623">
        <v>0.33333333333333331</v>
      </c>
      <c r="AZ171" s="1623">
        <v>0.33333333333333331</v>
      </c>
      <c r="BA171" s="1623">
        <v>0.33333333333333331</v>
      </c>
      <c r="BB171" s="1623">
        <v>0.33333333333333331</v>
      </c>
      <c r="BC171" s="1623">
        <v>0.33333333333333331</v>
      </c>
      <c r="BD171" s="1623">
        <v>0.33333333333333331</v>
      </c>
      <c r="BE171" s="1623"/>
      <c r="BF171" s="1623"/>
      <c r="BG171" s="1623"/>
      <c r="BI171" s="1630" t="s">
        <v>1617</v>
      </c>
      <c r="BJ171" s="1647" t="s">
        <v>385</v>
      </c>
      <c r="BK171" s="1737" t="s">
        <v>1156</v>
      </c>
      <c r="BL171" s="1623">
        <v>0.33333333333333331</v>
      </c>
      <c r="BM171" s="1623">
        <v>0.33333333333333331</v>
      </c>
      <c r="BN171" s="1623">
        <v>0.33333333333333331</v>
      </c>
      <c r="BO171" s="1623">
        <v>0.33333333333333331</v>
      </c>
      <c r="BP171" s="1623">
        <v>0.33333333333333331</v>
      </c>
      <c r="BQ171" s="1623">
        <v>0.33333333333333331</v>
      </c>
      <c r="BR171" s="1623">
        <v>0.33333333333333331</v>
      </c>
      <c r="BS171" s="1623">
        <v>0.33333333333333331</v>
      </c>
      <c r="BT171" s="1623">
        <v>0.33333333333333331</v>
      </c>
      <c r="BU171" s="1623">
        <v>0.33333333333333331</v>
      </c>
      <c r="BV171" s="1623"/>
      <c r="BW171" s="1623"/>
      <c r="BX171" s="1623"/>
    </row>
    <row r="172" spans="1:77" ht="13.5" customHeight="1">
      <c r="B172" s="1617" t="str">
        <f t="shared" si="156"/>
        <v>3.1.2</v>
      </c>
      <c r="C172" s="1647" t="str">
        <f t="shared" si="157"/>
        <v>振動</v>
      </c>
      <c r="D172" s="1716">
        <f t="shared" si="185"/>
        <v>0.33333333333333331</v>
      </c>
      <c r="E172" s="1716">
        <f t="shared" si="185"/>
        <v>0</v>
      </c>
      <c r="G172" s="1691">
        <f t="shared" si="158"/>
        <v>0.33333333333333331</v>
      </c>
      <c r="H172" s="1691">
        <f t="shared" si="158"/>
        <v>0</v>
      </c>
      <c r="I172" s="1691"/>
      <c r="J172" s="1691"/>
      <c r="K172" s="1616">
        <f>IF(スコア表示!X172=0,0,1)</f>
        <v>1</v>
      </c>
      <c r="L172" s="1616">
        <f>IF(スコア表示!AB172=0,0,1)</f>
        <v>0</v>
      </c>
      <c r="N172" s="1713">
        <f t="shared" si="186"/>
        <v>0.33333333333333331</v>
      </c>
      <c r="O172" s="1713">
        <f t="shared" si="186"/>
        <v>0</v>
      </c>
      <c r="P172" s="1616"/>
      <c r="Q172" s="1616"/>
      <c r="R172" s="1616">
        <f>IF(スコア入力!R172="EB",重み_対象外!D172,U172)</f>
        <v>4.4444444444444432E-2</v>
      </c>
      <c r="S172" s="1616">
        <f>IF(スコア入力!Y172="EB",重み_対象外!E172,V172)</f>
        <v>0</v>
      </c>
      <c r="T172" s="1560"/>
      <c r="U172" s="1614">
        <f t="shared" si="187"/>
        <v>4.4444444444444432E-2</v>
      </c>
      <c r="V172" s="1614">
        <f t="shared" si="187"/>
        <v>0</v>
      </c>
      <c r="W172" s="1560"/>
      <c r="X172" s="1616">
        <f t="shared" si="159"/>
        <v>0.33333333333333331</v>
      </c>
      <c r="Y172" s="1616">
        <f t="shared" si="160"/>
        <v>0</v>
      </c>
      <c r="Z172" s="1571"/>
      <c r="AA172" s="1613" t="str">
        <f t="shared" si="163"/>
        <v>3.1.2</v>
      </c>
      <c r="AB172" s="1613" t="str">
        <f t="shared" si="164"/>
        <v>LR3 3.1</v>
      </c>
      <c r="AC172" s="1613" t="str">
        <f t="shared" si="171"/>
        <v>振動</v>
      </c>
      <c r="AD172" s="1759">
        <f t="shared" si="172"/>
        <v>0.33333333333333331</v>
      </c>
      <c r="AE172" s="1759">
        <f t="shared" si="173"/>
        <v>0.33333333333333331</v>
      </c>
      <c r="AF172" s="1759">
        <f t="shared" si="174"/>
        <v>0.33333333333333331</v>
      </c>
      <c r="AG172" s="1759">
        <f t="shared" si="175"/>
        <v>0.33333333333333331</v>
      </c>
      <c r="AH172" s="1759">
        <f t="shared" si="176"/>
        <v>0.33333333333333331</v>
      </c>
      <c r="AI172" s="1759">
        <f t="shared" si="177"/>
        <v>0.33333333333333331</v>
      </c>
      <c r="AJ172" s="1759">
        <f t="shared" si="141"/>
        <v>0.33333333333333331</v>
      </c>
      <c r="AK172" s="1761">
        <f t="shared" si="178"/>
        <v>0.33333333333333331</v>
      </c>
      <c r="AL172" s="1759">
        <f t="shared" si="179"/>
        <v>0.33333333333333331</v>
      </c>
      <c r="AM172" s="1759">
        <f t="shared" si="179"/>
        <v>0.33333333333333331</v>
      </c>
      <c r="AN172" s="1760">
        <f t="shared" si="182"/>
        <v>0</v>
      </c>
      <c r="AO172" s="1759">
        <f t="shared" si="182"/>
        <v>0</v>
      </c>
      <c r="AP172" s="1759">
        <f t="shared" si="182"/>
        <v>0</v>
      </c>
      <c r="AR172" s="1630" t="s">
        <v>1487</v>
      </c>
      <c r="AS172" s="1647" t="s">
        <v>385</v>
      </c>
      <c r="AT172" s="1737" t="s">
        <v>1157</v>
      </c>
      <c r="AU172" s="1623">
        <v>0.33333333333333331</v>
      </c>
      <c r="AV172" s="1623">
        <v>0.33333333333333331</v>
      </c>
      <c r="AW172" s="1623">
        <v>0.33333333333333331</v>
      </c>
      <c r="AX172" s="1623">
        <v>0.33333333333333331</v>
      </c>
      <c r="AY172" s="1623">
        <v>0.33333333333333331</v>
      </c>
      <c r="AZ172" s="1623">
        <v>0.33333333333333331</v>
      </c>
      <c r="BA172" s="1623">
        <v>0.33333333333333331</v>
      </c>
      <c r="BB172" s="1623">
        <v>0.33333333333333331</v>
      </c>
      <c r="BC172" s="1623">
        <v>0.33333333333333331</v>
      </c>
      <c r="BD172" s="1623">
        <v>0.33333333333333331</v>
      </c>
      <c r="BE172" s="1623"/>
      <c r="BF172" s="1623"/>
      <c r="BG172" s="1623"/>
      <c r="BI172" s="1630" t="s">
        <v>1487</v>
      </c>
      <c r="BJ172" s="1647" t="s">
        <v>385</v>
      </c>
      <c r="BK172" s="1737" t="s">
        <v>1157</v>
      </c>
      <c r="BL172" s="1623">
        <v>0.33333333333333331</v>
      </c>
      <c r="BM172" s="1623">
        <v>0.33333333333333331</v>
      </c>
      <c r="BN172" s="1623">
        <v>0.33333333333333331</v>
      </c>
      <c r="BO172" s="1623">
        <v>0.33333333333333331</v>
      </c>
      <c r="BP172" s="1623">
        <v>0.33333333333333331</v>
      </c>
      <c r="BQ172" s="1623">
        <v>0.33333333333333331</v>
      </c>
      <c r="BR172" s="1623">
        <v>0.33333333333333331</v>
      </c>
      <c r="BS172" s="1623">
        <v>0.33333333333333331</v>
      </c>
      <c r="BT172" s="1623">
        <v>0.33333333333333331</v>
      </c>
      <c r="BU172" s="1623">
        <v>0.33333333333333331</v>
      </c>
      <c r="BV172" s="1623"/>
      <c r="BW172" s="1623"/>
      <c r="BX172" s="1623"/>
    </row>
    <row r="173" spans="1:77" ht="13.5" customHeight="1">
      <c r="B173" s="1617" t="str">
        <f t="shared" ref="B173:B180" si="188">AA173</f>
        <v>3.1.3</v>
      </c>
      <c r="C173" s="1647" t="str">
        <f t="shared" ref="C173:C180" si="189">AC173</f>
        <v>悪臭</v>
      </c>
      <c r="D173" s="1716">
        <f t="shared" si="185"/>
        <v>0.33333333333333331</v>
      </c>
      <c r="E173" s="1716">
        <f t="shared" si="185"/>
        <v>0</v>
      </c>
      <c r="G173" s="1691">
        <f t="shared" ref="G173:H180" si="190">K173*N173</f>
        <v>0.33333333333333331</v>
      </c>
      <c r="H173" s="1691">
        <f t="shared" si="190"/>
        <v>0</v>
      </c>
      <c r="I173" s="1691"/>
      <c r="J173" s="1691"/>
      <c r="K173" s="1616">
        <f>IF(スコア表示!X173=0,0,1)</f>
        <v>1</v>
      </c>
      <c r="L173" s="1616">
        <f>IF(スコア表示!AB173=0,0,1)</f>
        <v>0</v>
      </c>
      <c r="N173" s="1713">
        <f t="shared" si="186"/>
        <v>0.33333333333333331</v>
      </c>
      <c r="O173" s="1713">
        <f t="shared" si="186"/>
        <v>0</v>
      </c>
      <c r="P173" s="1616"/>
      <c r="Q173" s="1616"/>
      <c r="R173" s="1616">
        <f>IF(スコア入力!R173="EB",重み_対象外!D173,U173)</f>
        <v>4.4444444444444432E-2</v>
      </c>
      <c r="S173" s="1616">
        <f>IF(スコア入力!Y173="EB",重み_対象外!E173,V173)</f>
        <v>0</v>
      </c>
      <c r="T173" s="1560"/>
      <c r="U173" s="1614">
        <f t="shared" si="187"/>
        <v>4.4444444444444432E-2</v>
      </c>
      <c r="V173" s="1614">
        <f t="shared" si="187"/>
        <v>0</v>
      </c>
      <c r="W173" s="1560"/>
      <c r="X173" s="1616">
        <f t="shared" si="159"/>
        <v>0.33333333333333331</v>
      </c>
      <c r="Y173" s="1616">
        <f t="shared" si="160"/>
        <v>0</v>
      </c>
      <c r="Z173" s="1571"/>
      <c r="AA173" s="1613" t="str">
        <f t="shared" si="163"/>
        <v>3.1.3</v>
      </c>
      <c r="AB173" s="1613" t="str">
        <f t="shared" si="164"/>
        <v>LR3 3.1</v>
      </c>
      <c r="AC173" s="1613" t="str">
        <f t="shared" si="171"/>
        <v>悪臭</v>
      </c>
      <c r="AD173" s="1759">
        <f t="shared" si="172"/>
        <v>0.33333333333333331</v>
      </c>
      <c r="AE173" s="1759">
        <f t="shared" si="173"/>
        <v>0.33333333333333331</v>
      </c>
      <c r="AF173" s="1759">
        <f t="shared" si="174"/>
        <v>0.33333333333333331</v>
      </c>
      <c r="AG173" s="1759">
        <f t="shared" si="175"/>
        <v>0.33333333333333331</v>
      </c>
      <c r="AH173" s="1759">
        <f t="shared" si="176"/>
        <v>0.33333333333333331</v>
      </c>
      <c r="AI173" s="1759">
        <f t="shared" si="177"/>
        <v>0.33333333333333331</v>
      </c>
      <c r="AJ173" s="1759">
        <f t="shared" si="141"/>
        <v>0.33333333333333331</v>
      </c>
      <c r="AK173" s="1761">
        <f t="shared" si="178"/>
        <v>0.33333333333333331</v>
      </c>
      <c r="AL173" s="1759">
        <f t="shared" si="179"/>
        <v>0.33333333333333331</v>
      </c>
      <c r="AM173" s="1759">
        <f t="shared" si="179"/>
        <v>0.33333333333333331</v>
      </c>
      <c r="AN173" s="1760">
        <f t="shared" si="182"/>
        <v>0</v>
      </c>
      <c r="AO173" s="1759">
        <f t="shared" si="182"/>
        <v>0</v>
      </c>
      <c r="AP173" s="1759">
        <f t="shared" si="182"/>
        <v>0</v>
      </c>
      <c r="AR173" s="1630" t="s">
        <v>1618</v>
      </c>
      <c r="AS173" s="1647" t="s">
        <v>385</v>
      </c>
      <c r="AT173" s="1737" t="s">
        <v>949</v>
      </c>
      <c r="AU173" s="1623">
        <v>0.33333333333333331</v>
      </c>
      <c r="AV173" s="1623">
        <v>0.33333333333333331</v>
      </c>
      <c r="AW173" s="1623">
        <v>0.33333333333333331</v>
      </c>
      <c r="AX173" s="1623">
        <v>0.33333333333333331</v>
      </c>
      <c r="AY173" s="1623">
        <v>0.33333333333333331</v>
      </c>
      <c r="AZ173" s="1623">
        <v>0.33333333333333331</v>
      </c>
      <c r="BA173" s="1623">
        <v>0.33333333333333331</v>
      </c>
      <c r="BB173" s="1623">
        <v>0.33333333333333331</v>
      </c>
      <c r="BC173" s="1623">
        <v>0.33333333333333331</v>
      </c>
      <c r="BD173" s="1623">
        <v>0.33333333333333331</v>
      </c>
      <c r="BE173" s="1623"/>
      <c r="BF173" s="1623"/>
      <c r="BG173" s="1623"/>
      <c r="BI173" s="1630" t="s">
        <v>1618</v>
      </c>
      <c r="BJ173" s="1647" t="s">
        <v>385</v>
      </c>
      <c r="BK173" s="1737" t="s">
        <v>949</v>
      </c>
      <c r="BL173" s="1623">
        <v>0.33333333333333331</v>
      </c>
      <c r="BM173" s="1623">
        <v>0.33333333333333331</v>
      </c>
      <c r="BN173" s="1623">
        <v>0.33333333333333331</v>
      </c>
      <c r="BO173" s="1623">
        <v>0.33333333333333331</v>
      </c>
      <c r="BP173" s="1623">
        <v>0.33333333333333331</v>
      </c>
      <c r="BQ173" s="1623">
        <v>0.33333333333333331</v>
      </c>
      <c r="BR173" s="1623">
        <v>0.33333333333333331</v>
      </c>
      <c r="BS173" s="1623">
        <v>0.33333333333333331</v>
      </c>
      <c r="BT173" s="1623">
        <v>0.33333333333333331</v>
      </c>
      <c r="BU173" s="1623">
        <v>0.33333333333333331</v>
      </c>
      <c r="BV173" s="1623"/>
      <c r="BW173" s="1623"/>
      <c r="BX173" s="1623"/>
    </row>
    <row r="174" spans="1:77" ht="13.5" customHeight="1">
      <c r="B174" s="1617" t="str">
        <f t="shared" si="188"/>
        <v>3.2</v>
      </c>
      <c r="C174" s="1647" t="str">
        <f t="shared" si="189"/>
        <v>風害・砂塵、日照阻害の抑制</v>
      </c>
      <c r="D174" s="1716">
        <f>IF(I$169=0,0,G174/I$169)</f>
        <v>0.4</v>
      </c>
      <c r="E174" s="1716">
        <f>IF(J$169=0,0,H174/J$169)</f>
        <v>0</v>
      </c>
      <c r="G174" s="1691">
        <f t="shared" si="190"/>
        <v>0.4</v>
      </c>
      <c r="H174" s="1691">
        <f t="shared" si="190"/>
        <v>0</v>
      </c>
      <c r="I174" s="1691">
        <f>SUM(G175:G177)</f>
        <v>1</v>
      </c>
      <c r="J174" s="1691">
        <f>SUM(H175:H177)</f>
        <v>0</v>
      </c>
      <c r="K174" s="1616">
        <f>IF(スコア表示!X174=0,0,1)</f>
        <v>1</v>
      </c>
      <c r="L174" s="1616">
        <f>IF(スコア表示!AB174=0,0,1)</f>
        <v>0</v>
      </c>
      <c r="N174" s="1713">
        <f>IF(P$169=0,0,P174/P$169)</f>
        <v>0.4</v>
      </c>
      <c r="O174" s="1713">
        <f>IF(Q$169=0,0,Q174/Q$169)</f>
        <v>0</v>
      </c>
      <c r="P174" s="1616">
        <f>SUM(R175:R177)</f>
        <v>0.1333333333333333</v>
      </c>
      <c r="Q174" s="1616">
        <f>SUM(S175:S177)</f>
        <v>0</v>
      </c>
      <c r="R174" s="1616">
        <f>IF(スコア入力!R174="EB",重み_対象外!D174,U174)</f>
        <v>0</v>
      </c>
      <c r="S174" s="1616">
        <f>IF(スコア入力!Y174="EB",重み_対象外!E174,V174)</f>
        <v>0</v>
      </c>
      <c r="T174" s="1560"/>
      <c r="U174" s="1614"/>
      <c r="V174" s="1614"/>
      <c r="W174" s="1560"/>
      <c r="X174" s="1616">
        <f t="shared" si="159"/>
        <v>0.39999999999999997</v>
      </c>
      <c r="Y174" s="1616">
        <f t="shared" si="160"/>
        <v>0</v>
      </c>
      <c r="Z174" s="1571"/>
      <c r="AA174" s="1613" t="str">
        <f t="shared" si="163"/>
        <v>3.2</v>
      </c>
      <c r="AB174" s="1613" t="str">
        <f t="shared" si="164"/>
        <v>LR3 3</v>
      </c>
      <c r="AC174" s="1613" t="str">
        <f t="shared" si="171"/>
        <v>風害・砂塵、日照阻害の抑制</v>
      </c>
      <c r="AD174" s="1759">
        <f t="shared" si="172"/>
        <v>0.4</v>
      </c>
      <c r="AE174" s="1759">
        <f t="shared" si="173"/>
        <v>0.4</v>
      </c>
      <c r="AF174" s="1759">
        <f t="shared" si="174"/>
        <v>0.4</v>
      </c>
      <c r="AG174" s="1759">
        <f t="shared" si="175"/>
        <v>0.4</v>
      </c>
      <c r="AH174" s="1759">
        <f t="shared" si="176"/>
        <v>0.4</v>
      </c>
      <c r="AI174" s="1759">
        <f t="shared" si="177"/>
        <v>0.4</v>
      </c>
      <c r="AJ174" s="1759">
        <f t="shared" si="141"/>
        <v>0.4</v>
      </c>
      <c r="AK174" s="1761">
        <f t="shared" si="178"/>
        <v>0.4</v>
      </c>
      <c r="AL174" s="1759">
        <f t="shared" si="179"/>
        <v>0.4</v>
      </c>
      <c r="AM174" s="1759">
        <f t="shared" si="179"/>
        <v>0.4</v>
      </c>
      <c r="AN174" s="1760">
        <f t="shared" si="182"/>
        <v>0</v>
      </c>
      <c r="AO174" s="1759">
        <f t="shared" si="182"/>
        <v>0</v>
      </c>
      <c r="AP174" s="1759">
        <f t="shared" si="182"/>
        <v>0</v>
      </c>
      <c r="AR174" s="1630" t="s">
        <v>1560</v>
      </c>
      <c r="AS174" s="1693" t="s">
        <v>384</v>
      </c>
      <c r="AT174" s="1737" t="s">
        <v>1619</v>
      </c>
      <c r="AU174" s="2087">
        <v>0.4</v>
      </c>
      <c r="AV174" s="2087">
        <v>0.4</v>
      </c>
      <c r="AW174" s="2087">
        <v>0.4</v>
      </c>
      <c r="AX174" s="2087">
        <v>0.4</v>
      </c>
      <c r="AY174" s="2087">
        <v>0.4</v>
      </c>
      <c r="AZ174" s="2087">
        <v>0.4</v>
      </c>
      <c r="BA174" s="2087">
        <v>0.4</v>
      </c>
      <c r="BB174" s="2087">
        <v>0.4</v>
      </c>
      <c r="BC174" s="2087">
        <v>0.4</v>
      </c>
      <c r="BD174" s="2087">
        <v>0.4</v>
      </c>
      <c r="BE174" s="2088"/>
      <c r="BF174" s="2087"/>
      <c r="BG174" s="2087"/>
      <c r="BI174" s="1630" t="s">
        <v>1560</v>
      </c>
      <c r="BJ174" s="1693" t="s">
        <v>384</v>
      </c>
      <c r="BK174" s="1737" t="s">
        <v>1619</v>
      </c>
      <c r="BL174" s="2087">
        <v>0.4</v>
      </c>
      <c r="BM174" s="2087">
        <v>0.4</v>
      </c>
      <c r="BN174" s="2087">
        <v>0.4</v>
      </c>
      <c r="BO174" s="2087">
        <v>0.4</v>
      </c>
      <c r="BP174" s="2087">
        <v>0.4</v>
      </c>
      <c r="BQ174" s="2087">
        <v>0.4</v>
      </c>
      <c r="BR174" s="2087">
        <v>0.4</v>
      </c>
      <c r="BS174" s="2087">
        <v>0.4</v>
      </c>
      <c r="BT174" s="2087">
        <v>0.4</v>
      </c>
      <c r="BU174" s="2087">
        <v>0.4</v>
      </c>
      <c r="BV174" s="2088"/>
      <c r="BW174" s="2087"/>
      <c r="BX174" s="2087"/>
    </row>
    <row r="175" spans="1:77" ht="13.5" customHeight="1">
      <c r="B175" s="1617" t="str">
        <f t="shared" si="188"/>
        <v>3.2.1</v>
      </c>
      <c r="C175" s="1647" t="str">
        <f t="shared" si="189"/>
        <v>風害の抑制</v>
      </c>
      <c r="D175" s="1716">
        <f t="shared" ref="D175:E177" si="191">IF(I$174=0,0,G175/I$174)</f>
        <v>0.7</v>
      </c>
      <c r="E175" s="1716">
        <f t="shared" si="191"/>
        <v>0</v>
      </c>
      <c r="G175" s="1691">
        <f t="shared" si="190"/>
        <v>0.7</v>
      </c>
      <c r="H175" s="1691">
        <f t="shared" si="190"/>
        <v>0</v>
      </c>
      <c r="I175" s="1691"/>
      <c r="J175" s="1691"/>
      <c r="K175" s="1616">
        <f>IF(スコア表示!X175=0,0,1)</f>
        <v>1</v>
      </c>
      <c r="L175" s="1616">
        <f>IF(スコア表示!AB175=0,0,1)</f>
        <v>0</v>
      </c>
      <c r="N175" s="1713">
        <f t="shared" ref="N175:O177" si="192">IF(P$174&gt;0,R175/P$174,0)</f>
        <v>0.7</v>
      </c>
      <c r="O175" s="1713">
        <f t="shared" si="192"/>
        <v>0</v>
      </c>
      <c r="P175" s="1616"/>
      <c r="Q175" s="1616"/>
      <c r="R175" s="1616">
        <f>IF(スコア入力!R175="EB",重み_対象外!D175,U175)</f>
        <v>9.333333333333331E-2</v>
      </c>
      <c r="S175" s="1616">
        <f>IF(スコア入力!Y175="EB",重み_対象外!E175,V175)</f>
        <v>0</v>
      </c>
      <c r="T175" s="1560"/>
      <c r="U175" s="1614">
        <f t="shared" ref="U175:V177" si="193">X$169*X$174*X175</f>
        <v>9.333333333333331E-2</v>
      </c>
      <c r="V175" s="1614">
        <f t="shared" si="193"/>
        <v>0</v>
      </c>
      <c r="W175" s="1560"/>
      <c r="X175" s="1616">
        <f t="shared" si="159"/>
        <v>0.7</v>
      </c>
      <c r="Y175" s="1616">
        <f t="shared" si="160"/>
        <v>0</v>
      </c>
      <c r="Z175" s="1571"/>
      <c r="AA175" s="1613" t="str">
        <f t="shared" si="163"/>
        <v>3.2.1</v>
      </c>
      <c r="AB175" s="1613" t="str">
        <f t="shared" si="164"/>
        <v>LR3 3.2</v>
      </c>
      <c r="AC175" s="1613" t="str">
        <f t="shared" si="171"/>
        <v>風害の抑制</v>
      </c>
      <c r="AD175" s="1759">
        <f t="shared" si="172"/>
        <v>0.7</v>
      </c>
      <c r="AE175" s="1759">
        <f t="shared" si="173"/>
        <v>0.7</v>
      </c>
      <c r="AF175" s="1759">
        <f t="shared" si="174"/>
        <v>0.7</v>
      </c>
      <c r="AG175" s="1759">
        <f t="shared" si="175"/>
        <v>0.7</v>
      </c>
      <c r="AH175" s="1759">
        <f t="shared" si="176"/>
        <v>0.7</v>
      </c>
      <c r="AI175" s="1759">
        <f t="shared" si="177"/>
        <v>0.7</v>
      </c>
      <c r="AJ175" s="1759">
        <f t="shared" si="141"/>
        <v>0.7</v>
      </c>
      <c r="AK175" s="1761">
        <f t="shared" si="178"/>
        <v>0.7</v>
      </c>
      <c r="AL175" s="1759">
        <f t="shared" si="179"/>
        <v>0.7</v>
      </c>
      <c r="AM175" s="1759">
        <f t="shared" si="179"/>
        <v>0.6</v>
      </c>
      <c r="AN175" s="1760"/>
      <c r="AO175" s="1759"/>
      <c r="AP175" s="1759"/>
      <c r="AR175" s="1630" t="s">
        <v>1490</v>
      </c>
      <c r="AS175" s="1693" t="s">
        <v>386</v>
      </c>
      <c r="AT175" s="1694" t="s">
        <v>1620</v>
      </c>
      <c r="AU175" s="1623">
        <v>0.7</v>
      </c>
      <c r="AV175" s="1623">
        <v>0.7</v>
      </c>
      <c r="AW175" s="1623">
        <v>0.7</v>
      </c>
      <c r="AX175" s="1623">
        <v>0.7</v>
      </c>
      <c r="AY175" s="1623">
        <v>0.7</v>
      </c>
      <c r="AZ175" s="1623">
        <v>0.7</v>
      </c>
      <c r="BA175" s="1623">
        <v>0.7</v>
      </c>
      <c r="BB175" s="1623">
        <v>0.7</v>
      </c>
      <c r="BC175" s="1623">
        <v>0.7</v>
      </c>
      <c r="BD175" s="2087">
        <v>0.6</v>
      </c>
      <c r="BE175" s="2088"/>
      <c r="BF175" s="2087"/>
      <c r="BG175" s="2087"/>
      <c r="BI175" s="1630" t="s">
        <v>1490</v>
      </c>
      <c r="BJ175" s="1693" t="s">
        <v>386</v>
      </c>
      <c r="BK175" s="1694" t="s">
        <v>1620</v>
      </c>
      <c r="BL175" s="1623">
        <v>0.7</v>
      </c>
      <c r="BM175" s="1623">
        <v>0.7</v>
      </c>
      <c r="BN175" s="1623">
        <v>0.7</v>
      </c>
      <c r="BO175" s="1623">
        <v>0.7</v>
      </c>
      <c r="BP175" s="1623">
        <v>0.7</v>
      </c>
      <c r="BQ175" s="1623">
        <v>0.7</v>
      </c>
      <c r="BR175" s="1623">
        <v>0.7</v>
      </c>
      <c r="BS175" s="1623">
        <v>0.7</v>
      </c>
      <c r="BT175" s="1623">
        <v>0.7</v>
      </c>
      <c r="BU175" s="2087">
        <v>0.6</v>
      </c>
      <c r="BV175" s="2088"/>
      <c r="BW175" s="2087"/>
      <c r="BX175" s="2087"/>
    </row>
    <row r="176" spans="1:77" ht="13.5" customHeight="1">
      <c r="B176" s="1617" t="str">
        <f t="shared" si="188"/>
        <v>3.2.2</v>
      </c>
      <c r="C176" s="1660" t="str">
        <f t="shared" si="189"/>
        <v>砂塵の抑制</v>
      </c>
      <c r="D176" s="1716">
        <f t="shared" si="191"/>
        <v>0</v>
      </c>
      <c r="E176" s="1716">
        <f t="shared" si="191"/>
        <v>0</v>
      </c>
      <c r="G176" s="1691">
        <f t="shared" si="190"/>
        <v>0</v>
      </c>
      <c r="H176" s="1691">
        <f t="shared" si="190"/>
        <v>0</v>
      </c>
      <c r="I176" s="1691"/>
      <c r="J176" s="1691"/>
      <c r="K176" s="1616">
        <f>IF(スコア表示!X176=0,0,1)</f>
        <v>1</v>
      </c>
      <c r="L176" s="1616">
        <f>IF(スコア表示!AB176=0,0,1)</f>
        <v>0</v>
      </c>
      <c r="N176" s="1713">
        <f t="shared" si="192"/>
        <v>0</v>
      </c>
      <c r="O176" s="1713">
        <f t="shared" si="192"/>
        <v>0</v>
      </c>
      <c r="P176" s="1616"/>
      <c r="Q176" s="1616"/>
      <c r="R176" s="1616">
        <f>IF(スコア入力!R176="EB",重み_対象外!D176,U176)</f>
        <v>0</v>
      </c>
      <c r="S176" s="1616">
        <f>IF(スコア入力!Y176="EB",重み_対象外!E176,V176)</f>
        <v>0</v>
      </c>
      <c r="T176" s="1560"/>
      <c r="U176" s="1614">
        <f t="shared" si="193"/>
        <v>0</v>
      </c>
      <c r="V176" s="1614">
        <f t="shared" si="193"/>
        <v>0</v>
      </c>
      <c r="W176" s="1560"/>
      <c r="X176" s="1616">
        <f t="shared" si="159"/>
        <v>0</v>
      </c>
      <c r="Y176" s="1616">
        <f t="shared" si="160"/>
        <v>0</v>
      </c>
      <c r="Z176" s="1571"/>
      <c r="AA176" s="1617" t="str">
        <f t="shared" si="163"/>
        <v>3.2.2</v>
      </c>
      <c r="AB176" s="1617" t="str">
        <f t="shared" si="164"/>
        <v>LR3 3.2</v>
      </c>
      <c r="AC176" s="1660" t="str">
        <f t="shared" si="171"/>
        <v>砂塵の抑制</v>
      </c>
      <c r="AD176" s="1759">
        <f t="shared" si="172"/>
        <v>0</v>
      </c>
      <c r="AE176" s="1759">
        <f t="shared" si="173"/>
        <v>0</v>
      </c>
      <c r="AF176" s="1759">
        <f t="shared" si="174"/>
        <v>0</v>
      </c>
      <c r="AG176" s="1759">
        <f t="shared" si="175"/>
        <v>0</v>
      </c>
      <c r="AH176" s="1759">
        <f t="shared" si="176"/>
        <v>0</v>
      </c>
      <c r="AI176" s="1759">
        <f t="shared" si="177"/>
        <v>0</v>
      </c>
      <c r="AJ176" s="1759">
        <f t="shared" si="141"/>
        <v>0</v>
      </c>
      <c r="AK176" s="1761">
        <f t="shared" si="178"/>
        <v>0</v>
      </c>
      <c r="AL176" s="1759">
        <f t="shared" si="179"/>
        <v>0</v>
      </c>
      <c r="AM176" s="1759">
        <f t="shared" si="179"/>
        <v>0.2</v>
      </c>
      <c r="AN176" s="1760"/>
      <c r="AO176" s="1759"/>
      <c r="AP176" s="1759"/>
      <c r="AR176" s="1630" t="s">
        <v>1492</v>
      </c>
      <c r="AS176" s="1693" t="s">
        <v>1621</v>
      </c>
      <c r="AT176" s="1694" t="s">
        <v>1158</v>
      </c>
      <c r="AU176" s="1623"/>
      <c r="AV176" s="1623"/>
      <c r="AW176" s="1623"/>
      <c r="AX176" s="1623"/>
      <c r="AY176" s="1623"/>
      <c r="AZ176" s="1623"/>
      <c r="BA176" s="1623"/>
      <c r="BB176" s="1623"/>
      <c r="BC176" s="1623"/>
      <c r="BD176" s="2087">
        <v>0.2</v>
      </c>
      <c r="BE176" s="2088"/>
      <c r="BF176" s="2087"/>
      <c r="BG176" s="2087"/>
      <c r="BI176" s="1630" t="s">
        <v>1492</v>
      </c>
      <c r="BJ176" s="1693" t="s">
        <v>1621</v>
      </c>
      <c r="BK176" s="1694" t="s">
        <v>1158</v>
      </c>
      <c r="BL176" s="1623"/>
      <c r="BM176" s="1623"/>
      <c r="BN176" s="1623"/>
      <c r="BO176" s="1623"/>
      <c r="BP176" s="1623"/>
      <c r="BQ176" s="1623"/>
      <c r="BR176" s="1623"/>
      <c r="BS176" s="1623"/>
      <c r="BT176" s="1623"/>
      <c r="BU176" s="2087">
        <v>0.2</v>
      </c>
      <c r="BV176" s="2088"/>
      <c r="BW176" s="2087"/>
      <c r="BX176" s="2087"/>
    </row>
    <row r="177" spans="2:76" s="1558" customFormat="1" ht="13.5" customHeight="1">
      <c r="B177" s="1617" t="str">
        <f>AA177</f>
        <v>3.2.3</v>
      </c>
      <c r="C177" s="1660" t="str">
        <f>AC177</f>
        <v>日照阻害の抑制</v>
      </c>
      <c r="D177" s="1716">
        <f t="shared" si="191"/>
        <v>0.3</v>
      </c>
      <c r="E177" s="1716">
        <f t="shared" si="191"/>
        <v>0</v>
      </c>
      <c r="F177"/>
      <c r="G177" s="1691">
        <f t="shared" si="190"/>
        <v>0.3</v>
      </c>
      <c r="H177" s="1691">
        <f t="shared" si="190"/>
        <v>0</v>
      </c>
      <c r="I177" s="1691"/>
      <c r="J177" s="1691"/>
      <c r="K177" s="1616">
        <f>IF(スコア表示!X177=0,0,1)</f>
        <v>1</v>
      </c>
      <c r="L177" s="1616">
        <f>IF(スコア表示!AB177=0,0,1)</f>
        <v>0</v>
      </c>
      <c r="M177"/>
      <c r="N177" s="1713">
        <f t="shared" si="192"/>
        <v>0.3</v>
      </c>
      <c r="O177" s="1713">
        <f t="shared" si="192"/>
        <v>0</v>
      </c>
      <c r="P177" s="1616"/>
      <c r="Q177" s="1616"/>
      <c r="R177" s="1616">
        <f>IF(スコア入力!R177="EB",重み_対象外!D177,U177)</f>
        <v>3.9999999999999987E-2</v>
      </c>
      <c r="S177" s="1616">
        <f>IF(スコア入力!Y177="EB",重み_対象外!E177,V177)</f>
        <v>0</v>
      </c>
      <c r="T177" s="1560"/>
      <c r="U177" s="1614">
        <f t="shared" si="193"/>
        <v>3.9999999999999987E-2</v>
      </c>
      <c r="V177" s="1614">
        <f t="shared" si="193"/>
        <v>0</v>
      </c>
      <c r="W177" s="1560"/>
      <c r="X177" s="1616">
        <f t="shared" si="159"/>
        <v>0.3</v>
      </c>
      <c r="Y177" s="1616">
        <f t="shared" si="160"/>
        <v>0</v>
      </c>
      <c r="Z177" s="1571"/>
      <c r="AA177" s="1617" t="str">
        <f t="shared" ref="AA177:AM177" si="194">IF($AA$3=1,AR177,BI177)</f>
        <v>3.2.3</v>
      </c>
      <c r="AB177" s="1617" t="str">
        <f t="shared" si="194"/>
        <v>LR3 3.2</v>
      </c>
      <c r="AC177" s="1660" t="str">
        <f t="shared" si="194"/>
        <v>日照阻害の抑制</v>
      </c>
      <c r="AD177" s="1759">
        <f t="shared" si="194"/>
        <v>0.3</v>
      </c>
      <c r="AE177" s="1759">
        <f t="shared" si="194"/>
        <v>0.3</v>
      </c>
      <c r="AF177" s="1759">
        <f t="shared" si="194"/>
        <v>0.3</v>
      </c>
      <c r="AG177" s="1759">
        <f t="shared" si="194"/>
        <v>0.3</v>
      </c>
      <c r="AH177" s="1759">
        <f t="shared" si="194"/>
        <v>0.3</v>
      </c>
      <c r="AI177" s="1759">
        <f t="shared" si="194"/>
        <v>0.3</v>
      </c>
      <c r="AJ177" s="1759">
        <f t="shared" si="194"/>
        <v>0.3</v>
      </c>
      <c r="AK177" s="1761">
        <f t="shared" si="194"/>
        <v>0.3</v>
      </c>
      <c r="AL177" s="1759">
        <f t="shared" si="194"/>
        <v>0.3</v>
      </c>
      <c r="AM177" s="1759">
        <f t="shared" si="194"/>
        <v>0.2</v>
      </c>
      <c r="AN177" s="1760"/>
      <c r="AO177" s="1759"/>
      <c r="AP177" s="1759"/>
      <c r="AQ177" s="1557"/>
      <c r="AR177" s="1630" t="s">
        <v>1607</v>
      </c>
      <c r="AS177" s="1693" t="s">
        <v>386</v>
      </c>
      <c r="AT177" s="1694" t="s">
        <v>1622</v>
      </c>
      <c r="AU177" s="1623">
        <v>0.3</v>
      </c>
      <c r="AV177" s="1623">
        <v>0.3</v>
      </c>
      <c r="AW177" s="1623">
        <v>0.3</v>
      </c>
      <c r="AX177" s="1623">
        <v>0.3</v>
      </c>
      <c r="AY177" s="1623">
        <v>0.3</v>
      </c>
      <c r="AZ177" s="1623">
        <v>0.3</v>
      </c>
      <c r="BA177" s="1623">
        <v>0.3</v>
      </c>
      <c r="BB177" s="1623">
        <v>0.3</v>
      </c>
      <c r="BC177" s="1623">
        <v>0.3</v>
      </c>
      <c r="BD177" s="2087">
        <v>0.2</v>
      </c>
      <c r="BE177" s="2088"/>
      <c r="BF177" s="2087"/>
      <c r="BG177" s="2087"/>
      <c r="BH177"/>
      <c r="BI177" s="1630" t="s">
        <v>1607</v>
      </c>
      <c r="BJ177" s="1693" t="s">
        <v>386</v>
      </c>
      <c r="BK177" s="1694" t="s">
        <v>1622</v>
      </c>
      <c r="BL177" s="1623">
        <v>0.3</v>
      </c>
      <c r="BM177" s="1623">
        <v>0.3</v>
      </c>
      <c r="BN177" s="1623">
        <v>0.3</v>
      </c>
      <c r="BO177" s="1623">
        <v>0.3</v>
      </c>
      <c r="BP177" s="1623">
        <v>0.3</v>
      </c>
      <c r="BQ177" s="1623">
        <v>0.3</v>
      </c>
      <c r="BR177" s="1623">
        <v>0.3</v>
      </c>
      <c r="BS177" s="1623">
        <v>0.3</v>
      </c>
      <c r="BT177" s="1623">
        <v>0.3</v>
      </c>
      <c r="BU177" s="2087">
        <v>0.2</v>
      </c>
      <c r="BV177" s="2088"/>
      <c r="BW177" s="2087"/>
      <c r="BX177" s="2087"/>
    </row>
    <row r="178" spans="2:76" s="1558" customFormat="1" ht="13.5" customHeight="1">
      <c r="B178" s="1617" t="str">
        <f t="shared" si="188"/>
        <v>3.3</v>
      </c>
      <c r="C178" s="1660" t="str">
        <f t="shared" si="189"/>
        <v>光害の抑制</v>
      </c>
      <c r="D178" s="1716">
        <f>IF(I$169=0,0,G178/I$169)</f>
        <v>0.2</v>
      </c>
      <c r="E178" s="1716">
        <f>IF(J$169=0,0,H178/J$169)</f>
        <v>0</v>
      </c>
      <c r="F178"/>
      <c r="G178" s="1691">
        <f t="shared" si="190"/>
        <v>0.2</v>
      </c>
      <c r="H178" s="1691">
        <f t="shared" si="190"/>
        <v>0</v>
      </c>
      <c r="I178" s="1691">
        <f>SUM(G179:G180)</f>
        <v>1</v>
      </c>
      <c r="J178" s="1691">
        <f>SUM(H179:H180)</f>
        <v>0</v>
      </c>
      <c r="K178" s="1616">
        <f>IF(スコア表示!X178=0,0,1)</f>
        <v>1</v>
      </c>
      <c r="L178" s="1616">
        <f>IF(スコア表示!AB178=0,0,1)</f>
        <v>0</v>
      </c>
      <c r="M178"/>
      <c r="N178" s="1713">
        <f>IF(P$169=0,0,P178/P$169)</f>
        <v>0.2</v>
      </c>
      <c r="O178" s="1713">
        <f>IF(Q$169=0,0,Q178/Q$169)</f>
        <v>0</v>
      </c>
      <c r="P178" s="1616">
        <f>SUM(R179:R180)</f>
        <v>6.6666666666666652E-2</v>
      </c>
      <c r="Q178" s="1616">
        <f>SUM(S179:S180)</f>
        <v>0</v>
      </c>
      <c r="R178" s="1616">
        <f>IF(スコア入力!R178="EB",重み_対象外!D178,U178)</f>
        <v>0</v>
      </c>
      <c r="S178" s="1616">
        <f>IF(スコア入力!Y178="EB",重み_対象外!E178,V178)</f>
        <v>0</v>
      </c>
      <c r="T178" s="1560"/>
      <c r="U178" s="1614"/>
      <c r="V178" s="1614"/>
      <c r="W178" s="1560"/>
      <c r="X178" s="1616">
        <f t="shared" si="159"/>
        <v>0.19999999999999998</v>
      </c>
      <c r="Y178" s="1616">
        <f t="shared" si="160"/>
        <v>0</v>
      </c>
      <c r="Z178" s="1571"/>
      <c r="AA178" s="1617" t="str">
        <f t="shared" si="163"/>
        <v>3.3</v>
      </c>
      <c r="AB178" s="1617" t="str">
        <f t="shared" si="164"/>
        <v>LR3 3</v>
      </c>
      <c r="AC178" s="1660" t="str">
        <f t="shared" si="171"/>
        <v>光害の抑制</v>
      </c>
      <c r="AD178" s="1759">
        <f t="shared" si="172"/>
        <v>0.2</v>
      </c>
      <c r="AE178" s="1759">
        <f t="shared" si="173"/>
        <v>0.2</v>
      </c>
      <c r="AF178" s="1759">
        <f t="shared" si="174"/>
        <v>0.2</v>
      </c>
      <c r="AG178" s="1759">
        <f t="shared" si="175"/>
        <v>0.2</v>
      </c>
      <c r="AH178" s="1759">
        <f t="shared" si="176"/>
        <v>0.2</v>
      </c>
      <c r="AI178" s="1759">
        <f t="shared" si="177"/>
        <v>0.2</v>
      </c>
      <c r="AJ178" s="1759">
        <f t="shared" si="141"/>
        <v>0.2</v>
      </c>
      <c r="AK178" s="1761">
        <f t="shared" si="178"/>
        <v>0.2</v>
      </c>
      <c r="AL178" s="1759">
        <f t="shared" si="179"/>
        <v>0.2</v>
      </c>
      <c r="AM178" s="1759">
        <f t="shared" si="179"/>
        <v>0.2</v>
      </c>
      <c r="AN178" s="1760">
        <f>IF($AA$3=1,BE178,BV178)</f>
        <v>0</v>
      </c>
      <c r="AO178" s="1759">
        <f>IF($AA$3=1,BF178,BW178)</f>
        <v>0</v>
      </c>
      <c r="AP178" s="1759">
        <f>IF($AA$3=1,BG178,BX178)</f>
        <v>0</v>
      </c>
      <c r="AQ178" s="1557"/>
      <c r="AR178" s="1630" t="s">
        <v>1623</v>
      </c>
      <c r="AS178" s="1693" t="s">
        <v>384</v>
      </c>
      <c r="AT178" s="1694" t="s">
        <v>1160</v>
      </c>
      <c r="AU178" s="2087">
        <v>0.2</v>
      </c>
      <c r="AV178" s="2087">
        <v>0.2</v>
      </c>
      <c r="AW178" s="2087">
        <v>0.2</v>
      </c>
      <c r="AX178" s="2087">
        <v>0.2</v>
      </c>
      <c r="AY178" s="2087">
        <v>0.2</v>
      </c>
      <c r="AZ178" s="2087">
        <v>0.2</v>
      </c>
      <c r="BA178" s="2087">
        <v>0.2</v>
      </c>
      <c r="BB178" s="2087">
        <v>0.2</v>
      </c>
      <c r="BC178" s="2087">
        <v>0.2</v>
      </c>
      <c r="BD178" s="2087">
        <v>0.2</v>
      </c>
      <c r="BE178" s="2088"/>
      <c r="BF178" s="2087"/>
      <c r="BG178" s="2087"/>
      <c r="BH178"/>
      <c r="BI178" s="1630" t="s">
        <v>1623</v>
      </c>
      <c r="BJ178" s="1693" t="s">
        <v>384</v>
      </c>
      <c r="BK178" s="1694" t="s">
        <v>1160</v>
      </c>
      <c r="BL178" s="2087">
        <v>0.2</v>
      </c>
      <c r="BM178" s="2087">
        <v>0.2</v>
      </c>
      <c r="BN178" s="2087">
        <v>0.2</v>
      </c>
      <c r="BO178" s="2087">
        <v>0.2</v>
      </c>
      <c r="BP178" s="2087">
        <v>0.2</v>
      </c>
      <c r="BQ178" s="2087">
        <v>0.2</v>
      </c>
      <c r="BR178" s="2087">
        <v>0.2</v>
      </c>
      <c r="BS178" s="2087">
        <v>0.2</v>
      </c>
      <c r="BT178" s="2087">
        <v>0.2</v>
      </c>
      <c r="BU178" s="2087">
        <v>0.2</v>
      </c>
      <c r="BV178" s="2088"/>
      <c r="BW178" s="2087"/>
      <c r="BX178" s="2087"/>
    </row>
    <row r="179" spans="2:76" s="1558" customFormat="1" ht="13.5" customHeight="1">
      <c r="B179" s="1617" t="str">
        <f t="shared" si="188"/>
        <v>3.3.1</v>
      </c>
      <c r="C179" s="1774" t="str">
        <f t="shared" si="189"/>
        <v>屋外照明及び屋内照明のうち外に漏れる光への対策</v>
      </c>
      <c r="D179" s="1716">
        <f>IF(I$178=0,0,G179/I$178)</f>
        <v>0.7</v>
      </c>
      <c r="E179" s="1716">
        <f>IF(J$178=0,0,H179/J$178)</f>
        <v>0</v>
      </c>
      <c r="F179"/>
      <c r="G179" s="1691">
        <f t="shared" si="190"/>
        <v>0.7</v>
      </c>
      <c r="H179" s="1691">
        <f t="shared" si="190"/>
        <v>0</v>
      </c>
      <c r="I179" s="1691"/>
      <c r="J179" s="1691"/>
      <c r="K179" s="1616">
        <f>IF(スコア表示!X179=0,0,1)</f>
        <v>1</v>
      </c>
      <c r="L179" s="1616">
        <f>IF(スコア表示!AB179=0,0,1)</f>
        <v>0</v>
      </c>
      <c r="M179"/>
      <c r="N179" s="1713">
        <f>IF(P$178&gt;0,R179/P$178,0)</f>
        <v>0.7</v>
      </c>
      <c r="O179" s="1713">
        <f>IF(Q$178&gt;0,S179/Q$178,0)</f>
        <v>0</v>
      </c>
      <c r="P179" s="1616"/>
      <c r="Q179" s="1616"/>
      <c r="R179" s="1616">
        <f>IF(スコア入力!R179="EB",重み_対象外!D179,U179)</f>
        <v>4.6666666666666655E-2</v>
      </c>
      <c r="S179" s="1616">
        <f>IF(スコア入力!Y179="EB",重み_対象外!E179,V179)</f>
        <v>0</v>
      </c>
      <c r="T179" s="1560"/>
      <c r="U179" s="1614">
        <f>X$169*X$178*X179</f>
        <v>4.6666666666666655E-2</v>
      </c>
      <c r="V179" s="1614">
        <f>Y$169*Y$178*Y179</f>
        <v>0</v>
      </c>
      <c r="W179" s="1560"/>
      <c r="X179" s="1616">
        <f t="shared" si="159"/>
        <v>0.7</v>
      </c>
      <c r="Y179" s="1616">
        <f t="shared" si="160"/>
        <v>0</v>
      </c>
      <c r="Z179" s="1571"/>
      <c r="AA179" s="1617" t="str">
        <f t="shared" si="163"/>
        <v>3.3.1</v>
      </c>
      <c r="AB179" s="1617" t="str">
        <f t="shared" si="164"/>
        <v>LR3 3.3</v>
      </c>
      <c r="AC179" s="1774" t="str">
        <f t="shared" si="171"/>
        <v>屋外照明及び屋内照明のうち外に漏れる光への対策</v>
      </c>
      <c r="AD179" s="1759">
        <f t="shared" si="172"/>
        <v>0.7</v>
      </c>
      <c r="AE179" s="1759">
        <f t="shared" si="173"/>
        <v>0.7</v>
      </c>
      <c r="AF179" s="1759">
        <f t="shared" si="174"/>
        <v>0.7</v>
      </c>
      <c r="AG179" s="1759">
        <f t="shared" si="175"/>
        <v>0.7</v>
      </c>
      <c r="AH179" s="1759">
        <f t="shared" si="176"/>
        <v>0.7</v>
      </c>
      <c r="AI179" s="1759">
        <f t="shared" si="177"/>
        <v>0.7</v>
      </c>
      <c r="AJ179" s="1759">
        <f t="shared" si="141"/>
        <v>0.7</v>
      </c>
      <c r="AK179" s="1761">
        <f t="shared" si="178"/>
        <v>0.7</v>
      </c>
      <c r="AL179" s="1759">
        <f t="shared" si="179"/>
        <v>0.7</v>
      </c>
      <c r="AM179" s="1759">
        <f t="shared" si="179"/>
        <v>0.7</v>
      </c>
      <c r="AN179" s="1760"/>
      <c r="AO179" s="1759"/>
      <c r="AP179" s="1759"/>
      <c r="AQ179" s="1557"/>
      <c r="AR179" s="1630" t="s">
        <v>1495</v>
      </c>
      <c r="AS179" s="1693" t="s">
        <v>387</v>
      </c>
      <c r="AT179" s="1694" t="s">
        <v>1624</v>
      </c>
      <c r="AU179" s="1623">
        <v>0.7</v>
      </c>
      <c r="AV179" s="1623">
        <v>0.7</v>
      </c>
      <c r="AW179" s="1623">
        <v>0.7</v>
      </c>
      <c r="AX179" s="1623">
        <v>0.7</v>
      </c>
      <c r="AY179" s="1623">
        <v>0.7</v>
      </c>
      <c r="AZ179" s="1623">
        <v>0.7</v>
      </c>
      <c r="BA179" s="1623">
        <v>0.7</v>
      </c>
      <c r="BB179" s="1623">
        <v>0.7</v>
      </c>
      <c r="BC179" s="1623">
        <v>0.7</v>
      </c>
      <c r="BD179" s="1623">
        <v>0.7</v>
      </c>
      <c r="BE179" s="2088"/>
      <c r="BF179" s="2087"/>
      <c r="BG179" s="2087"/>
      <c r="BH179"/>
      <c r="BI179" s="1630" t="s">
        <v>1495</v>
      </c>
      <c r="BJ179" s="1693" t="s">
        <v>387</v>
      </c>
      <c r="BK179" s="1694" t="s">
        <v>1624</v>
      </c>
      <c r="BL179" s="1623">
        <v>0.7</v>
      </c>
      <c r="BM179" s="1623">
        <v>0.7</v>
      </c>
      <c r="BN179" s="1623">
        <v>0.7</v>
      </c>
      <c r="BO179" s="1623">
        <v>0.7</v>
      </c>
      <c r="BP179" s="1623">
        <v>0.7</v>
      </c>
      <c r="BQ179" s="1623">
        <v>0.7</v>
      </c>
      <c r="BR179" s="1623">
        <v>0.7</v>
      </c>
      <c r="BS179" s="1623">
        <v>0.7</v>
      </c>
      <c r="BT179" s="1623">
        <v>0.7</v>
      </c>
      <c r="BU179" s="1623">
        <v>0.7</v>
      </c>
      <c r="BV179" s="2088"/>
      <c r="BW179" s="2087"/>
      <c r="BX179" s="2087"/>
    </row>
    <row r="180" spans="2:76" s="1558" customFormat="1" ht="13.5" customHeight="1">
      <c r="B180" s="1617" t="str">
        <f t="shared" si="188"/>
        <v>3.3.2</v>
      </c>
      <c r="C180" s="1774" t="str">
        <f t="shared" si="189"/>
        <v>昼光の建物外壁による反射光（グレア）への対策</v>
      </c>
      <c r="D180" s="1716">
        <f>IF(I$178=0,0,G180/I$178)</f>
        <v>0.3</v>
      </c>
      <c r="E180" s="1716">
        <f>IF(J$178=0,0,H180/J$178)</f>
        <v>0</v>
      </c>
      <c r="F180"/>
      <c r="G180" s="1691">
        <f t="shared" si="190"/>
        <v>0.3</v>
      </c>
      <c r="H180" s="1691">
        <f t="shared" si="190"/>
        <v>0</v>
      </c>
      <c r="I180" s="1691"/>
      <c r="J180" s="1691"/>
      <c r="K180" s="1616">
        <f>IF(スコア表示!X180=0,0,1)</f>
        <v>1</v>
      </c>
      <c r="L180" s="1616">
        <f>IF(スコア表示!AB180=0,0,1)</f>
        <v>0</v>
      </c>
      <c r="M180"/>
      <c r="N180" s="1713">
        <f>IF(P$178&gt;0,R180/P$178,0)</f>
        <v>0.3</v>
      </c>
      <c r="O180" s="1713">
        <f>IF(Q$178&gt;0,S180/Q$178,0)</f>
        <v>0</v>
      </c>
      <c r="P180" s="1616"/>
      <c r="Q180" s="1616"/>
      <c r="R180" s="1616">
        <f>IF(スコア入力!R180="EB",重み_対象外!D180,U180)</f>
        <v>1.9999999999999993E-2</v>
      </c>
      <c r="S180" s="1616">
        <f>IF(スコア入力!Y180="EB",重み_対象外!E180,V180)</f>
        <v>0</v>
      </c>
      <c r="T180" s="1560"/>
      <c r="U180" s="1614">
        <f>X$169*X$178*X180</f>
        <v>1.9999999999999993E-2</v>
      </c>
      <c r="V180" s="1614">
        <f>Y$169*Y$178*Y180</f>
        <v>0</v>
      </c>
      <c r="W180" s="1560"/>
      <c r="X180" s="1616">
        <f t="shared" si="159"/>
        <v>0.3</v>
      </c>
      <c r="Y180" s="1616">
        <f t="shared" si="160"/>
        <v>0</v>
      </c>
      <c r="Z180" s="1571"/>
      <c r="AA180" s="1617" t="str">
        <f t="shared" si="163"/>
        <v>3.3.2</v>
      </c>
      <c r="AB180" s="1617" t="str">
        <f t="shared" si="164"/>
        <v>LR3 3.3</v>
      </c>
      <c r="AC180" s="1774" t="str">
        <f t="shared" si="171"/>
        <v>昼光の建物外壁による反射光（グレア）への対策</v>
      </c>
      <c r="AD180" s="1759">
        <f t="shared" si="172"/>
        <v>0.3</v>
      </c>
      <c r="AE180" s="1759">
        <f t="shared" si="173"/>
        <v>0.3</v>
      </c>
      <c r="AF180" s="1759">
        <f t="shared" si="174"/>
        <v>0.3</v>
      </c>
      <c r="AG180" s="1759">
        <f t="shared" si="175"/>
        <v>0.3</v>
      </c>
      <c r="AH180" s="1759">
        <f t="shared" si="176"/>
        <v>0.3</v>
      </c>
      <c r="AI180" s="1759">
        <f t="shared" si="177"/>
        <v>0.3</v>
      </c>
      <c r="AJ180" s="1759">
        <f t="shared" si="141"/>
        <v>0.3</v>
      </c>
      <c r="AK180" s="1761">
        <f t="shared" si="178"/>
        <v>0.3</v>
      </c>
      <c r="AL180" s="1759">
        <f t="shared" si="179"/>
        <v>0.3</v>
      </c>
      <c r="AM180" s="1759">
        <f t="shared" si="179"/>
        <v>0.3</v>
      </c>
      <c r="AN180" s="1760"/>
      <c r="AO180" s="1759"/>
      <c r="AP180" s="1759"/>
      <c r="AQ180" s="1557"/>
      <c r="AR180" s="1630" t="s">
        <v>1541</v>
      </c>
      <c r="AS180" s="1693" t="s">
        <v>387</v>
      </c>
      <c r="AT180" s="1694" t="s">
        <v>1625</v>
      </c>
      <c r="AU180" s="1623">
        <v>0.3</v>
      </c>
      <c r="AV180" s="1623">
        <v>0.3</v>
      </c>
      <c r="AW180" s="1623">
        <v>0.3</v>
      </c>
      <c r="AX180" s="1623">
        <v>0.3</v>
      </c>
      <c r="AY180" s="1623">
        <v>0.3</v>
      </c>
      <c r="AZ180" s="1623">
        <v>0.3</v>
      </c>
      <c r="BA180" s="1623">
        <v>0.3</v>
      </c>
      <c r="BB180" s="1623">
        <v>0.3</v>
      </c>
      <c r="BC180" s="1623">
        <v>0.3</v>
      </c>
      <c r="BD180" s="1623">
        <v>0.3</v>
      </c>
      <c r="BE180" s="2088"/>
      <c r="BF180" s="2087"/>
      <c r="BG180" s="2087"/>
      <c r="BH180"/>
      <c r="BI180" s="1630" t="s">
        <v>1541</v>
      </c>
      <c r="BJ180" s="1693" t="s">
        <v>387</v>
      </c>
      <c r="BK180" s="1694" t="s">
        <v>1625</v>
      </c>
      <c r="BL180" s="1623">
        <v>0.3</v>
      </c>
      <c r="BM180" s="1623">
        <v>0.3</v>
      </c>
      <c r="BN180" s="1623">
        <v>0.3</v>
      </c>
      <c r="BO180" s="1623">
        <v>0.3</v>
      </c>
      <c r="BP180" s="1623">
        <v>0.3</v>
      </c>
      <c r="BQ180" s="1623">
        <v>0.3</v>
      </c>
      <c r="BR180" s="1623">
        <v>0.3</v>
      </c>
      <c r="BS180" s="1623">
        <v>0.3</v>
      </c>
      <c r="BT180" s="1623">
        <v>0.3</v>
      </c>
      <c r="BU180" s="1623">
        <v>0.3</v>
      </c>
      <c r="BV180" s="2088"/>
      <c r="BW180" s="2087"/>
      <c r="BX180" s="2087"/>
    </row>
    <row r="181" spans="2:76" s="1558" customFormat="1">
      <c r="B181" s="1550"/>
      <c r="C181" s="1551"/>
      <c r="D181" s="1696"/>
      <c r="E181" s="1552"/>
      <c r="F181"/>
      <c r="G181" s="1552"/>
      <c r="H181" s="1552"/>
      <c r="I181" s="1552"/>
      <c r="J181" s="1552"/>
      <c r="K181" s="1552"/>
      <c r="L181" s="1552"/>
      <c r="M181"/>
      <c r="N181" s="1696"/>
      <c r="O181" s="1696"/>
      <c r="P181" s="1552"/>
      <c r="Q181" s="1552"/>
      <c r="R181" s="1552"/>
      <c r="S181" s="1552"/>
      <c r="T181" s="1552"/>
      <c r="U181" s="1552"/>
      <c r="V181" s="1552"/>
      <c r="W181" s="1552"/>
      <c r="X181" s="1552"/>
      <c r="Y181" s="1552"/>
      <c r="Z181" s="1553"/>
      <c r="AA181" s="1554"/>
      <c r="AB181" s="1554"/>
      <c r="AC181" s="1555"/>
      <c r="AD181" s="1556"/>
      <c r="AE181" s="1556"/>
      <c r="AF181" s="1556"/>
      <c r="AG181" s="1556"/>
      <c r="AH181" s="1556"/>
      <c r="AI181" s="1556"/>
      <c r="AJ181" s="1556"/>
      <c r="AK181" s="1556"/>
      <c r="AL181" s="1556"/>
      <c r="AM181" s="1556"/>
      <c r="AN181" s="1556"/>
      <c r="AO181" s="1556"/>
      <c r="AP181" s="1556"/>
      <c r="AQ181" s="1557"/>
      <c r="BH181"/>
    </row>
  </sheetData>
  <sheetProtection password="8D30"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3" fitToWidth="2" orientation="portrait" verticalDpi="4294967293" r:id="rId1"/>
  <headerFooter alignWithMargins="0">
    <oddHeader>&amp;L&amp;F&amp;R&amp;A</oddHeader>
    <oddFooter>&amp;C&amp;P/&amp;N</oddFooter>
  </headerFooter>
  <colBreaks count="1" manualBreakCount="1">
    <brk id="26" max="17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0C0C0"/>
    <pageSetUpPr autoPageBreaks="0"/>
  </sheetPr>
  <dimension ref="A1:CP219"/>
  <sheetViews>
    <sheetView showGridLines="0" zoomScaleNormal="100" zoomScaleSheetLayoutView="100" workbookViewId="0">
      <selection activeCell="D2" sqref="D2"/>
    </sheetView>
  </sheetViews>
  <sheetFormatPr defaultColWidth="0" defaultRowHeight="13.5" zeroHeight="1"/>
  <cols>
    <col min="1" max="1" width="1.25" customWidth="1"/>
    <col min="2" max="2" width="6.625" style="2000" customWidth="1"/>
    <col min="3" max="3" width="31.625" style="2001" customWidth="1"/>
    <col min="4" max="4" width="7.375" style="2002" customWidth="1"/>
    <col min="5" max="5" width="6.625" style="2003" customWidth="1"/>
    <col min="6" max="6" width="1.625" customWidth="1"/>
    <col min="7" max="14" width="6.625" style="2003" customWidth="1"/>
    <col min="15" max="15" width="2.625" customWidth="1"/>
    <col min="16" max="16" width="6.625" style="2004" customWidth="1"/>
    <col min="17" max="17" width="6.625" style="2004" hidden="1" customWidth="1"/>
    <col min="18" max="18" width="24.875" style="2005" customWidth="1"/>
    <col min="19" max="30" width="6.625" style="2006" customWidth="1"/>
    <col min="31" max="31" width="8.875" style="2006" bestFit="1" customWidth="1"/>
    <col min="32" max="32" width="1.625" customWidth="1"/>
    <col min="33" max="33" width="10.5" style="2007" hidden="1" customWidth="1"/>
    <col min="34" max="34" width="6.875" style="1747" hidden="1" customWidth="1"/>
    <col min="35" max="35" width="40.625" style="2008" hidden="1" customWidth="1"/>
    <col min="36" max="36" width="6.375" style="1747" hidden="1" customWidth="1"/>
    <col min="37" max="37" width="5.625" style="1747" hidden="1" customWidth="1"/>
    <col min="38" max="39" width="6.375" style="1747" hidden="1" customWidth="1"/>
    <col min="40" max="40" width="5.625" style="1747" hidden="1" customWidth="1"/>
    <col min="41" max="41" width="6.125" style="1747" hidden="1" customWidth="1"/>
    <col min="42" max="42" width="8" style="1747" hidden="1" customWidth="1"/>
    <col min="43" max="43" width="6.375" style="1747" hidden="1" customWidth="1"/>
    <col min="44" max="44" width="5.625" style="1747" hidden="1" customWidth="1"/>
    <col min="45" max="45" width="6.375" style="1747" hidden="1" customWidth="1"/>
    <col min="46" max="46" width="5.625" style="1747" hidden="1" customWidth="1"/>
    <col min="47" max="47" width="7" style="1747" hidden="1" customWidth="1"/>
    <col min="48" max="48" width="8.875" style="1747" hidden="1" customWidth="1"/>
    <col min="49" max="49" width="1.375" hidden="1" customWidth="1"/>
    <col min="50" max="50" width="15.75" style="2007" hidden="1" customWidth="1"/>
    <col min="51" max="51" width="6.875" style="1747" hidden="1" customWidth="1"/>
    <col min="52" max="52" width="40.625" style="2008" hidden="1" customWidth="1"/>
    <col min="53" max="53" width="6.375" style="1747" hidden="1" customWidth="1"/>
    <col min="54" max="54" width="5" style="1747" hidden="1" customWidth="1"/>
    <col min="55" max="56" width="6.375" style="1747" hidden="1" customWidth="1"/>
    <col min="57" max="57" width="5" style="1747" hidden="1" customWidth="1"/>
    <col min="58" max="58" width="6.125" style="1747" hidden="1" customWidth="1"/>
    <col min="59" max="59" width="8" style="1747" hidden="1" customWidth="1"/>
    <col min="60" max="60" width="6.375" style="1747" hidden="1" customWidth="1"/>
    <col min="61" max="61" width="5" style="1747" hidden="1" customWidth="1"/>
    <col min="62" max="62" width="6.375" style="1747" hidden="1" customWidth="1"/>
    <col min="63" max="63" width="5.625" style="1747" hidden="1" customWidth="1"/>
    <col min="64" max="64" width="7" style="1747" hidden="1" customWidth="1"/>
    <col min="65" max="65" width="8.875" style="1747" hidden="1" customWidth="1"/>
    <col min="66" max="66" width="3.5" hidden="1" customWidth="1"/>
    <col min="67" max="67" width="4" style="2007" hidden="1" customWidth="1"/>
    <col min="68" max="68" width="6.875" style="1747" hidden="1" customWidth="1"/>
    <col min="69" max="69" width="40.625" style="2008" hidden="1" customWidth="1"/>
    <col min="70" max="70" width="6.375" style="1747" hidden="1" customWidth="1"/>
    <col min="71" max="71" width="5.625" style="1747" hidden="1" customWidth="1"/>
    <col min="72" max="73" width="6.375" style="1747" hidden="1" customWidth="1"/>
    <col min="74" max="74" width="5.625" style="1747" hidden="1" customWidth="1"/>
    <col min="75" max="75" width="6.125" style="1747" hidden="1" customWidth="1"/>
    <col min="76" max="76" width="8" style="1747" hidden="1" customWidth="1"/>
    <col min="77" max="77" width="6.375" style="1747" hidden="1" customWidth="1"/>
    <col min="78" max="78" width="5.625" style="1747" hidden="1" customWidth="1"/>
    <col min="79" max="79" width="6.375" style="1747" hidden="1" customWidth="1"/>
    <col min="80" max="80" width="5.625" style="1747" hidden="1" customWidth="1"/>
    <col min="81" max="81" width="7" style="1747" hidden="1" customWidth="1"/>
    <col min="82" max="82" width="8.875" style="1747" hidden="1" customWidth="1"/>
    <col min="83" max="83" width="4.5" hidden="1" customWidth="1"/>
    <col min="84" max="93" width="6.625" style="1558" hidden="1" customWidth="1"/>
    <col min="94" max="94" width="4.75" style="1558" hidden="1" customWidth="1"/>
    <col min="95" max="16384" width="0" style="1558" hidden="1"/>
  </cols>
  <sheetData>
    <row r="1" spans="1:83"/>
    <row r="2" spans="1:83" s="1567" customFormat="1" ht="17.25">
      <c r="A2"/>
      <c r="B2" s="2009" t="s">
        <v>262</v>
      </c>
      <c r="C2" s="2010"/>
      <c r="D2" s="2011"/>
      <c r="E2" s="2012"/>
      <c r="F2"/>
      <c r="G2" s="2012"/>
      <c r="H2" s="2012"/>
      <c r="I2" s="2013"/>
      <c r="J2" s="2013"/>
      <c r="K2" s="2012"/>
      <c r="L2" s="2012"/>
      <c r="M2" s="2012"/>
      <c r="N2" s="2012"/>
      <c r="O2"/>
      <c r="P2" s="2014" t="s">
        <v>263</v>
      </c>
      <c r="Q2" s="2015"/>
      <c r="R2" s="2016"/>
      <c r="S2" s="1564"/>
      <c r="T2" s="2017"/>
      <c r="U2" s="2017"/>
      <c r="V2" s="2017"/>
      <c r="W2" s="2017"/>
      <c r="X2" s="2017"/>
      <c r="Y2" s="2017"/>
      <c r="Z2" s="2017"/>
      <c r="AA2" s="2017"/>
      <c r="AB2" s="2017"/>
      <c r="AC2" s="2017"/>
      <c r="AD2" s="2017"/>
      <c r="AE2" s="2017"/>
      <c r="AF2"/>
      <c r="AG2" s="2018"/>
      <c r="AH2" s="1564"/>
      <c r="AI2" s="2019"/>
      <c r="AJ2" s="1564"/>
      <c r="AK2" s="1564"/>
      <c r="AL2" s="1564"/>
      <c r="AM2" s="1564"/>
      <c r="AN2" s="1564"/>
      <c r="AO2" s="1564"/>
      <c r="AP2" s="1564"/>
      <c r="AQ2" s="1564"/>
      <c r="AR2" s="1564"/>
      <c r="AS2" s="1564"/>
      <c r="AT2" s="1564"/>
      <c r="AU2" s="1564"/>
      <c r="AV2" s="1564"/>
      <c r="AW2"/>
      <c r="AX2" s="2018"/>
      <c r="AY2" s="1564"/>
      <c r="AZ2" s="2019"/>
      <c r="BA2" s="1564"/>
      <c r="BB2" s="1564"/>
      <c r="BC2" s="1564"/>
      <c r="BD2" s="1564"/>
      <c r="BE2" s="1564"/>
      <c r="BF2" s="1564"/>
      <c r="BG2" s="1564"/>
      <c r="BH2" s="1564"/>
      <c r="BI2" s="1564"/>
      <c r="BJ2" s="1564"/>
      <c r="BK2" s="1564"/>
      <c r="BL2" s="1564"/>
      <c r="BM2" s="1564"/>
      <c r="BN2"/>
      <c r="BO2" s="2018"/>
      <c r="BP2" s="1564"/>
      <c r="BQ2" s="2019"/>
      <c r="BR2" s="1564"/>
      <c r="BS2" s="1564"/>
      <c r="BT2" s="1564"/>
      <c r="BU2" s="1564"/>
      <c r="BV2" s="1564"/>
      <c r="BW2" s="1564"/>
      <c r="BX2" s="1564"/>
      <c r="BY2" s="1564"/>
      <c r="BZ2" s="1564"/>
      <c r="CA2" s="1564"/>
      <c r="CB2" s="1564"/>
      <c r="CC2" s="1564"/>
      <c r="CD2" s="1564"/>
      <c r="CE2"/>
    </row>
    <row r="3" spans="1:83" s="1567" customFormat="1" ht="17.25">
      <c r="A3"/>
      <c r="B3" s="2009"/>
      <c r="C3" s="2010"/>
      <c r="D3" s="2011"/>
      <c r="E3" s="2012"/>
      <c r="F3"/>
      <c r="G3" s="2012"/>
      <c r="H3" s="2012"/>
      <c r="I3" s="2013"/>
      <c r="J3" s="2013"/>
      <c r="K3" s="2012"/>
      <c r="L3" s="2012"/>
      <c r="M3" s="2012"/>
      <c r="N3" s="2012"/>
      <c r="O3"/>
      <c r="P3" s="2020">
        <v>0</v>
      </c>
      <c r="Q3" s="1564"/>
      <c r="R3" s="1997" t="s">
        <v>847</v>
      </c>
      <c r="S3" s="1998">
        <v>2</v>
      </c>
      <c r="T3" s="2017"/>
      <c r="U3" s="2017"/>
      <c r="V3" s="2017"/>
      <c r="W3" s="2017"/>
      <c r="X3" s="2017"/>
      <c r="Y3" s="2017"/>
      <c r="Z3" s="2017"/>
      <c r="AA3" s="2017"/>
      <c r="AB3" s="2017"/>
      <c r="AC3" s="2017"/>
      <c r="AD3" s="2017"/>
      <c r="AE3" s="2017"/>
      <c r="AF3"/>
      <c r="AG3" s="2020" t="s">
        <v>1138</v>
      </c>
      <c r="AH3" s="1564"/>
      <c r="AI3" s="2021"/>
      <c r="AJ3" s="2017"/>
      <c r="AK3" s="2017"/>
      <c r="AL3" s="2017"/>
      <c r="AM3" s="2017"/>
      <c r="AN3" s="2017"/>
      <c r="AO3" s="2017"/>
      <c r="AP3" s="2017"/>
      <c r="AQ3" s="2017"/>
      <c r="AR3" s="2017"/>
      <c r="AS3" s="2017"/>
      <c r="AT3" s="2017"/>
      <c r="AU3" s="2017"/>
      <c r="AV3" s="2017"/>
      <c r="AW3"/>
      <c r="AX3" s="2020" t="s">
        <v>401</v>
      </c>
      <c r="AY3" s="1564"/>
      <c r="AZ3" s="2021"/>
      <c r="BA3" s="2017"/>
      <c r="BB3" s="2017"/>
      <c r="BC3" s="2017"/>
      <c r="BD3" s="2017"/>
      <c r="BE3" s="2017"/>
      <c r="BF3" s="2017"/>
      <c r="BG3" s="2017"/>
      <c r="BH3" s="2017"/>
      <c r="BI3" s="2017"/>
      <c r="BJ3" s="2017"/>
      <c r="BK3" s="2017"/>
      <c r="BL3" s="2017"/>
      <c r="BM3" s="2017"/>
      <c r="BN3"/>
      <c r="BO3" s="2020" t="s">
        <v>402</v>
      </c>
      <c r="BP3" s="1564"/>
      <c r="BQ3" s="2021"/>
      <c r="BR3" s="2017"/>
      <c r="BS3" s="2017"/>
      <c r="BT3" s="2017"/>
      <c r="BU3" s="2017"/>
      <c r="BV3" s="2017"/>
      <c r="BW3" s="2017"/>
      <c r="BX3" s="2017"/>
      <c r="BY3" s="2017"/>
      <c r="BZ3" s="2017"/>
      <c r="CA3" s="2017"/>
      <c r="CB3" s="2017"/>
      <c r="CC3" s="2017"/>
      <c r="CD3" s="2017"/>
      <c r="CE3"/>
    </row>
    <row r="4" spans="1:83" s="1567" customFormat="1" ht="4.5" customHeight="1">
      <c r="A4"/>
      <c r="B4" s="2009"/>
      <c r="C4" s="2010"/>
      <c r="D4" s="2011"/>
      <c r="E4" s="2012"/>
      <c r="F4"/>
      <c r="G4" s="2012"/>
      <c r="H4" s="2012"/>
      <c r="I4" s="2013"/>
      <c r="J4" s="2013"/>
      <c r="K4" s="2012"/>
      <c r="L4" s="2012"/>
      <c r="M4" s="2012"/>
      <c r="N4" s="2012"/>
      <c r="O4"/>
      <c r="P4" s="2015"/>
      <c r="Q4" s="2015"/>
      <c r="R4" s="2021"/>
      <c r="S4" s="2017"/>
      <c r="T4" s="2017"/>
      <c r="U4" s="2017"/>
      <c r="V4" s="2017"/>
      <c r="W4" s="2017"/>
      <c r="X4" s="2017"/>
      <c r="Y4" s="2017"/>
      <c r="Z4" s="2017"/>
      <c r="AA4" s="2017"/>
      <c r="AB4" s="2017"/>
      <c r="AC4" s="2017"/>
      <c r="AD4" s="2017"/>
      <c r="AE4" s="2017"/>
      <c r="AF4"/>
      <c r="AG4" s="2020"/>
      <c r="AH4" s="2015"/>
      <c r="AI4" s="2021"/>
      <c r="AJ4" s="2017"/>
      <c r="AK4" s="2017"/>
      <c r="AL4" s="2017"/>
      <c r="AM4" s="2017"/>
      <c r="AN4" s="2017"/>
      <c r="AO4" s="2017"/>
      <c r="AP4" s="2017"/>
      <c r="AQ4" s="2017"/>
      <c r="AR4" s="2017"/>
      <c r="AS4" s="2017"/>
      <c r="AT4" s="2017"/>
      <c r="AU4" s="2017"/>
      <c r="AV4" s="2017"/>
      <c r="AW4"/>
      <c r="AX4" s="2020"/>
      <c r="AY4" s="2015"/>
      <c r="AZ4" s="2021"/>
      <c r="BA4" s="2017"/>
      <c r="BB4" s="2017"/>
      <c r="BC4" s="2017"/>
      <c r="BD4" s="2017"/>
      <c r="BE4" s="2017"/>
      <c r="BF4" s="2017"/>
      <c r="BG4" s="2017"/>
      <c r="BH4" s="2017"/>
      <c r="BI4" s="2017"/>
      <c r="BJ4" s="2017"/>
      <c r="BK4" s="2017"/>
      <c r="BL4" s="2017"/>
      <c r="BM4" s="2017"/>
      <c r="BN4"/>
      <c r="BO4" s="2020"/>
      <c r="BP4" s="2015"/>
      <c r="BQ4" s="2021"/>
      <c r="BR4" s="2017"/>
      <c r="BS4" s="2017"/>
      <c r="BT4" s="2017"/>
      <c r="BU4" s="2017"/>
      <c r="BV4" s="2017"/>
      <c r="BW4" s="2017"/>
      <c r="BX4" s="2017"/>
      <c r="BY4" s="2017"/>
      <c r="BZ4" s="2017"/>
      <c r="CA4" s="2017"/>
      <c r="CB4" s="2017"/>
      <c r="CC4" s="2017"/>
      <c r="CD4" s="2017"/>
      <c r="CE4"/>
    </row>
    <row r="5" spans="1:83">
      <c r="B5" s="1999"/>
      <c r="C5" s="2022"/>
      <c r="D5" s="1700" t="s">
        <v>388</v>
      </c>
      <c r="E5" s="2023"/>
      <c r="G5" s="2024" t="s">
        <v>390</v>
      </c>
      <c r="H5" s="2025"/>
      <c r="I5" s="2026" t="s">
        <v>389</v>
      </c>
      <c r="J5" s="2027"/>
      <c r="K5" s="2024" t="s">
        <v>391</v>
      </c>
      <c r="L5" s="2025"/>
      <c r="M5" s="2024" t="s">
        <v>265</v>
      </c>
      <c r="N5" s="2025"/>
      <c r="P5" s="1572"/>
      <c r="Q5" s="1572"/>
      <c r="R5" s="2028"/>
      <c r="S5" s="2936" t="s">
        <v>266</v>
      </c>
      <c r="T5" s="2936"/>
      <c r="U5" s="2936"/>
      <c r="V5" s="2936"/>
      <c r="W5" s="2936"/>
      <c r="X5" s="2936"/>
      <c r="Y5" s="2936"/>
      <c r="Z5" s="2936"/>
      <c r="AA5" s="2937"/>
      <c r="AB5" s="2029" t="s">
        <v>941</v>
      </c>
      <c r="AC5" s="2936" t="s">
        <v>267</v>
      </c>
      <c r="AD5" s="2936"/>
      <c r="AE5" s="2936"/>
      <c r="AG5" s="2030"/>
      <c r="AH5" s="1572"/>
      <c r="AI5" s="2031"/>
      <c r="AJ5" s="2936" t="s">
        <v>266</v>
      </c>
      <c r="AK5" s="2936"/>
      <c r="AL5" s="2936"/>
      <c r="AM5" s="2936"/>
      <c r="AN5" s="2936"/>
      <c r="AO5" s="2936"/>
      <c r="AP5" s="2936"/>
      <c r="AQ5" s="2936"/>
      <c r="AR5" s="2937"/>
      <c r="AS5" s="2029" t="s">
        <v>941</v>
      </c>
      <c r="AT5" s="2936" t="s">
        <v>267</v>
      </c>
      <c r="AU5" s="2936"/>
      <c r="AV5" s="2936"/>
      <c r="AX5" s="2030"/>
      <c r="AY5" s="1572"/>
      <c r="AZ5" s="2031"/>
      <c r="BA5" s="2936" t="s">
        <v>266</v>
      </c>
      <c r="BB5" s="2936"/>
      <c r="BC5" s="2936"/>
      <c r="BD5" s="2936"/>
      <c r="BE5" s="2936"/>
      <c r="BF5" s="2936"/>
      <c r="BG5" s="2936"/>
      <c r="BH5" s="2936"/>
      <c r="BI5" s="2937"/>
      <c r="BJ5" s="2029" t="s">
        <v>941</v>
      </c>
      <c r="BK5" s="2936" t="s">
        <v>267</v>
      </c>
      <c r="BL5" s="2936"/>
      <c r="BM5" s="2936"/>
      <c r="BO5" s="2030"/>
      <c r="BP5" s="1572"/>
      <c r="BQ5" s="2031"/>
      <c r="BR5" s="2936" t="s">
        <v>266</v>
      </c>
      <c r="BS5" s="2936"/>
      <c r="BT5" s="2936"/>
      <c r="BU5" s="2936"/>
      <c r="BV5" s="2936"/>
      <c r="BW5" s="2936"/>
      <c r="BX5" s="2936"/>
      <c r="BY5" s="2936"/>
      <c r="BZ5" s="2937"/>
      <c r="CA5" s="2029" t="s">
        <v>941</v>
      </c>
      <c r="CB5" s="2936" t="s">
        <v>267</v>
      </c>
      <c r="CC5" s="2936"/>
      <c r="CD5" s="2936"/>
    </row>
    <row r="6" spans="1:83" s="2039" customFormat="1">
      <c r="A6"/>
      <c r="B6" s="2032"/>
      <c r="C6" s="2033"/>
      <c r="D6" s="2034" t="s">
        <v>268</v>
      </c>
      <c r="E6" s="2034" t="s">
        <v>269</v>
      </c>
      <c r="F6"/>
      <c r="G6" s="2034" t="s">
        <v>268</v>
      </c>
      <c r="H6" s="2034" t="s">
        <v>269</v>
      </c>
      <c r="I6" s="2034" t="s">
        <v>268</v>
      </c>
      <c r="J6" s="2034" t="s">
        <v>269</v>
      </c>
      <c r="K6" s="2034" t="s">
        <v>268</v>
      </c>
      <c r="L6" s="2034" t="s">
        <v>269</v>
      </c>
      <c r="M6" s="2034" t="s">
        <v>268</v>
      </c>
      <c r="N6" s="2034" t="s">
        <v>269</v>
      </c>
      <c r="O6"/>
      <c r="P6" s="2028"/>
      <c r="Q6" s="2028" t="s">
        <v>110</v>
      </c>
      <c r="R6" s="2028" t="s">
        <v>462</v>
      </c>
      <c r="S6" s="2035" t="s">
        <v>539</v>
      </c>
      <c r="T6" s="2035" t="s">
        <v>541</v>
      </c>
      <c r="U6" s="2035" t="s">
        <v>543</v>
      </c>
      <c r="V6" s="2035" t="s">
        <v>545</v>
      </c>
      <c r="W6" s="2035" t="s">
        <v>549</v>
      </c>
      <c r="X6" s="2035" t="s">
        <v>232</v>
      </c>
      <c r="Y6" s="2035" t="s">
        <v>553</v>
      </c>
      <c r="Z6" s="2036" t="s">
        <v>861</v>
      </c>
      <c r="AA6" s="2035" t="s">
        <v>555</v>
      </c>
      <c r="AB6" s="2035" t="s">
        <v>541</v>
      </c>
      <c r="AC6" s="2037" t="s">
        <v>1145</v>
      </c>
      <c r="AD6" s="2035" t="s">
        <v>1146</v>
      </c>
      <c r="AE6" s="2035" t="s">
        <v>1147</v>
      </c>
      <c r="AF6"/>
      <c r="AG6" s="2038"/>
      <c r="AH6" s="2028" t="s">
        <v>110</v>
      </c>
      <c r="AI6" s="2031" t="s">
        <v>462</v>
      </c>
      <c r="AJ6" s="2035" t="s">
        <v>539</v>
      </c>
      <c r="AK6" s="2035" t="s">
        <v>541</v>
      </c>
      <c r="AL6" s="2035" t="s">
        <v>543</v>
      </c>
      <c r="AM6" s="2035" t="s">
        <v>545</v>
      </c>
      <c r="AN6" s="2035" t="s">
        <v>549</v>
      </c>
      <c r="AO6" s="2035" t="s">
        <v>232</v>
      </c>
      <c r="AP6" s="2035" t="s">
        <v>553</v>
      </c>
      <c r="AQ6" s="2036" t="s">
        <v>861</v>
      </c>
      <c r="AR6" s="2035" t="s">
        <v>555</v>
      </c>
      <c r="AS6" s="2035" t="s">
        <v>541</v>
      </c>
      <c r="AT6" s="2037" t="s">
        <v>1145</v>
      </c>
      <c r="AU6" s="2035" t="s">
        <v>1146</v>
      </c>
      <c r="AV6" s="2035" t="s">
        <v>1147</v>
      </c>
      <c r="AW6"/>
      <c r="AX6" s="2038"/>
      <c r="AY6" s="2028" t="s">
        <v>110</v>
      </c>
      <c r="AZ6" s="2031" t="s">
        <v>462</v>
      </c>
      <c r="BA6" s="2035" t="s">
        <v>539</v>
      </c>
      <c r="BB6" s="2035" t="s">
        <v>541</v>
      </c>
      <c r="BC6" s="2035" t="s">
        <v>543</v>
      </c>
      <c r="BD6" s="2035" t="s">
        <v>545</v>
      </c>
      <c r="BE6" s="2035" t="s">
        <v>549</v>
      </c>
      <c r="BF6" s="2035" t="s">
        <v>232</v>
      </c>
      <c r="BG6" s="2035" t="s">
        <v>553</v>
      </c>
      <c r="BH6" s="2036" t="s">
        <v>861</v>
      </c>
      <c r="BI6" s="2035" t="s">
        <v>555</v>
      </c>
      <c r="BJ6" s="2035" t="s">
        <v>541</v>
      </c>
      <c r="BK6" s="2037" t="s">
        <v>1145</v>
      </c>
      <c r="BL6" s="2035" t="s">
        <v>1146</v>
      </c>
      <c r="BM6" s="2035" t="s">
        <v>1147</v>
      </c>
      <c r="BN6"/>
      <c r="BO6" s="2038"/>
      <c r="BP6" s="2028" t="s">
        <v>110</v>
      </c>
      <c r="BQ6" s="2031" t="s">
        <v>462</v>
      </c>
      <c r="BR6" s="2035" t="s">
        <v>539</v>
      </c>
      <c r="BS6" s="2035" t="s">
        <v>541</v>
      </c>
      <c r="BT6" s="2035" t="s">
        <v>543</v>
      </c>
      <c r="BU6" s="2035" t="s">
        <v>545</v>
      </c>
      <c r="BV6" s="2035" t="s">
        <v>549</v>
      </c>
      <c r="BW6" s="2035" t="s">
        <v>232</v>
      </c>
      <c r="BX6" s="2035" t="s">
        <v>553</v>
      </c>
      <c r="BY6" s="2036" t="s">
        <v>861</v>
      </c>
      <c r="BZ6" s="2035" t="s">
        <v>555</v>
      </c>
      <c r="CA6" s="2035" t="s">
        <v>541</v>
      </c>
      <c r="CB6" s="2037" t="s">
        <v>1145</v>
      </c>
      <c r="CC6" s="2035" t="s">
        <v>1146</v>
      </c>
      <c r="CD6" s="2035" t="s">
        <v>1147</v>
      </c>
      <c r="CE6"/>
    </row>
    <row r="7" spans="1:83">
      <c r="B7" s="1577"/>
      <c r="C7" s="2040" t="s">
        <v>1148</v>
      </c>
      <c r="D7" s="2041">
        <f>1-E7</f>
        <v>1</v>
      </c>
      <c r="E7" s="2042">
        <f>(AC8*W7)+(AD8*X7)+(AE8*Y7)</f>
        <v>0</v>
      </c>
      <c r="G7" s="2042"/>
      <c r="H7" s="2042"/>
      <c r="I7" s="2042"/>
      <c r="J7" s="2042"/>
      <c r="K7" s="2042"/>
      <c r="L7" s="2042"/>
      <c r="M7" s="2042"/>
      <c r="N7" s="2042"/>
      <c r="P7" s="1572"/>
      <c r="Q7" s="1572" t="s">
        <v>273</v>
      </c>
      <c r="R7" s="2028" t="s">
        <v>1139</v>
      </c>
      <c r="S7" s="1585">
        <f>メイン!$O$47/メイン!$O$67</f>
        <v>1</v>
      </c>
      <c r="T7" s="1585">
        <f>(メイン!E49+メイン!E52+メイン!E53)/メイン!$C$19</f>
        <v>0</v>
      </c>
      <c r="U7" s="1585">
        <f>メイン!$O$54/メイン!$O$67</f>
        <v>0</v>
      </c>
      <c r="V7" s="1585">
        <f>メイン!$O$56/メイン!$O$67</f>
        <v>0</v>
      </c>
      <c r="W7" s="1585">
        <f>メイン!$O$60/メイン!$O$67</f>
        <v>0</v>
      </c>
      <c r="X7" s="1585">
        <f>メイン!$O$61/メイン!$O$67</f>
        <v>0</v>
      </c>
      <c r="Y7" s="1585">
        <f>メイン!$O$62/メイン!$O$67</f>
        <v>0</v>
      </c>
      <c r="Z7" s="1585">
        <f>メイン!$O$57/メイン!$O$67</f>
        <v>0</v>
      </c>
      <c r="AA7" s="1585">
        <f>メイン!$O$63/メイン!$O$67</f>
        <v>0</v>
      </c>
      <c r="AB7" s="1585">
        <f>(メイン!E50+メイン!E51)/メイン!$C$19</f>
        <v>0</v>
      </c>
      <c r="AC7" s="1585">
        <f>W7</f>
        <v>0</v>
      </c>
      <c r="AD7" s="1585">
        <f>X7</f>
        <v>0</v>
      </c>
      <c r="AE7" s="1585">
        <f>Y7</f>
        <v>0</v>
      </c>
      <c r="AG7" s="2030"/>
      <c r="AH7" s="1572"/>
      <c r="AI7" s="2031"/>
      <c r="AJ7" s="2043"/>
      <c r="AK7" s="2043"/>
      <c r="AL7" s="2043"/>
      <c r="AM7" s="2043"/>
      <c r="AN7" s="2043"/>
      <c r="AO7" s="2043"/>
      <c r="AP7" s="2043"/>
      <c r="AQ7" s="2044"/>
      <c r="AR7" s="2043"/>
      <c r="AS7" s="2043"/>
      <c r="AT7" s="2043"/>
      <c r="AU7" s="2043"/>
      <c r="AV7" s="2043"/>
      <c r="AX7" s="2030"/>
      <c r="AY7" s="1572"/>
      <c r="AZ7" s="2031"/>
      <c r="BA7" s="2043"/>
      <c r="BB7" s="2043"/>
      <c r="BC7" s="2043"/>
      <c r="BD7" s="2043"/>
      <c r="BE7" s="2043"/>
      <c r="BF7" s="2043"/>
      <c r="BG7" s="2043"/>
      <c r="BH7" s="2044"/>
      <c r="BI7" s="2043"/>
      <c r="BJ7" s="2043"/>
      <c r="BK7" s="2043"/>
      <c r="BL7" s="2043"/>
      <c r="BM7" s="2043"/>
      <c r="BO7" s="2030"/>
      <c r="BP7" s="1572"/>
      <c r="BQ7" s="2031"/>
      <c r="BR7" s="2043"/>
      <c r="BS7" s="2043"/>
      <c r="BT7" s="2043"/>
      <c r="BU7" s="2043"/>
      <c r="BV7" s="2043"/>
      <c r="BW7" s="2043"/>
      <c r="BX7" s="2043"/>
      <c r="BY7" s="2044"/>
      <c r="BZ7" s="2043"/>
      <c r="CA7" s="2043"/>
      <c r="CB7" s="2043"/>
      <c r="CC7" s="2043"/>
      <c r="CD7" s="2043"/>
    </row>
    <row r="8" spans="1:83" s="1605" customFormat="1" ht="14.25">
      <c r="A8"/>
      <c r="B8" s="2045" t="s">
        <v>274</v>
      </c>
      <c r="C8" s="2046" t="s">
        <v>275</v>
      </c>
      <c r="D8" s="2047"/>
      <c r="E8" s="2048"/>
      <c r="F8"/>
      <c r="G8" s="2048"/>
      <c r="H8" s="2048"/>
      <c r="I8" s="2048">
        <f>G9+G61+G109</f>
        <v>1</v>
      </c>
      <c r="J8" s="2048">
        <f>H9+H61+H109</f>
        <v>0</v>
      </c>
      <c r="K8" s="2048"/>
      <c r="L8" s="2048"/>
      <c r="M8" s="2048"/>
      <c r="N8" s="2048"/>
      <c r="O8"/>
      <c r="P8" s="2045"/>
      <c r="Q8" s="2045" t="s">
        <v>1140</v>
      </c>
      <c r="R8" s="2028" t="s">
        <v>1141</v>
      </c>
      <c r="S8" s="1592"/>
      <c r="T8" s="1592"/>
      <c r="U8" s="1592"/>
      <c r="V8" s="1592"/>
      <c r="W8" s="1592">
        <f>1-AB8</f>
        <v>1</v>
      </c>
      <c r="X8" s="1592">
        <f>1-AC8</f>
        <v>1</v>
      </c>
      <c r="Y8" s="1592">
        <f>1-AD8</f>
        <v>1</v>
      </c>
      <c r="Z8" s="1593"/>
      <c r="AA8" s="1592"/>
      <c r="AB8" s="1869"/>
      <c r="AC8" s="1594">
        <f>メイン!$E$68</f>
        <v>0</v>
      </c>
      <c r="AD8" s="1594">
        <f>メイン!$E$69</f>
        <v>0</v>
      </c>
      <c r="AE8" s="1594">
        <f>メイン!$E$70</f>
        <v>0</v>
      </c>
      <c r="AF8"/>
      <c r="AG8" s="2049" t="s">
        <v>1142</v>
      </c>
      <c r="AH8" s="2045"/>
      <c r="AI8" s="2050" t="s">
        <v>1143</v>
      </c>
      <c r="AJ8" s="2051"/>
      <c r="AK8" s="2051"/>
      <c r="AL8" s="2051"/>
      <c r="AM8" s="2051"/>
      <c r="AN8" s="2051"/>
      <c r="AO8" s="2051"/>
      <c r="AP8" s="2051"/>
      <c r="AQ8" s="2052"/>
      <c r="AR8" s="2051"/>
      <c r="AS8" s="2051"/>
      <c r="AT8" s="2053"/>
      <c r="AU8" s="2054"/>
      <c r="AV8" s="2054"/>
      <c r="AW8"/>
      <c r="AX8" s="1591" t="s">
        <v>398</v>
      </c>
      <c r="AY8" s="1591"/>
      <c r="AZ8" s="1588" t="s">
        <v>413</v>
      </c>
      <c r="BA8" s="1727"/>
      <c r="BB8" s="1727"/>
      <c r="BC8" s="1727"/>
      <c r="BD8" s="1727"/>
      <c r="BE8" s="1727"/>
      <c r="BF8" s="1727"/>
      <c r="BG8" s="1727"/>
      <c r="BH8" s="1728"/>
      <c r="BI8" s="1727"/>
      <c r="BJ8" s="1871"/>
      <c r="BK8" s="1729"/>
      <c r="BL8" s="1730"/>
      <c r="BM8" s="1730"/>
      <c r="BN8"/>
      <c r="BO8" s="2049" t="s">
        <v>1142</v>
      </c>
      <c r="BP8" s="2045"/>
      <c r="BQ8" s="2050" t="s">
        <v>1143</v>
      </c>
      <c r="BR8" s="2051"/>
      <c r="BS8" s="2051"/>
      <c r="BT8" s="2051"/>
      <c r="BU8" s="2051"/>
      <c r="BV8" s="2051"/>
      <c r="BW8" s="2051"/>
      <c r="BX8" s="2051"/>
      <c r="BY8" s="2052"/>
      <c r="BZ8" s="2051"/>
      <c r="CA8" s="2051"/>
      <c r="CB8" s="2053"/>
      <c r="CC8" s="2054"/>
      <c r="CD8" s="2054"/>
      <c r="CE8"/>
    </row>
    <row r="9" spans="1:83" s="1605" customFormat="1">
      <c r="A9"/>
      <c r="B9" s="1597" t="str">
        <f t="shared" ref="B9:B41" si="0">P9</f>
        <v>Q1</v>
      </c>
      <c r="C9" s="2055" t="str">
        <f t="shared" ref="C9:C40" si="1">R9</f>
        <v>室内環境</v>
      </c>
      <c r="D9" s="2056">
        <f>IF(I$8=0,0,G9/I$8)</f>
        <v>0.4</v>
      </c>
      <c r="E9" s="2057">
        <f>IF(J$8=0,0,H9/J$8)</f>
        <v>0</v>
      </c>
      <c r="F9"/>
      <c r="G9" s="2057">
        <f t="shared" ref="G9:G40" si="2">K9*M9</f>
        <v>0.4</v>
      </c>
      <c r="H9" s="2057">
        <f t="shared" ref="H9:H40" si="3">L9*N9</f>
        <v>0</v>
      </c>
      <c r="I9" s="2057">
        <f>G10+G20+G34+G47</f>
        <v>1</v>
      </c>
      <c r="J9" s="2057">
        <f>H10+H20+H34+H47</f>
        <v>0</v>
      </c>
      <c r="K9" s="2057">
        <f>IF(スコア表示!W9=0,0,1)</f>
        <v>1</v>
      </c>
      <c r="L9" s="2057">
        <f>IF(スコア表示!AA9=0,0,1)</f>
        <v>1</v>
      </c>
      <c r="M9" s="2057">
        <f t="shared" ref="M9:M40" si="4">SUMPRODUCT($S$7:$AB$7,S9:AB9)</f>
        <v>0.4</v>
      </c>
      <c r="N9" s="2057">
        <f t="shared" ref="N9:N40" si="5">(AC$7*AC9)+(AD$7*AD9)+(AE$7*AE9)</f>
        <v>0</v>
      </c>
      <c r="O9"/>
      <c r="P9" s="1597" t="str">
        <f t="shared" ref="P9:P40" si="6">IF($P$3=1,AX9,BO9)</f>
        <v>Q1</v>
      </c>
      <c r="Q9" s="1597" t="str">
        <f t="shared" ref="Q9:Q40" si="7">IF($P$3=1,AY9,BP9)</f>
        <v xml:space="preserve"> Q</v>
      </c>
      <c r="R9" s="2058" t="str">
        <f t="shared" ref="R9:R40" si="8">AI9</f>
        <v>室内環境</v>
      </c>
      <c r="S9" s="1603">
        <f>IF($P$3=1,BA9,IF($P$3=2,BR9,AJ9))</f>
        <v>0.4</v>
      </c>
      <c r="T9" s="1603">
        <f t="shared" ref="T9:T40" si="9">IF($P$3=1,BB9,IF($P$3=2,BS9,AK9))</f>
        <v>0.4</v>
      </c>
      <c r="U9" s="1603">
        <f t="shared" ref="U9:U40" si="10">IF($P$3=1,BC9,IF($P$3=2,BT9,AL9))</f>
        <v>0.4</v>
      </c>
      <c r="V9" s="1603">
        <f t="shared" ref="V9:V40" si="11">IF($P$3=1,BD9,IF($P$3=2,BU9,AM9))</f>
        <v>0.4</v>
      </c>
      <c r="W9" s="1603">
        <f t="shared" ref="W9:W40" si="12">IF($P$3=1,BE9,IF($P$3=2,BV9,AN9))</f>
        <v>0.4</v>
      </c>
      <c r="X9" s="1603">
        <f t="shared" ref="X9:X40" si="13">IF($P$3=1,BF9,IF($P$3=2,BW9,AO9))</f>
        <v>0.4</v>
      </c>
      <c r="Y9" s="1603">
        <f t="shared" ref="Y9:Y40" si="14">IF($P$3=1,BG9,IF($P$3=2,BX9,AP9))</f>
        <v>0.4</v>
      </c>
      <c r="Z9" s="1603">
        <f t="shared" ref="Z9:Z40" si="15">IF($P$3=1,BH9,IF($P$3=2,BY9,AQ9))</f>
        <v>0.4</v>
      </c>
      <c r="AA9" s="1603">
        <f t="shared" ref="AA9:AA40" si="16">IF($P$3=1,BI9,IF($P$3=2,BZ9,AR9))</f>
        <v>0.3</v>
      </c>
      <c r="AB9" s="1603">
        <f t="shared" ref="AB9:AB40" si="17">IF($P$3=1,BJ9,IF($P$3=2,CA9,AS9))</f>
        <v>0.4</v>
      </c>
      <c r="AC9" s="1658">
        <f t="shared" ref="AC9:AC40" si="18">IF($P$3=1,BK9,IF($P$3=2,CB9,AT9))</f>
        <v>0</v>
      </c>
      <c r="AD9" s="1603">
        <f t="shared" ref="AD9:AD40" si="19">IF($P$3=1,BL9,IF($P$3=2,CC9,AU9))</f>
        <v>0</v>
      </c>
      <c r="AE9" s="1603">
        <f t="shared" ref="AE9:AE40" si="20">IF($P$3=1,BM9,IF($P$3=2,CD9,AV9))</f>
        <v>0</v>
      </c>
      <c r="AF9"/>
      <c r="AG9" s="1597" t="s">
        <v>1683</v>
      </c>
      <c r="AH9" s="2059" t="s">
        <v>276</v>
      </c>
      <c r="AI9" s="2058" t="s">
        <v>1684</v>
      </c>
      <c r="AJ9" s="1603">
        <v>0.4</v>
      </c>
      <c r="AK9" s="1603">
        <v>0.4</v>
      </c>
      <c r="AL9" s="1603">
        <v>0.4</v>
      </c>
      <c r="AM9" s="1603">
        <v>0.4</v>
      </c>
      <c r="AN9" s="1603">
        <v>0.4</v>
      </c>
      <c r="AO9" s="1603">
        <v>0.4</v>
      </c>
      <c r="AP9" s="1603">
        <v>0.4</v>
      </c>
      <c r="AQ9" s="1603">
        <v>0.4</v>
      </c>
      <c r="AR9" s="1603">
        <v>0.3</v>
      </c>
      <c r="AS9" s="2060">
        <v>0.4</v>
      </c>
      <c r="AT9" s="2061"/>
      <c r="AU9" s="2060"/>
      <c r="AV9" s="2060"/>
      <c r="AW9"/>
      <c r="AX9" s="1597" t="s">
        <v>1469</v>
      </c>
      <c r="AY9" s="2059" t="s">
        <v>276</v>
      </c>
      <c r="AZ9" s="2058" t="s">
        <v>1470</v>
      </c>
      <c r="BA9" s="2060">
        <v>0.4</v>
      </c>
      <c r="BB9" s="2060">
        <v>0.4</v>
      </c>
      <c r="BC9" s="2060">
        <v>0.4</v>
      </c>
      <c r="BD9" s="2060">
        <v>0.4</v>
      </c>
      <c r="BE9" s="2060">
        <v>0.4</v>
      </c>
      <c r="BF9" s="2060">
        <v>0.4</v>
      </c>
      <c r="BG9" s="2060">
        <v>0.4</v>
      </c>
      <c r="BH9" s="2060">
        <v>0.4</v>
      </c>
      <c r="BI9" s="2060">
        <v>0.3</v>
      </c>
      <c r="BJ9" s="2060">
        <v>0.4</v>
      </c>
      <c r="BK9" s="2061"/>
      <c r="BL9" s="2060"/>
      <c r="BM9" s="2060"/>
      <c r="BN9"/>
      <c r="BO9" s="1597" t="s">
        <v>1631</v>
      </c>
      <c r="BP9" s="2059" t="s">
        <v>276</v>
      </c>
      <c r="BQ9" s="2058" t="s">
        <v>1632</v>
      </c>
      <c r="BR9" s="2060">
        <v>0.4</v>
      </c>
      <c r="BS9" s="2060">
        <v>0.4</v>
      </c>
      <c r="BT9" s="2060">
        <v>0.4</v>
      </c>
      <c r="BU9" s="2060">
        <v>0.4</v>
      </c>
      <c r="BV9" s="2060">
        <v>0.4</v>
      </c>
      <c r="BW9" s="2060">
        <v>0.4</v>
      </c>
      <c r="BX9" s="2060">
        <v>0.4</v>
      </c>
      <c r="BY9" s="2060">
        <v>0.4</v>
      </c>
      <c r="BZ9" s="2060">
        <v>0.3</v>
      </c>
      <c r="CA9" s="2060">
        <v>0.4</v>
      </c>
      <c r="CB9" s="2061"/>
      <c r="CC9" s="2060"/>
      <c r="CD9" s="2060"/>
      <c r="CE9"/>
    </row>
    <row r="10" spans="1:83" s="1605" customFormat="1">
      <c r="A10"/>
      <c r="B10" s="1597">
        <f t="shared" si="0"/>
        <v>1</v>
      </c>
      <c r="C10" s="1607" t="str">
        <f t="shared" si="1"/>
        <v>音環境</v>
      </c>
      <c r="D10" s="2062">
        <f>IF(I$9=0,0,G10/I$9)</f>
        <v>0.15</v>
      </c>
      <c r="E10" s="1743">
        <f>IF(J$9=0,0,H10/J$9)</f>
        <v>0</v>
      </c>
      <c r="F10"/>
      <c r="G10" s="1743">
        <f>K10*M10</f>
        <v>0.15</v>
      </c>
      <c r="H10" s="1743">
        <f t="shared" si="3"/>
        <v>0</v>
      </c>
      <c r="I10" s="1721">
        <f>G11+G14+G19</f>
        <v>1</v>
      </c>
      <c r="J10" s="1721">
        <f>H11+H14+H19</f>
        <v>0</v>
      </c>
      <c r="K10" s="1743">
        <f>IF(L10&gt;0,1,IF(スコア表示!W10=0,0,1))</f>
        <v>1</v>
      </c>
      <c r="L10" s="1743">
        <f>IF(スコア表示!AA10=0,0,1)</f>
        <v>0</v>
      </c>
      <c r="M10" s="1743">
        <f t="shared" si="4"/>
        <v>0.15</v>
      </c>
      <c r="N10" s="1743">
        <v>1</v>
      </c>
      <c r="O10"/>
      <c r="P10" s="1641">
        <f t="shared" si="6"/>
        <v>1</v>
      </c>
      <c r="Q10" s="1641" t="str">
        <f t="shared" si="7"/>
        <v xml:space="preserve"> Q1</v>
      </c>
      <c r="R10" s="1780" t="str">
        <f t="shared" si="8"/>
        <v>音環境</v>
      </c>
      <c r="S10" s="1610">
        <f t="shared" ref="S10:S40" si="21">IF($P$3=1,BA10,IF($P$3=2,BR10,AJ10))</f>
        <v>0.15</v>
      </c>
      <c r="T10" s="1610">
        <f t="shared" si="9"/>
        <v>0.15</v>
      </c>
      <c r="U10" s="1610">
        <f t="shared" si="10"/>
        <v>0.15</v>
      </c>
      <c r="V10" s="1610">
        <f t="shared" si="11"/>
        <v>0.15</v>
      </c>
      <c r="W10" s="1610">
        <f t="shared" si="12"/>
        <v>0.15</v>
      </c>
      <c r="X10" s="1610">
        <f t="shared" si="13"/>
        <v>0.15</v>
      </c>
      <c r="Y10" s="1610">
        <f t="shared" si="14"/>
        <v>0.15</v>
      </c>
      <c r="Z10" s="1611">
        <f t="shared" si="15"/>
        <v>0.23</v>
      </c>
      <c r="AA10" s="1610">
        <f t="shared" si="16"/>
        <v>0.15</v>
      </c>
      <c r="AB10" s="1610">
        <f t="shared" si="17"/>
        <v>0.15</v>
      </c>
      <c r="AC10" s="1659">
        <f t="shared" si="18"/>
        <v>0</v>
      </c>
      <c r="AD10" s="1610">
        <f t="shared" si="19"/>
        <v>0</v>
      </c>
      <c r="AE10" s="1610">
        <f t="shared" si="20"/>
        <v>0</v>
      </c>
      <c r="AF10"/>
      <c r="AG10" s="1641">
        <v>1</v>
      </c>
      <c r="AH10" s="1744" t="s">
        <v>277</v>
      </c>
      <c r="AI10" s="1780" t="s">
        <v>1066</v>
      </c>
      <c r="AJ10" s="1610">
        <v>0.15</v>
      </c>
      <c r="AK10" s="1610">
        <v>0.15</v>
      </c>
      <c r="AL10" s="1610">
        <v>0.15</v>
      </c>
      <c r="AM10" s="1610">
        <v>0.15</v>
      </c>
      <c r="AN10" s="1610">
        <v>0.15</v>
      </c>
      <c r="AO10" s="1610">
        <v>0.15</v>
      </c>
      <c r="AP10" s="1610">
        <v>0.15</v>
      </c>
      <c r="AQ10" s="1611">
        <v>0.23</v>
      </c>
      <c r="AR10" s="1610">
        <v>0.15</v>
      </c>
      <c r="AS10" s="1711">
        <v>0.15</v>
      </c>
      <c r="AT10" s="2063"/>
      <c r="AU10" s="1711"/>
      <c r="AV10" s="1711"/>
      <c r="AW10"/>
      <c r="AX10" s="1641">
        <v>1</v>
      </c>
      <c r="AY10" s="1744" t="s">
        <v>277</v>
      </c>
      <c r="AZ10" s="1780" t="s">
        <v>1066</v>
      </c>
      <c r="BA10" s="1711">
        <v>0.15</v>
      </c>
      <c r="BB10" s="1711">
        <v>0.15</v>
      </c>
      <c r="BC10" s="1711">
        <v>0.15</v>
      </c>
      <c r="BD10" s="1711">
        <v>0.15</v>
      </c>
      <c r="BE10" s="1711">
        <v>0.15</v>
      </c>
      <c r="BF10" s="1711">
        <v>0.15</v>
      </c>
      <c r="BG10" s="1711">
        <v>0.15</v>
      </c>
      <c r="BH10" s="1712">
        <v>0.23</v>
      </c>
      <c r="BI10" s="1711">
        <v>0.15</v>
      </c>
      <c r="BJ10" s="1711">
        <v>0.15</v>
      </c>
      <c r="BK10" s="2063"/>
      <c r="BL10" s="1711"/>
      <c r="BM10" s="1711"/>
      <c r="BN10"/>
      <c r="BO10" s="1641">
        <v>1</v>
      </c>
      <c r="BP10" s="1744" t="s">
        <v>277</v>
      </c>
      <c r="BQ10" s="1780" t="s">
        <v>1066</v>
      </c>
      <c r="BR10" s="1711">
        <v>0.15</v>
      </c>
      <c r="BS10" s="1711">
        <v>0.15</v>
      </c>
      <c r="BT10" s="1711">
        <v>0.15</v>
      </c>
      <c r="BU10" s="1711">
        <v>0.15</v>
      </c>
      <c r="BV10" s="1711">
        <v>0.15</v>
      </c>
      <c r="BW10" s="1711">
        <v>0.15</v>
      </c>
      <c r="BX10" s="1711">
        <v>0.15</v>
      </c>
      <c r="BY10" s="1712">
        <v>0.23</v>
      </c>
      <c r="BZ10" s="1711">
        <v>0.15</v>
      </c>
      <c r="CA10" s="1711">
        <v>0.15</v>
      </c>
      <c r="CB10" s="2063"/>
      <c r="CC10" s="1711"/>
      <c r="CD10" s="1711"/>
      <c r="CE10"/>
    </row>
    <row r="11" spans="1:83">
      <c r="B11" s="1597">
        <f t="shared" si="0"/>
        <v>1.1000000000000001</v>
      </c>
      <c r="C11" s="1614" t="str">
        <f t="shared" si="1"/>
        <v>騒音</v>
      </c>
      <c r="D11" s="1716">
        <f>IF(I$10=0,0,G11/I$10)</f>
        <v>0.4</v>
      </c>
      <c r="E11" s="1716">
        <f>IF(J$10=0,0,H11/J$10)</f>
        <v>0</v>
      </c>
      <c r="G11" s="1691">
        <f t="shared" si="2"/>
        <v>0.4</v>
      </c>
      <c r="H11" s="1691">
        <f t="shared" si="3"/>
        <v>0</v>
      </c>
      <c r="I11" s="1721"/>
      <c r="J11" s="1721"/>
      <c r="K11" s="1691">
        <f>IF(スコア表示!W11=0,0,1)</f>
        <v>1</v>
      </c>
      <c r="L11" s="1691">
        <f>IF(スコア表示!AA11=0,0,1)</f>
        <v>1</v>
      </c>
      <c r="M11" s="1691">
        <f t="shared" si="4"/>
        <v>0.4</v>
      </c>
      <c r="N11" s="1691">
        <f t="shared" si="5"/>
        <v>0</v>
      </c>
      <c r="P11" s="1647">
        <f t="shared" si="6"/>
        <v>1.1000000000000001</v>
      </c>
      <c r="Q11" s="1647" t="str">
        <f t="shared" si="7"/>
        <v xml:space="preserve"> Q1 1</v>
      </c>
      <c r="R11" s="1737" t="str">
        <f t="shared" si="8"/>
        <v>騒音</v>
      </c>
      <c r="S11" s="1618">
        <f t="shared" si="21"/>
        <v>0.4</v>
      </c>
      <c r="T11" s="1618">
        <f t="shared" si="9"/>
        <v>0.4</v>
      </c>
      <c r="U11" s="1618">
        <f t="shared" si="10"/>
        <v>0.8</v>
      </c>
      <c r="V11" s="1618">
        <f t="shared" si="11"/>
        <v>0.4</v>
      </c>
      <c r="W11" s="1618">
        <f t="shared" si="12"/>
        <v>0.4</v>
      </c>
      <c r="X11" s="1618">
        <f t="shared" si="13"/>
        <v>0.8</v>
      </c>
      <c r="Y11" s="1618">
        <f t="shared" si="14"/>
        <v>0.8</v>
      </c>
      <c r="Z11" s="1618">
        <f t="shared" si="15"/>
        <v>0.8</v>
      </c>
      <c r="AA11" s="1618">
        <f t="shared" si="16"/>
        <v>0.5</v>
      </c>
      <c r="AB11" s="1618">
        <f t="shared" si="17"/>
        <v>0.4</v>
      </c>
      <c r="AC11" s="1619">
        <f t="shared" si="18"/>
        <v>0.5</v>
      </c>
      <c r="AD11" s="1618">
        <f t="shared" si="19"/>
        <v>0.4</v>
      </c>
      <c r="AE11" s="1618">
        <f t="shared" si="20"/>
        <v>0.4</v>
      </c>
      <c r="AG11" s="1647">
        <v>1.1000000000000001</v>
      </c>
      <c r="AH11" s="1693" t="s">
        <v>278</v>
      </c>
      <c r="AI11" s="2064" t="s">
        <v>1685</v>
      </c>
      <c r="AJ11" s="2353">
        <v>0.4</v>
      </c>
      <c r="AK11" s="1618">
        <v>0.4</v>
      </c>
      <c r="AL11" s="1618">
        <v>0.8</v>
      </c>
      <c r="AM11" s="1618">
        <v>0.4</v>
      </c>
      <c r="AN11" s="2353">
        <v>0.4</v>
      </c>
      <c r="AO11" s="1618">
        <v>0.8</v>
      </c>
      <c r="AP11" s="1618">
        <v>0.8</v>
      </c>
      <c r="AQ11" s="2353">
        <v>0.8</v>
      </c>
      <c r="AR11" s="2353">
        <v>0.5</v>
      </c>
      <c r="AS11" s="1623">
        <v>0.4</v>
      </c>
      <c r="AT11" s="1625">
        <v>0.5</v>
      </c>
      <c r="AU11" s="1623">
        <v>0.4</v>
      </c>
      <c r="AV11" s="1623">
        <v>0.4</v>
      </c>
      <c r="AW11" s="1618"/>
      <c r="AX11" s="1647">
        <v>1.1000000000000001</v>
      </c>
      <c r="AY11" s="1693" t="s">
        <v>278</v>
      </c>
      <c r="AZ11" s="2064" t="s">
        <v>1472</v>
      </c>
      <c r="BA11" s="1623">
        <v>0.4</v>
      </c>
      <c r="BB11" s="1623">
        <v>0.4</v>
      </c>
      <c r="BC11" s="1623">
        <v>0.4</v>
      </c>
      <c r="BD11" s="1623">
        <v>0.4</v>
      </c>
      <c r="BE11" s="1623">
        <v>0.4</v>
      </c>
      <c r="BF11" s="1623">
        <v>0.4</v>
      </c>
      <c r="BG11" s="1623">
        <v>0.5</v>
      </c>
      <c r="BH11" s="1623">
        <v>0.4</v>
      </c>
      <c r="BI11" s="1623">
        <v>0.4</v>
      </c>
      <c r="BJ11" s="1623">
        <v>0.4</v>
      </c>
      <c r="BK11" s="1623">
        <v>0.4</v>
      </c>
      <c r="BL11" s="1623">
        <v>0.4</v>
      </c>
      <c r="BM11" s="1623">
        <v>0.5</v>
      </c>
      <c r="BO11" s="1647">
        <v>1.1000000000000001</v>
      </c>
      <c r="BP11" s="1693" t="s">
        <v>278</v>
      </c>
      <c r="BQ11" s="2064" t="s">
        <v>1471</v>
      </c>
      <c r="BR11" s="1623">
        <v>0.4</v>
      </c>
      <c r="BS11" s="1623">
        <v>0.4</v>
      </c>
      <c r="BT11" s="1623">
        <v>0.4</v>
      </c>
      <c r="BU11" s="1623">
        <v>0.4</v>
      </c>
      <c r="BV11" s="1623">
        <v>0.4</v>
      </c>
      <c r="BW11" s="1623">
        <v>0.4</v>
      </c>
      <c r="BX11" s="1623">
        <v>0.5</v>
      </c>
      <c r="BY11" s="1623">
        <v>0.4</v>
      </c>
      <c r="BZ11" s="1623">
        <v>0.4</v>
      </c>
      <c r="CA11" s="1623">
        <v>0.4</v>
      </c>
      <c r="CB11" s="1623">
        <v>0.4</v>
      </c>
      <c r="CC11" s="1623">
        <v>0.4</v>
      </c>
      <c r="CD11" s="1623">
        <v>0.5</v>
      </c>
    </row>
    <row r="12" spans="1:83" hidden="1">
      <c r="B12" s="1597" t="str">
        <f t="shared" si="0"/>
        <v>1.1.1</v>
      </c>
      <c r="C12" s="1650" t="str">
        <f t="shared" si="1"/>
        <v>室内騒音レベル</v>
      </c>
      <c r="D12" s="1716">
        <f>IF(I$11=0,0,G12/I$11)</f>
        <v>0</v>
      </c>
      <c r="E12" s="1716">
        <f>IF(J$11=0,0,H12/J$11)</f>
        <v>0</v>
      </c>
      <c r="G12" s="1691">
        <f t="shared" si="2"/>
        <v>0</v>
      </c>
      <c r="H12" s="1691">
        <f t="shared" si="3"/>
        <v>0</v>
      </c>
      <c r="I12" s="1721"/>
      <c r="J12" s="1721"/>
      <c r="K12" s="1691">
        <f>IF(スコア表示!W12=0,0,1)</f>
        <v>0</v>
      </c>
      <c r="L12" s="1691">
        <f>IF(スコア表示!AA12=0,0,1)</f>
        <v>0</v>
      </c>
      <c r="M12" s="1691">
        <f t="shared" si="4"/>
        <v>0</v>
      </c>
      <c r="N12" s="1691">
        <f t="shared" si="5"/>
        <v>0</v>
      </c>
      <c r="P12" s="1647" t="str">
        <f t="shared" si="6"/>
        <v>1.1.1</v>
      </c>
      <c r="Q12" s="1647" t="str">
        <f t="shared" si="7"/>
        <v xml:space="preserve"> Q1 1.1</v>
      </c>
      <c r="R12" s="1737" t="str">
        <f t="shared" si="8"/>
        <v>室内騒音レベル</v>
      </c>
      <c r="S12" s="1618">
        <f t="shared" si="21"/>
        <v>0</v>
      </c>
      <c r="T12" s="1618">
        <f t="shared" si="9"/>
        <v>0</v>
      </c>
      <c r="U12" s="1618">
        <f t="shared" si="10"/>
        <v>0</v>
      </c>
      <c r="V12" s="1618">
        <f t="shared" si="11"/>
        <v>0</v>
      </c>
      <c r="W12" s="1618">
        <f t="shared" si="12"/>
        <v>0</v>
      </c>
      <c r="X12" s="1618">
        <f t="shared" si="13"/>
        <v>0</v>
      </c>
      <c r="Y12" s="1618">
        <f t="shared" si="14"/>
        <v>0</v>
      </c>
      <c r="Z12" s="1618">
        <f t="shared" si="15"/>
        <v>0</v>
      </c>
      <c r="AA12" s="1618">
        <f t="shared" si="16"/>
        <v>0</v>
      </c>
      <c r="AB12" s="1618">
        <f t="shared" si="17"/>
        <v>0</v>
      </c>
      <c r="AC12" s="1619">
        <f t="shared" si="18"/>
        <v>0</v>
      </c>
      <c r="AD12" s="1618">
        <f t="shared" si="19"/>
        <v>0</v>
      </c>
      <c r="AE12" s="1618">
        <f t="shared" si="20"/>
        <v>0</v>
      </c>
      <c r="AG12" s="1647" t="s">
        <v>279</v>
      </c>
      <c r="AH12" s="1693" t="s">
        <v>280</v>
      </c>
      <c r="AI12" s="2064" t="s">
        <v>942</v>
      </c>
      <c r="AJ12" s="1618"/>
      <c r="AK12" s="1618"/>
      <c r="AL12" s="1618"/>
      <c r="AM12" s="1618"/>
      <c r="AN12" s="1618"/>
      <c r="AO12" s="1618"/>
      <c r="AP12" s="1618"/>
      <c r="AQ12" s="1618"/>
      <c r="AR12" s="1618"/>
      <c r="AS12" s="1623"/>
      <c r="AT12" s="1625"/>
      <c r="AU12" s="1623"/>
      <c r="AV12" s="1623"/>
      <c r="AW12" s="1618"/>
      <c r="AX12" s="1647" t="s">
        <v>279</v>
      </c>
      <c r="AY12" s="1693" t="s">
        <v>280</v>
      </c>
      <c r="AZ12" s="2064" t="s">
        <v>942</v>
      </c>
      <c r="BA12" s="1623"/>
      <c r="BB12" s="1623"/>
      <c r="BC12" s="1623"/>
      <c r="BD12" s="1623"/>
      <c r="BE12" s="1623"/>
      <c r="BF12" s="1623"/>
      <c r="BG12" s="1623"/>
      <c r="BH12" s="1623"/>
      <c r="BI12" s="1623"/>
      <c r="BJ12" s="1623"/>
      <c r="BK12" s="1625"/>
      <c r="BL12" s="1623"/>
      <c r="BM12" s="1623"/>
      <c r="BO12" s="1647" t="s">
        <v>279</v>
      </c>
      <c r="BP12" s="1693" t="s">
        <v>280</v>
      </c>
      <c r="BQ12" s="2064" t="s">
        <v>942</v>
      </c>
      <c r="BR12" s="1623"/>
      <c r="BS12" s="1623"/>
      <c r="BT12" s="1623"/>
      <c r="BU12" s="1623"/>
      <c r="BV12" s="1623"/>
      <c r="BW12" s="1623"/>
      <c r="BX12" s="1623"/>
      <c r="BY12" s="1623"/>
      <c r="BZ12" s="1623"/>
      <c r="CA12" s="1623"/>
      <c r="CB12" s="1625"/>
      <c r="CC12" s="1623"/>
      <c r="CD12" s="1623"/>
    </row>
    <row r="13" spans="1:83" hidden="1">
      <c r="B13" s="1597" t="str">
        <f t="shared" si="0"/>
        <v>1.1.2</v>
      </c>
      <c r="C13" s="1650" t="str">
        <f t="shared" si="1"/>
        <v>設備騒音対策</v>
      </c>
      <c r="D13" s="1716">
        <f>IF(I$11=0,0,G13/I$11)</f>
        <v>0</v>
      </c>
      <c r="E13" s="1716">
        <f>IF(J$11=0,0,H13/J$11)</f>
        <v>0</v>
      </c>
      <c r="G13" s="1691">
        <f t="shared" si="2"/>
        <v>0</v>
      </c>
      <c r="H13" s="1691">
        <f t="shared" si="3"/>
        <v>0</v>
      </c>
      <c r="I13" s="1721"/>
      <c r="J13" s="1721"/>
      <c r="K13" s="1691">
        <f>IF(スコア表示!W13=0,0,1)</f>
        <v>0</v>
      </c>
      <c r="L13" s="1691">
        <f>IF(スコア表示!AA13=0,0,1)</f>
        <v>0</v>
      </c>
      <c r="M13" s="1691">
        <f t="shared" si="4"/>
        <v>0</v>
      </c>
      <c r="N13" s="1691">
        <f t="shared" si="5"/>
        <v>0</v>
      </c>
      <c r="P13" s="1647" t="str">
        <f t="shared" si="6"/>
        <v>1.1.2</v>
      </c>
      <c r="Q13" s="1647" t="str">
        <f t="shared" si="7"/>
        <v xml:space="preserve"> Q1 1.1</v>
      </c>
      <c r="R13" s="1737" t="str">
        <f t="shared" si="8"/>
        <v>設備騒音対策</v>
      </c>
      <c r="S13" s="1618">
        <f t="shared" si="21"/>
        <v>0</v>
      </c>
      <c r="T13" s="1618">
        <f t="shared" si="9"/>
        <v>0</v>
      </c>
      <c r="U13" s="1618">
        <f t="shared" si="10"/>
        <v>0</v>
      </c>
      <c r="V13" s="1618">
        <f t="shared" si="11"/>
        <v>0</v>
      </c>
      <c r="W13" s="1618">
        <f t="shared" si="12"/>
        <v>0</v>
      </c>
      <c r="X13" s="1618">
        <f t="shared" si="13"/>
        <v>0</v>
      </c>
      <c r="Y13" s="1618">
        <f t="shared" si="14"/>
        <v>0</v>
      </c>
      <c r="Z13" s="1618">
        <f t="shared" si="15"/>
        <v>0</v>
      </c>
      <c r="AA13" s="1618">
        <f t="shared" si="16"/>
        <v>0</v>
      </c>
      <c r="AB13" s="1618">
        <f t="shared" si="17"/>
        <v>0</v>
      </c>
      <c r="AC13" s="1619">
        <f t="shared" si="18"/>
        <v>0</v>
      </c>
      <c r="AD13" s="1618">
        <f t="shared" si="19"/>
        <v>0</v>
      </c>
      <c r="AE13" s="1618">
        <f t="shared" si="20"/>
        <v>0</v>
      </c>
      <c r="AG13" s="1647" t="s">
        <v>281</v>
      </c>
      <c r="AH13" s="1693" t="s">
        <v>280</v>
      </c>
      <c r="AI13" s="2064" t="s">
        <v>414</v>
      </c>
      <c r="AJ13" s="1618"/>
      <c r="AK13" s="1618"/>
      <c r="AL13" s="1618"/>
      <c r="AM13" s="1618"/>
      <c r="AN13" s="1618"/>
      <c r="AO13" s="1618"/>
      <c r="AP13" s="1618"/>
      <c r="AQ13" s="1618"/>
      <c r="AR13" s="1618"/>
      <c r="AS13" s="1623"/>
      <c r="AT13" s="1625"/>
      <c r="AU13" s="1623"/>
      <c r="AV13" s="1623"/>
      <c r="AW13" s="1618"/>
      <c r="AX13" s="1647" t="s">
        <v>281</v>
      </c>
      <c r="AY13" s="1693" t="s">
        <v>280</v>
      </c>
      <c r="AZ13" s="2064" t="s">
        <v>414</v>
      </c>
      <c r="BA13" s="1623"/>
      <c r="BB13" s="1623"/>
      <c r="BC13" s="1623"/>
      <c r="BD13" s="1623"/>
      <c r="BE13" s="1623"/>
      <c r="BF13" s="1623"/>
      <c r="BG13" s="1623"/>
      <c r="BH13" s="1623"/>
      <c r="BI13" s="1623"/>
      <c r="BJ13" s="1623"/>
      <c r="BK13" s="1625"/>
      <c r="BL13" s="1623"/>
      <c r="BM13" s="1623"/>
      <c r="BO13" s="1647" t="s">
        <v>281</v>
      </c>
      <c r="BP13" s="1693" t="s">
        <v>280</v>
      </c>
      <c r="BQ13" s="2064" t="s">
        <v>414</v>
      </c>
      <c r="BR13" s="1623"/>
      <c r="BS13" s="1623"/>
      <c r="BT13" s="1623"/>
      <c r="BU13" s="1623"/>
      <c r="BV13" s="1623"/>
      <c r="BW13" s="1623"/>
      <c r="BX13" s="1623"/>
      <c r="BY13" s="1623"/>
      <c r="BZ13" s="1623"/>
      <c r="CA13" s="1623"/>
      <c r="CB13" s="1625"/>
      <c r="CC13" s="1623"/>
      <c r="CD13" s="1623"/>
    </row>
    <row r="14" spans="1:83">
      <c r="B14" s="1597">
        <f t="shared" si="0"/>
        <v>1.2</v>
      </c>
      <c r="C14" s="516" t="str">
        <f t="shared" si="1"/>
        <v>遮音</v>
      </c>
      <c r="D14" s="1716">
        <f>IF(I$10=0,0,G14/I$10)</f>
        <v>0.4</v>
      </c>
      <c r="E14" s="1716">
        <f>IF(J$10=0,0,H14/J$10)</f>
        <v>0</v>
      </c>
      <c r="G14" s="1691">
        <f t="shared" si="2"/>
        <v>0.4</v>
      </c>
      <c r="H14" s="1691">
        <f t="shared" si="3"/>
        <v>0</v>
      </c>
      <c r="I14" s="1721">
        <f>SUM(G15:G18)</f>
        <v>1</v>
      </c>
      <c r="J14" s="1721">
        <f>SUM(H15:H18)</f>
        <v>0</v>
      </c>
      <c r="K14" s="1691">
        <f>IF(スコア表示!W14=0,0,1)</f>
        <v>1</v>
      </c>
      <c r="L14" s="1691">
        <f>IF(スコア表示!AA14=0,0,1)</f>
        <v>0</v>
      </c>
      <c r="M14" s="1691">
        <f t="shared" si="4"/>
        <v>0.4</v>
      </c>
      <c r="N14" s="1691">
        <f t="shared" si="5"/>
        <v>0</v>
      </c>
      <c r="P14" s="1647">
        <f t="shared" si="6"/>
        <v>1.2</v>
      </c>
      <c r="Q14" s="1647" t="str">
        <f t="shared" si="7"/>
        <v xml:space="preserve"> Q1 1</v>
      </c>
      <c r="R14" s="1737" t="str">
        <f t="shared" si="8"/>
        <v>遮音</v>
      </c>
      <c r="S14" s="1618">
        <f t="shared" si="21"/>
        <v>0.4</v>
      </c>
      <c r="T14" s="1618">
        <f t="shared" si="9"/>
        <v>0.4</v>
      </c>
      <c r="U14" s="1618">
        <f t="shared" si="10"/>
        <v>0</v>
      </c>
      <c r="V14" s="1618">
        <f t="shared" si="11"/>
        <v>0.4</v>
      </c>
      <c r="W14" s="1618">
        <f t="shared" si="12"/>
        <v>0.4</v>
      </c>
      <c r="X14" s="1618">
        <f t="shared" si="13"/>
        <v>0</v>
      </c>
      <c r="Y14" s="1618">
        <f t="shared" si="14"/>
        <v>0</v>
      </c>
      <c r="Z14" s="1618">
        <f t="shared" si="15"/>
        <v>0</v>
      </c>
      <c r="AA14" s="1618">
        <f t="shared" si="16"/>
        <v>0.5</v>
      </c>
      <c r="AB14" s="1618">
        <f t="shared" si="17"/>
        <v>0.4</v>
      </c>
      <c r="AC14" s="1619">
        <f t="shared" si="18"/>
        <v>0.5</v>
      </c>
      <c r="AD14" s="1618">
        <f t="shared" si="19"/>
        <v>0.4</v>
      </c>
      <c r="AE14" s="1618">
        <f t="shared" si="20"/>
        <v>0.4</v>
      </c>
      <c r="AG14" s="1647">
        <v>1.2</v>
      </c>
      <c r="AH14" s="1693" t="s">
        <v>278</v>
      </c>
      <c r="AI14" s="1985" t="s">
        <v>415</v>
      </c>
      <c r="AJ14" s="2353">
        <v>0.4</v>
      </c>
      <c r="AK14" s="1618">
        <v>0.4</v>
      </c>
      <c r="AL14" s="1618"/>
      <c r="AM14" s="1618">
        <v>0.4</v>
      </c>
      <c r="AN14" s="2353">
        <v>0.4</v>
      </c>
      <c r="AO14" s="1618"/>
      <c r="AP14" s="1618"/>
      <c r="AQ14" s="1618"/>
      <c r="AR14" s="2353">
        <v>0.5</v>
      </c>
      <c r="AS14" s="1623">
        <v>0.4</v>
      </c>
      <c r="AT14" s="1625">
        <v>0.5</v>
      </c>
      <c r="AU14" s="1623">
        <v>0.4</v>
      </c>
      <c r="AV14" s="2354">
        <v>0.4</v>
      </c>
      <c r="AW14" s="1618"/>
      <c r="AX14" s="1647">
        <v>1.2</v>
      </c>
      <c r="AY14" s="1693" t="s">
        <v>278</v>
      </c>
      <c r="AZ14" s="1985" t="s">
        <v>415</v>
      </c>
      <c r="BA14" s="1623">
        <v>0.4</v>
      </c>
      <c r="BB14" s="1623">
        <v>0.4</v>
      </c>
      <c r="BC14" s="1623">
        <v>0.4</v>
      </c>
      <c r="BD14" s="1623">
        <v>0.4</v>
      </c>
      <c r="BE14" s="1623">
        <v>0.4</v>
      </c>
      <c r="BF14" s="1623">
        <v>0.4</v>
      </c>
      <c r="BG14" s="1623">
        <v>0.5</v>
      </c>
      <c r="BH14" s="1623">
        <v>0.4</v>
      </c>
      <c r="BI14" s="1623">
        <v>0.4</v>
      </c>
      <c r="BJ14" s="1623">
        <v>0.4</v>
      </c>
      <c r="BK14" s="1623">
        <v>0.4</v>
      </c>
      <c r="BL14" s="1623">
        <v>0.4</v>
      </c>
      <c r="BM14" s="1623">
        <v>0.5</v>
      </c>
      <c r="BO14" s="1647">
        <v>1.2</v>
      </c>
      <c r="BP14" s="1693" t="s">
        <v>278</v>
      </c>
      <c r="BQ14" s="1985" t="s">
        <v>415</v>
      </c>
      <c r="BR14" s="1623">
        <v>0.4</v>
      </c>
      <c r="BS14" s="1623">
        <v>0.4</v>
      </c>
      <c r="BT14" s="1623">
        <v>0.4</v>
      </c>
      <c r="BU14" s="1623">
        <v>0.4</v>
      </c>
      <c r="BV14" s="1623">
        <v>0.4</v>
      </c>
      <c r="BW14" s="1623">
        <v>0.4</v>
      </c>
      <c r="BX14" s="1623">
        <v>0.5</v>
      </c>
      <c r="BY14" s="1623">
        <v>0.4</v>
      </c>
      <c r="BZ14" s="1623">
        <v>0.4</v>
      </c>
      <c r="CA14" s="1623">
        <v>0.4</v>
      </c>
      <c r="CB14" s="1623">
        <v>0.4</v>
      </c>
      <c r="CC14" s="1623">
        <v>0.4</v>
      </c>
      <c r="CD14" s="1623">
        <v>0.5</v>
      </c>
    </row>
    <row r="15" spans="1:83">
      <c r="B15" s="1597" t="str">
        <f t="shared" si="0"/>
        <v>1.2.1</v>
      </c>
      <c r="C15" s="516" t="str">
        <f t="shared" si="1"/>
        <v>開口部遮音性能</v>
      </c>
      <c r="D15" s="1716">
        <f t="shared" ref="D15:E18" si="22">IF(I$14=0,0,G15/I$14)</f>
        <v>0</v>
      </c>
      <c r="E15" s="1716">
        <f>IF(J$14=0,0,H15/J$14)</f>
        <v>0</v>
      </c>
      <c r="G15" s="1691">
        <f t="shared" si="2"/>
        <v>0</v>
      </c>
      <c r="H15" s="1691">
        <f t="shared" si="3"/>
        <v>0</v>
      </c>
      <c r="I15" s="1721"/>
      <c r="J15" s="1721"/>
      <c r="K15" s="2066">
        <f>IF(スコア表示!W15=0,0,1)</f>
        <v>0</v>
      </c>
      <c r="L15" s="2066">
        <f>IF(スコア表示!AA15=0,0,1)</f>
        <v>0</v>
      </c>
      <c r="M15" s="2066">
        <f t="shared" si="4"/>
        <v>0</v>
      </c>
      <c r="N15" s="2066">
        <f t="shared" si="5"/>
        <v>0</v>
      </c>
      <c r="P15" s="2067" t="str">
        <f t="shared" si="6"/>
        <v>1.2.1</v>
      </c>
      <c r="Q15" s="2067" t="str">
        <f t="shared" si="7"/>
        <v xml:space="preserve"> Q1 1.2</v>
      </c>
      <c r="R15" s="2068" t="str">
        <f t="shared" si="8"/>
        <v>開口部遮音性能</v>
      </c>
      <c r="S15" s="1654">
        <f t="shared" si="21"/>
        <v>0</v>
      </c>
      <c r="T15" s="1654">
        <f t="shared" si="9"/>
        <v>0</v>
      </c>
      <c r="U15" s="1654">
        <f t="shared" si="10"/>
        <v>0</v>
      </c>
      <c r="V15" s="1654">
        <f t="shared" si="11"/>
        <v>0</v>
      </c>
      <c r="W15" s="1654">
        <f t="shared" si="12"/>
        <v>0</v>
      </c>
      <c r="X15" s="1654">
        <f t="shared" si="13"/>
        <v>0</v>
      </c>
      <c r="Y15" s="1654">
        <f t="shared" si="14"/>
        <v>0</v>
      </c>
      <c r="Z15" s="1655">
        <f t="shared" si="15"/>
        <v>0</v>
      </c>
      <c r="AA15" s="1654">
        <f t="shared" si="16"/>
        <v>0</v>
      </c>
      <c r="AB15" s="1654">
        <f t="shared" si="17"/>
        <v>0</v>
      </c>
      <c r="AC15" s="1656">
        <f t="shared" si="18"/>
        <v>0</v>
      </c>
      <c r="AD15" s="1654">
        <f t="shared" si="19"/>
        <v>0</v>
      </c>
      <c r="AE15" s="1654">
        <f t="shared" si="20"/>
        <v>0</v>
      </c>
      <c r="AG15" s="1647" t="s">
        <v>1686</v>
      </c>
      <c r="AH15" s="1693" t="s">
        <v>282</v>
      </c>
      <c r="AI15" s="1985" t="s">
        <v>1687</v>
      </c>
      <c r="AJ15" s="1654"/>
      <c r="AK15" s="1654"/>
      <c r="AL15" s="1654"/>
      <c r="AM15" s="1654"/>
      <c r="AN15" s="1654"/>
      <c r="AO15" s="1654"/>
      <c r="AP15" s="1654"/>
      <c r="AQ15" s="1654"/>
      <c r="AR15" s="1654"/>
      <c r="AS15" s="1623"/>
      <c r="AT15" s="1625"/>
      <c r="AU15" s="1623"/>
      <c r="AV15" s="1623"/>
      <c r="AW15" s="1654"/>
      <c r="AX15" s="1647" t="s">
        <v>1473</v>
      </c>
      <c r="AY15" s="1693" t="s">
        <v>282</v>
      </c>
      <c r="AZ15" s="1985" t="s">
        <v>1474</v>
      </c>
      <c r="BA15" s="1623">
        <v>0.6</v>
      </c>
      <c r="BB15" s="1623">
        <v>0.3</v>
      </c>
      <c r="BC15" s="1623">
        <v>1</v>
      </c>
      <c r="BD15" s="1623">
        <v>0.6</v>
      </c>
      <c r="BE15" s="1623">
        <v>0.4</v>
      </c>
      <c r="BF15" s="1623">
        <v>1</v>
      </c>
      <c r="BG15" s="1623">
        <v>1</v>
      </c>
      <c r="BH15" s="1623">
        <v>1</v>
      </c>
      <c r="BI15" s="1623">
        <v>0.6</v>
      </c>
      <c r="BJ15" s="1623">
        <v>0.3</v>
      </c>
      <c r="BK15" s="1623">
        <v>0.3</v>
      </c>
      <c r="BL15" s="1623">
        <v>0.3</v>
      </c>
      <c r="BM15" s="1623">
        <v>0.3</v>
      </c>
      <c r="BO15" s="1647" t="s">
        <v>1633</v>
      </c>
      <c r="BP15" s="1693" t="s">
        <v>282</v>
      </c>
      <c r="BQ15" s="1985" t="s">
        <v>1634</v>
      </c>
      <c r="BR15" s="1623">
        <v>0.6</v>
      </c>
      <c r="BS15" s="1623">
        <v>0.3</v>
      </c>
      <c r="BT15" s="1623">
        <v>1</v>
      </c>
      <c r="BU15" s="1623">
        <v>0.6</v>
      </c>
      <c r="BV15" s="1623">
        <v>0.4</v>
      </c>
      <c r="BW15" s="1623">
        <v>1</v>
      </c>
      <c r="BX15" s="1623">
        <v>1</v>
      </c>
      <c r="BY15" s="1623">
        <v>1</v>
      </c>
      <c r="BZ15" s="1623">
        <v>0.6</v>
      </c>
      <c r="CA15" s="1623">
        <v>0.3</v>
      </c>
      <c r="CB15" s="1623">
        <v>0.3</v>
      </c>
      <c r="CC15" s="1623">
        <v>0.3</v>
      </c>
      <c r="CD15" s="1623">
        <v>0.3</v>
      </c>
    </row>
    <row r="16" spans="1:83">
      <c r="B16" s="1597" t="str">
        <f t="shared" si="0"/>
        <v>1.2.2</v>
      </c>
      <c r="C16" s="516" t="str">
        <f t="shared" si="1"/>
        <v>界壁遮音性能</v>
      </c>
      <c r="D16" s="1716">
        <f>IF(I$14=0,0,G16/I$14)</f>
        <v>1</v>
      </c>
      <c r="E16" s="1716">
        <f t="shared" si="22"/>
        <v>0</v>
      </c>
      <c r="G16" s="1691">
        <f t="shared" si="2"/>
        <v>1</v>
      </c>
      <c r="H16" s="1691">
        <f t="shared" si="3"/>
        <v>0</v>
      </c>
      <c r="I16" s="1691"/>
      <c r="J16" s="1691"/>
      <c r="K16" s="1691">
        <f>IF(スコア表示!W16=0,0,1)</f>
        <v>1</v>
      </c>
      <c r="L16" s="1691">
        <f>IF(スコア表示!AA16=0,0,1)</f>
        <v>1</v>
      </c>
      <c r="M16" s="1691">
        <f t="shared" si="4"/>
        <v>1</v>
      </c>
      <c r="N16" s="1691">
        <f t="shared" si="5"/>
        <v>0</v>
      </c>
      <c r="P16" s="1647" t="str">
        <f t="shared" si="6"/>
        <v>1.2.2</v>
      </c>
      <c r="Q16" s="1647" t="str">
        <f t="shared" si="7"/>
        <v xml:space="preserve"> Q1 1.2</v>
      </c>
      <c r="R16" s="1737" t="str">
        <f t="shared" si="8"/>
        <v>界壁遮音性能</v>
      </c>
      <c r="S16" s="1618">
        <f t="shared" si="21"/>
        <v>1</v>
      </c>
      <c r="T16" s="1618">
        <f t="shared" si="9"/>
        <v>0.4</v>
      </c>
      <c r="U16" s="1618">
        <f t="shared" si="10"/>
        <v>0</v>
      </c>
      <c r="V16" s="1618">
        <f t="shared" si="11"/>
        <v>1</v>
      </c>
      <c r="W16" s="1618">
        <f t="shared" si="12"/>
        <v>0.4</v>
      </c>
      <c r="X16" s="1618">
        <f t="shared" si="13"/>
        <v>0</v>
      </c>
      <c r="Y16" s="1618">
        <f t="shared" si="14"/>
        <v>0</v>
      </c>
      <c r="Z16" s="1626">
        <f t="shared" si="15"/>
        <v>0</v>
      </c>
      <c r="AA16" s="1618">
        <f t="shared" si="16"/>
        <v>1</v>
      </c>
      <c r="AB16" s="1618">
        <f t="shared" si="17"/>
        <v>0.4</v>
      </c>
      <c r="AC16" s="1619">
        <f t="shared" si="18"/>
        <v>1</v>
      </c>
      <c r="AD16" s="1618">
        <f t="shared" si="19"/>
        <v>0.4</v>
      </c>
      <c r="AE16" s="1618">
        <f t="shared" si="20"/>
        <v>0.4</v>
      </c>
      <c r="AG16" s="1647" t="s">
        <v>1688</v>
      </c>
      <c r="AH16" s="1693" t="s">
        <v>282</v>
      </c>
      <c r="AI16" s="1985" t="s">
        <v>641</v>
      </c>
      <c r="AJ16" s="2355">
        <v>1</v>
      </c>
      <c r="AK16" s="1623">
        <v>0.4</v>
      </c>
      <c r="AL16" s="1623"/>
      <c r="AM16" s="1623">
        <v>1</v>
      </c>
      <c r="AN16" s="2355">
        <v>0.4</v>
      </c>
      <c r="AO16" s="1623"/>
      <c r="AP16" s="1623"/>
      <c r="AQ16" s="1624"/>
      <c r="AR16" s="2355">
        <v>1</v>
      </c>
      <c r="AS16" s="1623">
        <v>0.4</v>
      </c>
      <c r="AT16" s="1625">
        <v>1</v>
      </c>
      <c r="AU16" s="1623">
        <v>0.4</v>
      </c>
      <c r="AV16" s="1623">
        <v>0.4</v>
      </c>
      <c r="AW16" s="1623"/>
      <c r="AX16" s="1647" t="s">
        <v>1475</v>
      </c>
      <c r="AY16" s="1693" t="s">
        <v>282</v>
      </c>
      <c r="AZ16" s="1985" t="s">
        <v>641</v>
      </c>
      <c r="BA16" s="1623">
        <v>0.4</v>
      </c>
      <c r="BB16" s="1623">
        <v>0.3</v>
      </c>
      <c r="BC16" s="1623"/>
      <c r="BD16" s="1623">
        <v>0.4</v>
      </c>
      <c r="BE16" s="1623">
        <v>0.6</v>
      </c>
      <c r="BF16" s="1623"/>
      <c r="BG16" s="1623"/>
      <c r="BH16" s="1623"/>
      <c r="BI16" s="1623">
        <v>0.4</v>
      </c>
      <c r="BJ16" s="1623">
        <v>0.3</v>
      </c>
      <c r="BK16" s="1623">
        <v>0.3</v>
      </c>
      <c r="BL16" s="1623">
        <v>0.3</v>
      </c>
      <c r="BM16" s="1623">
        <v>0.3</v>
      </c>
      <c r="BO16" s="1647" t="s">
        <v>1635</v>
      </c>
      <c r="BP16" s="1693" t="s">
        <v>282</v>
      </c>
      <c r="BQ16" s="1985" t="s">
        <v>641</v>
      </c>
      <c r="BR16" s="1623">
        <v>0.4</v>
      </c>
      <c r="BS16" s="1623">
        <v>0.3</v>
      </c>
      <c r="BT16" s="1623"/>
      <c r="BU16" s="1623">
        <v>0.4</v>
      </c>
      <c r="BV16" s="1623">
        <v>0.6</v>
      </c>
      <c r="BW16" s="1623"/>
      <c r="BX16" s="1623"/>
      <c r="BY16" s="1623"/>
      <c r="BZ16" s="1623">
        <v>0.4</v>
      </c>
      <c r="CA16" s="1623">
        <v>0.3</v>
      </c>
      <c r="CB16" s="1623">
        <v>0.3</v>
      </c>
      <c r="CC16" s="1623">
        <v>0.3</v>
      </c>
      <c r="CD16" s="1623">
        <v>0.3</v>
      </c>
    </row>
    <row r="17" spans="1:83">
      <c r="B17" s="1597" t="str">
        <f t="shared" si="0"/>
        <v>1.2.3</v>
      </c>
      <c r="C17" s="516" t="str">
        <f t="shared" si="1"/>
        <v>界床遮音性能（軽量衝撃源）</v>
      </c>
      <c r="D17" s="1716">
        <f t="shared" si="22"/>
        <v>0</v>
      </c>
      <c r="E17" s="1716">
        <f t="shared" si="22"/>
        <v>0</v>
      </c>
      <c r="G17" s="1691">
        <f t="shared" si="2"/>
        <v>0</v>
      </c>
      <c r="H17" s="1691">
        <f t="shared" si="3"/>
        <v>0</v>
      </c>
      <c r="I17" s="1691"/>
      <c r="J17" s="1691"/>
      <c r="K17" s="1691">
        <f>IF(スコア表示!W17=0,0,1)</f>
        <v>0</v>
      </c>
      <c r="L17" s="1691">
        <f>IF(スコア表示!AA17=0,0,1)</f>
        <v>1</v>
      </c>
      <c r="M17" s="1691">
        <f t="shared" si="4"/>
        <v>0</v>
      </c>
      <c r="N17" s="1691">
        <f t="shared" si="5"/>
        <v>0</v>
      </c>
      <c r="P17" s="1647" t="str">
        <f t="shared" si="6"/>
        <v>1.2.3</v>
      </c>
      <c r="Q17" s="1647" t="str">
        <f t="shared" si="7"/>
        <v xml:space="preserve"> Q1 1.2</v>
      </c>
      <c r="R17" s="1737" t="str">
        <f t="shared" si="8"/>
        <v>界床遮音性能（軽量衝撃源）</v>
      </c>
      <c r="S17" s="1618">
        <f t="shared" si="21"/>
        <v>0</v>
      </c>
      <c r="T17" s="1618">
        <f t="shared" si="9"/>
        <v>0.3</v>
      </c>
      <c r="U17" s="1618">
        <f t="shared" si="10"/>
        <v>0</v>
      </c>
      <c r="V17" s="1618">
        <f t="shared" si="11"/>
        <v>0</v>
      </c>
      <c r="W17" s="1618">
        <f t="shared" si="12"/>
        <v>0.6</v>
      </c>
      <c r="X17" s="1618">
        <f t="shared" si="13"/>
        <v>0</v>
      </c>
      <c r="Y17" s="1618">
        <f t="shared" si="14"/>
        <v>0</v>
      </c>
      <c r="Z17" s="1626">
        <f t="shared" si="15"/>
        <v>0</v>
      </c>
      <c r="AA17" s="1618">
        <f t="shared" si="16"/>
        <v>0</v>
      </c>
      <c r="AB17" s="1618">
        <f t="shared" si="17"/>
        <v>0.3</v>
      </c>
      <c r="AC17" s="1619">
        <f t="shared" si="18"/>
        <v>0</v>
      </c>
      <c r="AD17" s="1618">
        <f t="shared" si="19"/>
        <v>0.3</v>
      </c>
      <c r="AE17" s="1618">
        <f t="shared" si="20"/>
        <v>0.3</v>
      </c>
      <c r="AG17" s="1647" t="s">
        <v>1689</v>
      </c>
      <c r="AH17" s="1693" t="s">
        <v>282</v>
      </c>
      <c r="AI17" s="1985" t="s">
        <v>642</v>
      </c>
      <c r="AJ17" s="1623"/>
      <c r="AK17" s="1623">
        <v>0.3</v>
      </c>
      <c r="AL17" s="1623"/>
      <c r="AM17" s="1623"/>
      <c r="AN17" s="2355">
        <v>0.6</v>
      </c>
      <c r="AO17" s="1623"/>
      <c r="AP17" s="1623"/>
      <c r="AQ17" s="1624"/>
      <c r="AR17" s="1623"/>
      <c r="AS17" s="1623">
        <v>0.3</v>
      </c>
      <c r="AT17" s="1625"/>
      <c r="AU17" s="1623">
        <v>0.3</v>
      </c>
      <c r="AV17" s="1623">
        <v>0.3</v>
      </c>
      <c r="AW17" s="1623"/>
      <c r="AX17" s="1647" t="s">
        <v>1477</v>
      </c>
      <c r="AY17" s="1693" t="s">
        <v>282</v>
      </c>
      <c r="AZ17" s="1985" t="s">
        <v>642</v>
      </c>
      <c r="BA17" s="1623"/>
      <c r="BB17" s="1623">
        <v>0.2</v>
      </c>
      <c r="BC17" s="1623"/>
      <c r="BD17" s="1623"/>
      <c r="BE17" s="1623"/>
      <c r="BF17" s="1623"/>
      <c r="BG17" s="1623"/>
      <c r="BH17" s="1624"/>
      <c r="BI17" s="1623"/>
      <c r="BJ17" s="1623">
        <v>0.2</v>
      </c>
      <c r="BK17" s="1625">
        <v>0.2</v>
      </c>
      <c r="BL17" s="1623">
        <v>0.2</v>
      </c>
      <c r="BM17" s="1623">
        <v>0.2</v>
      </c>
      <c r="BO17" s="1647" t="s">
        <v>1636</v>
      </c>
      <c r="BP17" s="1693" t="s">
        <v>282</v>
      </c>
      <c r="BQ17" s="1985" t="s">
        <v>642</v>
      </c>
      <c r="BR17" s="1623"/>
      <c r="BS17" s="1623">
        <v>0.2</v>
      </c>
      <c r="BT17" s="1623"/>
      <c r="BU17" s="1623"/>
      <c r="BV17" s="1623"/>
      <c r="BW17" s="1623"/>
      <c r="BX17" s="1623"/>
      <c r="BY17" s="1624"/>
      <c r="BZ17" s="1623"/>
      <c r="CA17" s="1623">
        <v>0.2</v>
      </c>
      <c r="CB17" s="1625">
        <v>0.2</v>
      </c>
      <c r="CC17" s="1623">
        <v>0.2</v>
      </c>
      <c r="CD17" s="1623">
        <v>0.2</v>
      </c>
    </row>
    <row r="18" spans="1:83">
      <c r="B18" s="1597" t="str">
        <f t="shared" si="0"/>
        <v>1.2.4</v>
      </c>
      <c r="C18" s="516" t="str">
        <f t="shared" si="1"/>
        <v>界床遮音性能（重量衝撃源）</v>
      </c>
      <c r="D18" s="1716">
        <f t="shared" si="22"/>
        <v>0</v>
      </c>
      <c r="E18" s="1716">
        <f t="shared" si="22"/>
        <v>0</v>
      </c>
      <c r="G18" s="1691">
        <f t="shared" si="2"/>
        <v>0</v>
      </c>
      <c r="H18" s="1691">
        <f>L18*N18</f>
        <v>0</v>
      </c>
      <c r="I18" s="1691"/>
      <c r="J18" s="1691"/>
      <c r="K18" s="1691">
        <f>IF(スコア表示!W18=0,0,1)</f>
        <v>0</v>
      </c>
      <c r="L18" s="1691">
        <f>IF(スコア表示!AA18=0,0,1)</f>
        <v>1</v>
      </c>
      <c r="M18" s="1691">
        <f t="shared" si="4"/>
        <v>0</v>
      </c>
      <c r="N18" s="1691">
        <f t="shared" si="5"/>
        <v>0</v>
      </c>
      <c r="P18" s="1647" t="str">
        <f t="shared" si="6"/>
        <v>1.2.4</v>
      </c>
      <c r="Q18" s="1647" t="str">
        <f t="shared" si="7"/>
        <v xml:space="preserve"> Q1 1.2</v>
      </c>
      <c r="R18" s="1737" t="str">
        <f t="shared" si="8"/>
        <v>界床遮音性能（重量衝撃源）</v>
      </c>
      <c r="S18" s="1618">
        <f t="shared" si="21"/>
        <v>0</v>
      </c>
      <c r="T18" s="1618">
        <f t="shared" si="9"/>
        <v>0.3</v>
      </c>
      <c r="U18" s="1618">
        <f t="shared" si="10"/>
        <v>0</v>
      </c>
      <c r="V18" s="1618">
        <f t="shared" si="11"/>
        <v>0</v>
      </c>
      <c r="W18" s="1618">
        <f t="shared" si="12"/>
        <v>0</v>
      </c>
      <c r="X18" s="1618">
        <f t="shared" si="13"/>
        <v>0</v>
      </c>
      <c r="Y18" s="1618">
        <f t="shared" si="14"/>
        <v>0</v>
      </c>
      <c r="Z18" s="1626">
        <f t="shared" si="15"/>
        <v>0</v>
      </c>
      <c r="AA18" s="1618">
        <f t="shared" si="16"/>
        <v>0</v>
      </c>
      <c r="AB18" s="1618">
        <f t="shared" si="17"/>
        <v>0.3</v>
      </c>
      <c r="AC18" s="1619">
        <f t="shared" si="18"/>
        <v>0</v>
      </c>
      <c r="AD18" s="1618">
        <f t="shared" si="19"/>
        <v>0.3</v>
      </c>
      <c r="AE18" s="1618">
        <f t="shared" si="20"/>
        <v>0.3</v>
      </c>
      <c r="AG18" s="1647" t="s">
        <v>1690</v>
      </c>
      <c r="AH18" s="1693" t="s">
        <v>282</v>
      </c>
      <c r="AI18" s="1985" t="s">
        <v>643</v>
      </c>
      <c r="AJ18" s="1623"/>
      <c r="AK18" s="1623">
        <v>0.3</v>
      </c>
      <c r="AL18" s="1623"/>
      <c r="AM18" s="1623"/>
      <c r="AN18" s="1623"/>
      <c r="AO18" s="1623"/>
      <c r="AP18" s="1623"/>
      <c r="AQ18" s="1624"/>
      <c r="AR18" s="1623"/>
      <c r="AS18" s="1623">
        <v>0.3</v>
      </c>
      <c r="AT18" s="1625"/>
      <c r="AU18" s="1623">
        <v>0.3</v>
      </c>
      <c r="AV18" s="1623">
        <v>0.3</v>
      </c>
      <c r="AW18" s="1623"/>
      <c r="AX18" s="1647" t="s">
        <v>1478</v>
      </c>
      <c r="AY18" s="1693" t="s">
        <v>282</v>
      </c>
      <c r="AZ18" s="1985" t="s">
        <v>643</v>
      </c>
      <c r="BA18" s="1623"/>
      <c r="BB18" s="1623">
        <v>0.2</v>
      </c>
      <c r="BC18" s="1623"/>
      <c r="BD18" s="1623"/>
      <c r="BE18" s="1623"/>
      <c r="BF18" s="1623"/>
      <c r="BG18" s="1623"/>
      <c r="BH18" s="1624"/>
      <c r="BI18" s="1623"/>
      <c r="BJ18" s="1623">
        <v>0.2</v>
      </c>
      <c r="BK18" s="1625">
        <v>0.2</v>
      </c>
      <c r="BL18" s="1623">
        <v>0.2</v>
      </c>
      <c r="BM18" s="1623">
        <v>0.2</v>
      </c>
      <c r="BO18" s="1647" t="s">
        <v>1637</v>
      </c>
      <c r="BP18" s="1693" t="s">
        <v>282</v>
      </c>
      <c r="BQ18" s="1985" t="s">
        <v>643</v>
      </c>
      <c r="BR18" s="1623"/>
      <c r="BS18" s="1623">
        <v>0.2</v>
      </c>
      <c r="BT18" s="1623"/>
      <c r="BU18" s="1623"/>
      <c r="BV18" s="1623"/>
      <c r="BW18" s="1623"/>
      <c r="BX18" s="1623"/>
      <c r="BY18" s="1624"/>
      <c r="BZ18" s="1623"/>
      <c r="CA18" s="1623">
        <v>0.2</v>
      </c>
      <c r="CB18" s="1625">
        <v>0.2</v>
      </c>
      <c r="CC18" s="1623">
        <v>0.2</v>
      </c>
      <c r="CD18" s="1623">
        <v>0.2</v>
      </c>
    </row>
    <row r="19" spans="1:83">
      <c r="B19" s="1597">
        <f t="shared" si="0"/>
        <v>1.3</v>
      </c>
      <c r="C19" s="516" t="str">
        <f t="shared" si="1"/>
        <v>吸音</v>
      </c>
      <c r="D19" s="1716">
        <f>IF(I$10=0,0,G19/I$10)</f>
        <v>0.2</v>
      </c>
      <c r="E19" s="1716">
        <f>IF(J$10=0,0,H19/J$10)</f>
        <v>0</v>
      </c>
      <c r="G19" s="1691">
        <f t="shared" si="2"/>
        <v>0.2</v>
      </c>
      <c r="H19" s="1691">
        <f>L19*N19</f>
        <v>0</v>
      </c>
      <c r="I19" s="1691"/>
      <c r="J19" s="1691"/>
      <c r="K19" s="1691">
        <f>IF(スコア表示!W19=0,0,1)</f>
        <v>1</v>
      </c>
      <c r="L19" s="1691">
        <f>IF(スコア表示!AA19=0,0,1)</f>
        <v>1</v>
      </c>
      <c r="M19" s="1691">
        <f t="shared" si="4"/>
        <v>0.2</v>
      </c>
      <c r="N19" s="1691">
        <f t="shared" si="5"/>
        <v>0</v>
      </c>
      <c r="P19" s="1647">
        <f t="shared" si="6"/>
        <v>1.3</v>
      </c>
      <c r="Q19" s="1647" t="str">
        <f t="shared" si="7"/>
        <v xml:space="preserve"> Q1 1</v>
      </c>
      <c r="R19" s="1737" t="str">
        <f t="shared" si="8"/>
        <v>吸音</v>
      </c>
      <c r="S19" s="1618">
        <f t="shared" si="21"/>
        <v>0.2</v>
      </c>
      <c r="T19" s="1618">
        <f t="shared" si="9"/>
        <v>0.2</v>
      </c>
      <c r="U19" s="1618">
        <f t="shared" si="10"/>
        <v>0.2</v>
      </c>
      <c r="V19" s="1618">
        <f t="shared" si="11"/>
        <v>0.2</v>
      </c>
      <c r="W19" s="1618">
        <f t="shared" si="12"/>
        <v>0.2</v>
      </c>
      <c r="X19" s="1618">
        <f t="shared" si="13"/>
        <v>0.2</v>
      </c>
      <c r="Y19" s="1618">
        <f t="shared" si="14"/>
        <v>0.2</v>
      </c>
      <c r="Z19" s="1626">
        <f t="shared" si="15"/>
        <v>0.2</v>
      </c>
      <c r="AA19" s="1618">
        <f t="shared" si="16"/>
        <v>0</v>
      </c>
      <c r="AB19" s="1618">
        <f t="shared" si="17"/>
        <v>0.2</v>
      </c>
      <c r="AC19" s="1619">
        <f t="shared" si="18"/>
        <v>0</v>
      </c>
      <c r="AD19" s="1618">
        <f t="shared" si="19"/>
        <v>0.2</v>
      </c>
      <c r="AE19" s="1618">
        <f t="shared" si="20"/>
        <v>0.2</v>
      </c>
      <c r="AG19" s="1647">
        <v>1.3</v>
      </c>
      <c r="AH19" s="1693" t="s">
        <v>278</v>
      </c>
      <c r="AI19" s="1985" t="s">
        <v>644</v>
      </c>
      <c r="AJ19" s="2355">
        <v>0.2</v>
      </c>
      <c r="AK19" s="1618">
        <v>0.2</v>
      </c>
      <c r="AL19" s="1618">
        <v>0.2</v>
      </c>
      <c r="AM19" s="1618">
        <v>0.2</v>
      </c>
      <c r="AN19" s="2355">
        <v>0.2</v>
      </c>
      <c r="AO19" s="1618">
        <v>0.2</v>
      </c>
      <c r="AP19" s="1618">
        <v>0.2</v>
      </c>
      <c r="AQ19" s="2355">
        <v>0.2</v>
      </c>
      <c r="AR19" s="1618"/>
      <c r="AS19" s="1623">
        <v>0.2</v>
      </c>
      <c r="AT19" s="1625"/>
      <c r="AU19" s="1623">
        <v>0.2</v>
      </c>
      <c r="AV19" s="2355">
        <v>0.2</v>
      </c>
      <c r="AW19" s="1618"/>
      <c r="AX19" s="1647">
        <v>1.3</v>
      </c>
      <c r="AY19" s="1693" t="s">
        <v>278</v>
      </c>
      <c r="AZ19" s="1985" t="s">
        <v>644</v>
      </c>
      <c r="BA19" s="1623">
        <v>0.2</v>
      </c>
      <c r="BB19" s="1623">
        <v>0.2</v>
      </c>
      <c r="BC19" s="1623">
        <v>0.2</v>
      </c>
      <c r="BD19" s="1623">
        <v>0.2</v>
      </c>
      <c r="BE19" s="1623">
        <v>0.2</v>
      </c>
      <c r="BF19" s="1623">
        <v>0.2</v>
      </c>
      <c r="BG19" s="1623">
        <v>0</v>
      </c>
      <c r="BH19" s="1624">
        <v>0.2</v>
      </c>
      <c r="BI19" s="1623">
        <v>0.2</v>
      </c>
      <c r="BJ19" s="1623">
        <v>0.2</v>
      </c>
      <c r="BK19" s="1625">
        <v>0.2</v>
      </c>
      <c r="BL19" s="1623">
        <v>0.2</v>
      </c>
      <c r="BM19" s="1623">
        <v>0</v>
      </c>
      <c r="BO19" s="1647">
        <v>1.3</v>
      </c>
      <c r="BP19" s="1693" t="s">
        <v>278</v>
      </c>
      <c r="BQ19" s="1985" t="s">
        <v>644</v>
      </c>
      <c r="BR19" s="1623">
        <v>0.2</v>
      </c>
      <c r="BS19" s="1623">
        <v>0.2</v>
      </c>
      <c r="BT19" s="1623">
        <v>0.2</v>
      </c>
      <c r="BU19" s="1623">
        <v>0.2</v>
      </c>
      <c r="BV19" s="1623">
        <v>0.2</v>
      </c>
      <c r="BW19" s="1623">
        <v>0.2</v>
      </c>
      <c r="BX19" s="1623">
        <v>0</v>
      </c>
      <c r="BY19" s="1624">
        <v>0.2</v>
      </c>
      <c r="BZ19" s="1623">
        <v>0.2</v>
      </c>
      <c r="CA19" s="1623">
        <v>0.2</v>
      </c>
      <c r="CB19" s="1625">
        <v>0.2</v>
      </c>
      <c r="CC19" s="1623">
        <v>0.2</v>
      </c>
      <c r="CD19" s="1623">
        <v>0</v>
      </c>
    </row>
    <row r="20" spans="1:83" s="1605" customFormat="1">
      <c r="A20"/>
      <c r="B20" s="1597">
        <f t="shared" si="0"/>
        <v>2</v>
      </c>
      <c r="C20" s="1628" t="str">
        <f t="shared" si="1"/>
        <v>温熱環境</v>
      </c>
      <c r="D20" s="2062">
        <f>IF(I$9=0,0,G20/I$9)</f>
        <v>0.35</v>
      </c>
      <c r="E20" s="1743">
        <f>IF(J$9=0,0,H20/J$9)</f>
        <v>0</v>
      </c>
      <c r="F20"/>
      <c r="G20" s="1743">
        <f t="shared" si="2"/>
        <v>0.35</v>
      </c>
      <c r="H20" s="1743">
        <f t="shared" si="3"/>
        <v>0</v>
      </c>
      <c r="I20" s="1743">
        <f>G21+G30+G31</f>
        <v>1</v>
      </c>
      <c r="J20" s="1743">
        <f>H21+H30+H31</f>
        <v>0</v>
      </c>
      <c r="K20" s="1743">
        <f>IF(L20&gt;0,1,IF(スコア表示!W20=0,0,1))</f>
        <v>1</v>
      </c>
      <c r="L20" s="1743">
        <f>IF(スコア表示!AA20=0,0,1)</f>
        <v>0</v>
      </c>
      <c r="M20" s="1743">
        <f t="shared" si="4"/>
        <v>0.35</v>
      </c>
      <c r="N20" s="1743">
        <v>1</v>
      </c>
      <c r="O20"/>
      <c r="P20" s="1641">
        <f t="shared" si="6"/>
        <v>2</v>
      </c>
      <c r="Q20" s="1641" t="str">
        <f t="shared" si="7"/>
        <v xml:space="preserve"> Q1</v>
      </c>
      <c r="R20" s="1780" t="str">
        <f t="shared" si="8"/>
        <v>温熱環境</v>
      </c>
      <c r="S20" s="1610">
        <f t="shared" si="21"/>
        <v>0.35</v>
      </c>
      <c r="T20" s="1610">
        <f t="shared" si="9"/>
        <v>0.35</v>
      </c>
      <c r="U20" s="1610">
        <f t="shared" si="10"/>
        <v>0.35</v>
      </c>
      <c r="V20" s="1610">
        <f t="shared" si="11"/>
        <v>0.35</v>
      </c>
      <c r="W20" s="1610">
        <f t="shared" si="12"/>
        <v>0.35</v>
      </c>
      <c r="X20" s="1610">
        <f t="shared" si="13"/>
        <v>0.35</v>
      </c>
      <c r="Y20" s="1610">
        <f t="shared" si="14"/>
        <v>0.35</v>
      </c>
      <c r="Z20" s="1629">
        <f t="shared" si="15"/>
        <v>0.44</v>
      </c>
      <c r="AA20" s="1610">
        <f t="shared" si="16"/>
        <v>0.35</v>
      </c>
      <c r="AB20" s="1610">
        <f t="shared" si="17"/>
        <v>0.35</v>
      </c>
      <c r="AC20" s="1659">
        <f t="shared" si="18"/>
        <v>0</v>
      </c>
      <c r="AD20" s="1610">
        <f t="shared" si="19"/>
        <v>0</v>
      </c>
      <c r="AE20" s="1610">
        <f t="shared" si="20"/>
        <v>0</v>
      </c>
      <c r="AF20"/>
      <c r="AG20" s="1641">
        <v>2</v>
      </c>
      <c r="AH20" s="1744" t="s">
        <v>277</v>
      </c>
      <c r="AI20" s="1787" t="s">
        <v>1069</v>
      </c>
      <c r="AJ20" s="1610">
        <v>0.35</v>
      </c>
      <c r="AK20" s="1610">
        <v>0.35</v>
      </c>
      <c r="AL20" s="1610">
        <v>0.35</v>
      </c>
      <c r="AM20" s="1610">
        <v>0.35</v>
      </c>
      <c r="AN20" s="1610">
        <v>0.35</v>
      </c>
      <c r="AO20" s="1610">
        <v>0.35</v>
      </c>
      <c r="AP20" s="1610">
        <v>0.35</v>
      </c>
      <c r="AQ20" s="1610">
        <v>0.44</v>
      </c>
      <c r="AR20" s="1610">
        <v>0.35</v>
      </c>
      <c r="AS20" s="1711">
        <v>0.35</v>
      </c>
      <c r="AT20" s="2063"/>
      <c r="AU20" s="1711"/>
      <c r="AV20" s="1711"/>
      <c r="AW20"/>
      <c r="AX20" s="1641">
        <v>2</v>
      </c>
      <c r="AY20" s="1744" t="s">
        <v>277</v>
      </c>
      <c r="AZ20" s="1787" t="s">
        <v>1069</v>
      </c>
      <c r="BA20" s="1711">
        <v>0.35</v>
      </c>
      <c r="BB20" s="1711">
        <v>0.35</v>
      </c>
      <c r="BC20" s="1711">
        <v>0.35</v>
      </c>
      <c r="BD20" s="1711">
        <v>0.35</v>
      </c>
      <c r="BE20" s="1711">
        <v>0.35</v>
      </c>
      <c r="BF20" s="1711">
        <v>0.35</v>
      </c>
      <c r="BG20" s="1711">
        <v>0.35</v>
      </c>
      <c r="BH20" s="1635">
        <v>0.44</v>
      </c>
      <c r="BI20" s="1711">
        <v>0.35</v>
      </c>
      <c r="BJ20" s="1711">
        <v>0.35</v>
      </c>
      <c r="BK20" s="2063"/>
      <c r="BL20" s="1711"/>
      <c r="BM20" s="1711"/>
      <c r="BN20"/>
      <c r="BO20" s="1641">
        <v>2</v>
      </c>
      <c r="BP20" s="1744" t="s">
        <v>277</v>
      </c>
      <c r="BQ20" s="1787" t="s">
        <v>1069</v>
      </c>
      <c r="BR20" s="1711">
        <v>0.35</v>
      </c>
      <c r="BS20" s="1711">
        <v>0.35</v>
      </c>
      <c r="BT20" s="1711">
        <v>0.35</v>
      </c>
      <c r="BU20" s="1711">
        <v>0.35</v>
      </c>
      <c r="BV20" s="1711">
        <v>0.35</v>
      </c>
      <c r="BW20" s="1711">
        <v>0.35</v>
      </c>
      <c r="BX20" s="1711">
        <v>0.35</v>
      </c>
      <c r="BY20" s="1635">
        <v>0.44</v>
      </c>
      <c r="BZ20" s="1711">
        <v>0.35</v>
      </c>
      <c r="CA20" s="1711">
        <v>0.35</v>
      </c>
      <c r="CB20" s="2063"/>
      <c r="CC20" s="1711"/>
      <c r="CD20" s="1711"/>
      <c r="CE20"/>
    </row>
    <row r="21" spans="1:83">
      <c r="B21" s="1597">
        <f t="shared" si="0"/>
        <v>2.1</v>
      </c>
      <c r="C21" s="1630" t="str">
        <f t="shared" si="1"/>
        <v>室温制御</v>
      </c>
      <c r="D21" s="1716">
        <f>IF(I$20=0,0,G21/I$20)</f>
        <v>0.5</v>
      </c>
      <c r="E21" s="1691">
        <f>IF(J$20=0,0,H21/J$20)</f>
        <v>0</v>
      </c>
      <c r="G21" s="1691">
        <f t="shared" si="2"/>
        <v>0.5</v>
      </c>
      <c r="H21" s="1691">
        <f t="shared" si="3"/>
        <v>0</v>
      </c>
      <c r="I21" s="1691">
        <f>SUM(G22:G29)</f>
        <v>0.8</v>
      </c>
      <c r="J21" s="1691">
        <f>SUM(H22:H29)</f>
        <v>0</v>
      </c>
      <c r="K21" s="1691">
        <f>IF(スコア表示!W21=0,0,1)</f>
        <v>1</v>
      </c>
      <c r="L21" s="1691">
        <f>IF(スコア表示!AA21=0,0,1)</f>
        <v>0</v>
      </c>
      <c r="M21" s="1691">
        <f t="shared" si="4"/>
        <v>0.5</v>
      </c>
      <c r="N21" s="1691">
        <f t="shared" si="5"/>
        <v>0</v>
      </c>
      <c r="P21" s="1647">
        <f t="shared" si="6"/>
        <v>2.1</v>
      </c>
      <c r="Q21" s="1647" t="str">
        <f t="shared" si="7"/>
        <v xml:space="preserve"> Q1 2</v>
      </c>
      <c r="R21" s="1737" t="str">
        <f t="shared" si="8"/>
        <v>室温制御</v>
      </c>
      <c r="S21" s="1618">
        <f t="shared" si="21"/>
        <v>0.5</v>
      </c>
      <c r="T21" s="1618">
        <f t="shared" si="9"/>
        <v>0.5</v>
      </c>
      <c r="U21" s="1618">
        <f t="shared" si="10"/>
        <v>0.5</v>
      </c>
      <c r="V21" s="1618">
        <f t="shared" si="11"/>
        <v>0.5</v>
      </c>
      <c r="W21" s="1618">
        <f t="shared" si="12"/>
        <v>0.5</v>
      </c>
      <c r="X21" s="1618">
        <f t="shared" si="13"/>
        <v>0.5</v>
      </c>
      <c r="Y21" s="1618">
        <f t="shared" si="14"/>
        <v>0.5</v>
      </c>
      <c r="Z21" s="1631">
        <f t="shared" si="15"/>
        <v>0.5</v>
      </c>
      <c r="AA21" s="1618">
        <f t="shared" si="16"/>
        <v>0.5</v>
      </c>
      <c r="AB21" s="1618">
        <f t="shared" si="17"/>
        <v>0.5</v>
      </c>
      <c r="AC21" s="1619">
        <f t="shared" si="18"/>
        <v>1</v>
      </c>
      <c r="AD21" s="1618">
        <f t="shared" si="19"/>
        <v>1</v>
      </c>
      <c r="AE21" s="1618">
        <f t="shared" si="20"/>
        <v>1</v>
      </c>
      <c r="AG21" s="1647">
        <v>2.1</v>
      </c>
      <c r="AH21" s="1693" t="s">
        <v>283</v>
      </c>
      <c r="AI21" s="1737" t="s">
        <v>648</v>
      </c>
      <c r="AJ21" s="1618">
        <v>0.5</v>
      </c>
      <c r="AK21" s="1618">
        <v>0.5</v>
      </c>
      <c r="AL21" s="1618">
        <v>0.5</v>
      </c>
      <c r="AM21" s="1618">
        <v>0.5</v>
      </c>
      <c r="AN21" s="1618">
        <v>0.5</v>
      </c>
      <c r="AO21" s="1618">
        <v>0.5</v>
      </c>
      <c r="AP21" s="1618">
        <v>0.5</v>
      </c>
      <c r="AQ21" s="1618">
        <v>0.5</v>
      </c>
      <c r="AR21" s="1618">
        <v>0.5</v>
      </c>
      <c r="AS21" s="1623">
        <v>0.5</v>
      </c>
      <c r="AT21" s="1625">
        <v>1</v>
      </c>
      <c r="AU21" s="1623">
        <v>1</v>
      </c>
      <c r="AV21" s="1623">
        <v>1</v>
      </c>
      <c r="AX21" s="1647">
        <v>2.1</v>
      </c>
      <c r="AY21" s="1693" t="s">
        <v>283</v>
      </c>
      <c r="AZ21" s="1737" t="s">
        <v>648</v>
      </c>
      <c r="BA21" s="1623">
        <v>0.5</v>
      </c>
      <c r="BB21" s="1623">
        <v>0.5</v>
      </c>
      <c r="BC21" s="1623">
        <v>0.5</v>
      </c>
      <c r="BD21" s="1623">
        <v>0.5</v>
      </c>
      <c r="BE21" s="1623">
        <v>0.5</v>
      </c>
      <c r="BF21" s="1623">
        <v>0.5</v>
      </c>
      <c r="BG21" s="1623">
        <v>0.5</v>
      </c>
      <c r="BH21" s="1714">
        <v>0.5</v>
      </c>
      <c r="BI21" s="1623">
        <v>0.5</v>
      </c>
      <c r="BJ21" s="1623">
        <v>0.5</v>
      </c>
      <c r="BK21" s="1625">
        <v>0.5</v>
      </c>
      <c r="BL21" s="1623">
        <v>0.5</v>
      </c>
      <c r="BM21" s="1623">
        <v>0.5</v>
      </c>
      <c r="BO21" s="1647">
        <v>2.1</v>
      </c>
      <c r="BP21" s="1693" t="s">
        <v>283</v>
      </c>
      <c r="BQ21" s="1737" t="s">
        <v>648</v>
      </c>
      <c r="BR21" s="1623">
        <v>0.5</v>
      </c>
      <c r="BS21" s="1623">
        <v>0.5</v>
      </c>
      <c r="BT21" s="1623">
        <v>0.5</v>
      </c>
      <c r="BU21" s="1623">
        <v>0.5</v>
      </c>
      <c r="BV21" s="1623">
        <v>0.5</v>
      </c>
      <c r="BW21" s="1623">
        <v>0.5</v>
      </c>
      <c r="BX21" s="1623">
        <v>0.5</v>
      </c>
      <c r="BY21" s="1714">
        <v>0.5</v>
      </c>
      <c r="BZ21" s="1623">
        <v>0.5</v>
      </c>
      <c r="CA21" s="1623">
        <v>0.5</v>
      </c>
      <c r="CB21" s="1625">
        <v>0.5</v>
      </c>
      <c r="CC21" s="1623">
        <v>0.5</v>
      </c>
      <c r="CD21" s="1623">
        <v>0.5</v>
      </c>
    </row>
    <row r="22" spans="1:83">
      <c r="B22" s="1597" t="str">
        <f t="shared" si="0"/>
        <v>2.1.1</v>
      </c>
      <c r="C22" s="1614" t="str">
        <f t="shared" si="1"/>
        <v>室温設定</v>
      </c>
      <c r="D22" s="1721">
        <f t="shared" ref="D22:E29" si="23">IF(I$21&gt;0,G22/I$21,0)</f>
        <v>0.37499999999999994</v>
      </c>
      <c r="E22" s="1691">
        <f t="shared" si="23"/>
        <v>0</v>
      </c>
      <c r="G22" s="1691">
        <f t="shared" si="2"/>
        <v>0.3</v>
      </c>
      <c r="H22" s="1691">
        <f t="shared" si="3"/>
        <v>0</v>
      </c>
      <c r="I22" s="1691"/>
      <c r="J22" s="1691"/>
      <c r="K22" s="1691">
        <f>IF(スコア表示!W22=0,0,1)</f>
        <v>1</v>
      </c>
      <c r="L22" s="1691">
        <f>IF(スコア表示!AA22=0,0,1)</f>
        <v>0</v>
      </c>
      <c r="M22" s="1691">
        <f t="shared" si="4"/>
        <v>0.3</v>
      </c>
      <c r="N22" s="1691">
        <f t="shared" si="5"/>
        <v>0</v>
      </c>
      <c r="P22" s="1647" t="str">
        <f t="shared" si="6"/>
        <v>2.1.1</v>
      </c>
      <c r="Q22" s="1647" t="str">
        <f t="shared" si="7"/>
        <v xml:space="preserve"> Q1 2.1</v>
      </c>
      <c r="R22" s="1737" t="str">
        <f t="shared" si="8"/>
        <v>室温設定</v>
      </c>
      <c r="S22" s="1618">
        <f t="shared" si="21"/>
        <v>0.3</v>
      </c>
      <c r="T22" s="1618">
        <f t="shared" si="9"/>
        <v>0.3</v>
      </c>
      <c r="U22" s="1618">
        <f t="shared" si="10"/>
        <v>0.3</v>
      </c>
      <c r="V22" s="1618">
        <f t="shared" si="11"/>
        <v>0.3</v>
      </c>
      <c r="W22" s="1618">
        <f t="shared" si="12"/>
        <v>0.3</v>
      </c>
      <c r="X22" s="1618">
        <f t="shared" si="13"/>
        <v>0.3</v>
      </c>
      <c r="Y22" s="1618">
        <f t="shared" si="14"/>
        <v>0.5</v>
      </c>
      <c r="Z22" s="1631">
        <f t="shared" si="15"/>
        <v>0.3</v>
      </c>
      <c r="AA22" s="1618">
        <f t="shared" si="16"/>
        <v>0.3</v>
      </c>
      <c r="AB22" s="1618">
        <f t="shared" si="17"/>
        <v>0.3</v>
      </c>
      <c r="AC22" s="1619">
        <f t="shared" si="18"/>
        <v>0</v>
      </c>
      <c r="AD22" s="1618">
        <f t="shared" si="19"/>
        <v>0</v>
      </c>
      <c r="AE22" s="1618">
        <f t="shared" si="20"/>
        <v>0</v>
      </c>
      <c r="AG22" s="1647" t="s">
        <v>1691</v>
      </c>
      <c r="AH22" s="1693" t="s">
        <v>284</v>
      </c>
      <c r="AI22" s="2064" t="s">
        <v>416</v>
      </c>
      <c r="AJ22" s="1618">
        <v>0.3</v>
      </c>
      <c r="AK22" s="1618">
        <v>0.3</v>
      </c>
      <c r="AL22" s="1618">
        <v>0.3</v>
      </c>
      <c r="AM22" s="1618">
        <v>0.3</v>
      </c>
      <c r="AN22" s="1618">
        <v>0.3</v>
      </c>
      <c r="AO22" s="1618">
        <v>0.3</v>
      </c>
      <c r="AP22" s="1618">
        <v>0.5</v>
      </c>
      <c r="AQ22" s="1631">
        <v>0.3</v>
      </c>
      <c r="AR22" s="1618">
        <v>0.3</v>
      </c>
      <c r="AS22" s="1623">
        <v>0.3</v>
      </c>
      <c r="AT22" s="1625"/>
      <c r="AU22" s="1623"/>
      <c r="AV22" s="1623"/>
      <c r="AX22" s="1647" t="s">
        <v>1480</v>
      </c>
      <c r="AY22" s="1693" t="s">
        <v>284</v>
      </c>
      <c r="AZ22" s="2064" t="s">
        <v>1481</v>
      </c>
      <c r="BA22" s="1623">
        <v>0.3</v>
      </c>
      <c r="BB22" s="1623">
        <v>0.3</v>
      </c>
      <c r="BC22" s="1623">
        <v>0.3</v>
      </c>
      <c r="BD22" s="1623">
        <v>0.3</v>
      </c>
      <c r="BE22" s="1623">
        <v>0.3</v>
      </c>
      <c r="BF22" s="1623">
        <v>0.3</v>
      </c>
      <c r="BG22" s="1623">
        <v>0.5</v>
      </c>
      <c r="BH22" s="1714">
        <v>0.3</v>
      </c>
      <c r="BI22" s="1623">
        <v>0.3</v>
      </c>
      <c r="BJ22" s="1623">
        <v>0.3</v>
      </c>
      <c r="BK22" s="1625">
        <v>0.4</v>
      </c>
      <c r="BL22" s="1623">
        <v>0.4</v>
      </c>
      <c r="BM22" s="1623">
        <v>0.5</v>
      </c>
      <c r="BO22" s="1647" t="s">
        <v>1638</v>
      </c>
      <c r="BP22" s="1693" t="s">
        <v>284</v>
      </c>
      <c r="BQ22" s="2064" t="s">
        <v>1639</v>
      </c>
      <c r="BR22" s="1623">
        <v>0.3</v>
      </c>
      <c r="BS22" s="1623">
        <v>0.3</v>
      </c>
      <c r="BT22" s="1623">
        <v>0.3</v>
      </c>
      <c r="BU22" s="1623">
        <v>0.3</v>
      </c>
      <c r="BV22" s="1623">
        <v>0.3</v>
      </c>
      <c r="BW22" s="1623">
        <v>0.3</v>
      </c>
      <c r="BX22" s="1623">
        <v>0.5</v>
      </c>
      <c r="BY22" s="1714">
        <v>0.3</v>
      </c>
      <c r="BZ22" s="1623">
        <v>0.3</v>
      </c>
      <c r="CA22" s="1623">
        <v>0.3</v>
      </c>
      <c r="CB22" s="1625">
        <v>0.4</v>
      </c>
      <c r="CC22" s="1623">
        <v>0.4</v>
      </c>
      <c r="CD22" s="1623">
        <v>0.5</v>
      </c>
    </row>
    <row r="23" spans="1:83" hidden="1">
      <c r="B23" s="1597" t="str">
        <f t="shared" si="0"/>
        <v>2.1.2</v>
      </c>
      <c r="C23" s="1650" t="str">
        <f t="shared" si="1"/>
        <v>負荷変動・追従制御性</v>
      </c>
      <c r="D23" s="1721">
        <f t="shared" si="23"/>
        <v>0</v>
      </c>
      <c r="E23" s="1691">
        <f t="shared" si="23"/>
        <v>0</v>
      </c>
      <c r="G23" s="1691">
        <f t="shared" si="2"/>
        <v>0</v>
      </c>
      <c r="H23" s="1691">
        <f t="shared" si="3"/>
        <v>0</v>
      </c>
      <c r="I23" s="1691"/>
      <c r="J23" s="1691"/>
      <c r="K23" s="1691">
        <f>IF(スコア表示!W23=0,0,1)</f>
        <v>0</v>
      </c>
      <c r="L23" s="1691">
        <f>IF(スコア表示!AA23=0,0,1)</f>
        <v>0</v>
      </c>
      <c r="M23" s="1691">
        <f t="shared" si="4"/>
        <v>0</v>
      </c>
      <c r="N23" s="1691">
        <f t="shared" si="5"/>
        <v>0</v>
      </c>
      <c r="P23" s="1647" t="str">
        <f t="shared" si="6"/>
        <v>2.1.2</v>
      </c>
      <c r="Q23" s="1647" t="str">
        <f t="shared" si="7"/>
        <v xml:space="preserve"> Q1 2.1</v>
      </c>
      <c r="R23" s="1737" t="str">
        <f t="shared" si="8"/>
        <v>負荷変動・追従制御性</v>
      </c>
      <c r="S23" s="1633">
        <f t="shared" si="21"/>
        <v>0</v>
      </c>
      <c r="T23" s="1618">
        <f t="shared" si="9"/>
        <v>0.2</v>
      </c>
      <c r="U23" s="1618">
        <f t="shared" si="10"/>
        <v>0.2</v>
      </c>
      <c r="V23" s="1618">
        <f t="shared" si="11"/>
        <v>0.2</v>
      </c>
      <c r="W23" s="1618">
        <f t="shared" si="12"/>
        <v>0</v>
      </c>
      <c r="X23" s="1618">
        <f t="shared" si="13"/>
        <v>0</v>
      </c>
      <c r="Y23" s="1618">
        <f t="shared" si="14"/>
        <v>0</v>
      </c>
      <c r="Z23" s="1631">
        <f t="shared" si="15"/>
        <v>0.3</v>
      </c>
      <c r="AA23" s="1633">
        <f t="shared" si="16"/>
        <v>0</v>
      </c>
      <c r="AB23" s="1618">
        <f t="shared" si="17"/>
        <v>0.2</v>
      </c>
      <c r="AC23" s="1619">
        <f t="shared" si="18"/>
        <v>0</v>
      </c>
      <c r="AD23" s="1618">
        <f t="shared" si="19"/>
        <v>0</v>
      </c>
      <c r="AE23" s="1618">
        <f t="shared" si="20"/>
        <v>0</v>
      </c>
      <c r="AG23" s="1647" t="s">
        <v>285</v>
      </c>
      <c r="AH23" s="1693" t="s">
        <v>284</v>
      </c>
      <c r="AI23" s="2064" t="s">
        <v>286</v>
      </c>
      <c r="AJ23" s="1654"/>
      <c r="AK23" s="1654">
        <v>0.2</v>
      </c>
      <c r="AL23" s="1654">
        <v>0.2</v>
      </c>
      <c r="AM23" s="1654">
        <v>0.2</v>
      </c>
      <c r="AN23" s="1654"/>
      <c r="AO23" s="1654"/>
      <c r="AP23" s="1654"/>
      <c r="AQ23" s="2071">
        <v>0.3</v>
      </c>
      <c r="AR23" s="1654"/>
      <c r="AS23" s="1623">
        <v>0.2</v>
      </c>
      <c r="AT23" s="1625"/>
      <c r="AU23" s="1623"/>
      <c r="AV23" s="1623"/>
      <c r="AX23" s="1647" t="s">
        <v>285</v>
      </c>
      <c r="AY23" s="1693" t="s">
        <v>284</v>
      </c>
      <c r="AZ23" s="2064" t="s">
        <v>286</v>
      </c>
      <c r="BA23" s="1715"/>
      <c r="BB23" s="1623">
        <v>0.2</v>
      </c>
      <c r="BC23" s="1623">
        <v>0.2</v>
      </c>
      <c r="BD23" s="1623">
        <v>0.2</v>
      </c>
      <c r="BE23" s="1623"/>
      <c r="BF23" s="1623"/>
      <c r="BG23" s="1623"/>
      <c r="BH23" s="1714">
        <v>0.3</v>
      </c>
      <c r="BI23" s="1715"/>
      <c r="BJ23" s="1623">
        <v>0.2</v>
      </c>
      <c r="BK23" s="1625"/>
      <c r="BL23" s="1623"/>
      <c r="BM23" s="1623"/>
      <c r="BO23" s="1647" t="s">
        <v>285</v>
      </c>
      <c r="BP23" s="1693" t="s">
        <v>284</v>
      </c>
      <c r="BQ23" s="2064" t="s">
        <v>286</v>
      </c>
      <c r="BR23" s="1715"/>
      <c r="BS23" s="1623">
        <v>0.2</v>
      </c>
      <c r="BT23" s="1623">
        <v>0.2</v>
      </c>
      <c r="BU23" s="1623">
        <v>0.2</v>
      </c>
      <c r="BV23" s="1623"/>
      <c r="BW23" s="1623"/>
      <c r="BX23" s="1623"/>
      <c r="BY23" s="1714">
        <v>0.3</v>
      </c>
      <c r="BZ23" s="1715"/>
      <c r="CA23" s="1623">
        <v>0.2</v>
      </c>
      <c r="CB23" s="1625"/>
      <c r="CC23" s="1623"/>
      <c r="CD23" s="1623"/>
    </row>
    <row r="24" spans="1:83">
      <c r="B24" s="1597" t="str">
        <f t="shared" si="0"/>
        <v>2.1.3</v>
      </c>
      <c r="C24" s="1614" t="str">
        <f t="shared" si="1"/>
        <v>外皮性能</v>
      </c>
      <c r="D24" s="1721">
        <f t="shared" si="23"/>
        <v>0.25</v>
      </c>
      <c r="E24" s="1691">
        <f t="shared" si="23"/>
        <v>0</v>
      </c>
      <c r="G24" s="1691">
        <f t="shared" si="2"/>
        <v>0.2</v>
      </c>
      <c r="H24" s="1691">
        <f t="shared" si="3"/>
        <v>0</v>
      </c>
      <c r="I24" s="1691"/>
      <c r="J24" s="1691"/>
      <c r="K24" s="1691">
        <f>IF(スコア表示!W24=0,0,1)</f>
        <v>1</v>
      </c>
      <c r="L24" s="1691">
        <f>IF(スコア表示!AA24=0,0,1)</f>
        <v>1</v>
      </c>
      <c r="M24" s="1691">
        <f t="shared" si="4"/>
        <v>0.2</v>
      </c>
      <c r="N24" s="1691">
        <f t="shared" si="5"/>
        <v>0</v>
      </c>
      <c r="P24" s="1647" t="str">
        <f t="shared" si="6"/>
        <v>2.1.3</v>
      </c>
      <c r="Q24" s="1647" t="str">
        <f t="shared" si="7"/>
        <v xml:space="preserve"> Q1 2.1</v>
      </c>
      <c r="R24" s="1737" t="str">
        <f t="shared" si="8"/>
        <v>外皮性能</v>
      </c>
      <c r="S24" s="1618">
        <f t="shared" si="21"/>
        <v>0.2</v>
      </c>
      <c r="T24" s="1618">
        <f t="shared" si="9"/>
        <v>0.2</v>
      </c>
      <c r="U24" s="1618">
        <f t="shared" si="10"/>
        <v>0.1</v>
      </c>
      <c r="V24" s="1618">
        <f t="shared" si="11"/>
        <v>0.1</v>
      </c>
      <c r="W24" s="1618">
        <f t="shared" si="12"/>
        <v>0.2</v>
      </c>
      <c r="X24" s="1618">
        <f t="shared" si="13"/>
        <v>0.2</v>
      </c>
      <c r="Y24" s="1618">
        <f t="shared" si="14"/>
        <v>0.3</v>
      </c>
      <c r="Z24" s="1631">
        <f t="shared" si="15"/>
        <v>0.1</v>
      </c>
      <c r="AA24" s="1618">
        <f t="shared" si="16"/>
        <v>0.2</v>
      </c>
      <c r="AB24" s="1618">
        <f t="shared" si="17"/>
        <v>0.2</v>
      </c>
      <c r="AC24" s="1619">
        <f t="shared" si="18"/>
        <v>0.5</v>
      </c>
      <c r="AD24" s="1618">
        <f t="shared" si="19"/>
        <v>0.5</v>
      </c>
      <c r="AE24" s="1618">
        <f t="shared" si="20"/>
        <v>0.6</v>
      </c>
      <c r="AG24" s="1647" t="s">
        <v>287</v>
      </c>
      <c r="AH24" s="1693" t="s">
        <v>284</v>
      </c>
      <c r="AI24" s="2064" t="s">
        <v>288</v>
      </c>
      <c r="AJ24" s="1618">
        <v>0.2</v>
      </c>
      <c r="AK24" s="1618">
        <v>0.2</v>
      </c>
      <c r="AL24" s="1618">
        <v>0.1</v>
      </c>
      <c r="AM24" s="1618">
        <v>0.1</v>
      </c>
      <c r="AN24" s="1618">
        <v>0.2</v>
      </c>
      <c r="AO24" s="1618">
        <v>0.2</v>
      </c>
      <c r="AP24" s="1618">
        <v>0.3</v>
      </c>
      <c r="AQ24" s="1631">
        <v>0.1</v>
      </c>
      <c r="AR24" s="1618">
        <v>0.2</v>
      </c>
      <c r="AS24" s="1623">
        <v>0.2</v>
      </c>
      <c r="AT24" s="1625">
        <v>0.5</v>
      </c>
      <c r="AU24" s="1623">
        <v>0.5</v>
      </c>
      <c r="AV24" s="1623">
        <v>0.6</v>
      </c>
      <c r="AX24" s="1647" t="s">
        <v>287</v>
      </c>
      <c r="AY24" s="1693" t="s">
        <v>284</v>
      </c>
      <c r="AZ24" s="2064" t="s">
        <v>288</v>
      </c>
      <c r="BA24" s="1623">
        <v>0.2</v>
      </c>
      <c r="BB24" s="1623">
        <v>0.2</v>
      </c>
      <c r="BC24" s="1623">
        <v>0.1</v>
      </c>
      <c r="BD24" s="1623">
        <v>0.1</v>
      </c>
      <c r="BE24" s="1623">
        <v>0.2</v>
      </c>
      <c r="BF24" s="1623">
        <v>0.2</v>
      </c>
      <c r="BG24" s="1623">
        <v>0.3</v>
      </c>
      <c r="BH24" s="1714">
        <v>0.1</v>
      </c>
      <c r="BI24" s="1623">
        <v>0.2</v>
      </c>
      <c r="BJ24" s="1623">
        <v>0.2</v>
      </c>
      <c r="BK24" s="1625">
        <v>0.3</v>
      </c>
      <c r="BL24" s="1623">
        <v>0.3</v>
      </c>
      <c r="BM24" s="1623">
        <v>0.3</v>
      </c>
      <c r="BO24" s="1647" t="s">
        <v>287</v>
      </c>
      <c r="BP24" s="1693" t="s">
        <v>284</v>
      </c>
      <c r="BQ24" s="2064" t="s">
        <v>288</v>
      </c>
      <c r="BR24" s="1623">
        <v>0.2</v>
      </c>
      <c r="BS24" s="1623">
        <v>0.2</v>
      </c>
      <c r="BT24" s="1623">
        <v>0.1</v>
      </c>
      <c r="BU24" s="1623">
        <v>0.1</v>
      </c>
      <c r="BV24" s="1623">
        <v>0.2</v>
      </c>
      <c r="BW24" s="1623">
        <v>0.2</v>
      </c>
      <c r="BX24" s="1623">
        <v>0.3</v>
      </c>
      <c r="BY24" s="1714">
        <v>0.1</v>
      </c>
      <c r="BZ24" s="1623">
        <v>0.2</v>
      </c>
      <c r="CA24" s="1623">
        <v>0.2</v>
      </c>
      <c r="CB24" s="1625">
        <v>0.3</v>
      </c>
      <c r="CC24" s="1623">
        <v>0.3</v>
      </c>
      <c r="CD24" s="1623">
        <v>0.3</v>
      </c>
    </row>
    <row r="25" spans="1:83">
      <c r="B25" s="1597" t="str">
        <f t="shared" si="0"/>
        <v>2.1.4</v>
      </c>
      <c r="C25" s="1614" t="str">
        <f t="shared" si="1"/>
        <v>ゾーン別制御性</v>
      </c>
      <c r="D25" s="1721">
        <f t="shared" si="23"/>
        <v>0.37499999999999994</v>
      </c>
      <c r="E25" s="1691">
        <f t="shared" si="23"/>
        <v>0</v>
      </c>
      <c r="G25" s="1691">
        <f t="shared" si="2"/>
        <v>0.3</v>
      </c>
      <c r="H25" s="1691">
        <f t="shared" si="3"/>
        <v>0</v>
      </c>
      <c r="I25" s="1691"/>
      <c r="J25" s="1691"/>
      <c r="K25" s="1691">
        <f>IF(スコア表示!W25=0,0,1)</f>
        <v>1</v>
      </c>
      <c r="L25" s="1691">
        <f>IF(スコア表示!AA25=0,0,1)</f>
        <v>0</v>
      </c>
      <c r="M25" s="1691">
        <f t="shared" si="4"/>
        <v>0.3</v>
      </c>
      <c r="N25" s="1691">
        <f t="shared" si="5"/>
        <v>0</v>
      </c>
      <c r="P25" s="1647" t="str">
        <f t="shared" si="6"/>
        <v>2.1.4</v>
      </c>
      <c r="Q25" s="1647" t="str">
        <f t="shared" si="7"/>
        <v xml:space="preserve"> Q1 2.1</v>
      </c>
      <c r="R25" s="1737" t="str">
        <f t="shared" si="8"/>
        <v>ゾーン別制御性</v>
      </c>
      <c r="S25" s="1618">
        <f t="shared" si="21"/>
        <v>0.3</v>
      </c>
      <c r="T25" s="1618">
        <f t="shared" si="9"/>
        <v>0</v>
      </c>
      <c r="U25" s="1618">
        <f t="shared" si="10"/>
        <v>0.2</v>
      </c>
      <c r="V25" s="1618">
        <f t="shared" si="11"/>
        <v>0.2</v>
      </c>
      <c r="W25" s="1618">
        <f t="shared" si="12"/>
        <v>0.3</v>
      </c>
      <c r="X25" s="1618">
        <f t="shared" si="13"/>
        <v>0.3</v>
      </c>
      <c r="Y25" s="1618">
        <f t="shared" si="14"/>
        <v>0</v>
      </c>
      <c r="Z25" s="1631">
        <f t="shared" si="15"/>
        <v>0.2</v>
      </c>
      <c r="AA25" s="1618">
        <f t="shared" si="16"/>
        <v>0.3</v>
      </c>
      <c r="AB25" s="1618">
        <f t="shared" si="17"/>
        <v>0</v>
      </c>
      <c r="AC25" s="1619">
        <f t="shared" si="18"/>
        <v>0</v>
      </c>
      <c r="AD25" s="1618">
        <f t="shared" si="19"/>
        <v>0</v>
      </c>
      <c r="AE25" s="1618">
        <f t="shared" si="20"/>
        <v>0</v>
      </c>
      <c r="AG25" s="1647" t="s">
        <v>289</v>
      </c>
      <c r="AH25" s="1693" t="s">
        <v>284</v>
      </c>
      <c r="AI25" s="2064" t="s">
        <v>290</v>
      </c>
      <c r="AJ25" s="1618">
        <v>0.3</v>
      </c>
      <c r="AK25" s="1618"/>
      <c r="AL25" s="1618">
        <v>0.2</v>
      </c>
      <c r="AM25" s="1618">
        <v>0.2</v>
      </c>
      <c r="AN25" s="1618">
        <v>0.3</v>
      </c>
      <c r="AO25" s="1618">
        <v>0.3</v>
      </c>
      <c r="AP25" s="1618"/>
      <c r="AQ25" s="1631">
        <v>0.2</v>
      </c>
      <c r="AR25" s="1618">
        <v>0.3</v>
      </c>
      <c r="AS25" s="1623">
        <v>0</v>
      </c>
      <c r="AT25" s="1625"/>
      <c r="AU25" s="1623"/>
      <c r="AV25" s="1623"/>
      <c r="AX25" s="1647" t="s">
        <v>289</v>
      </c>
      <c r="AY25" s="1693" t="s">
        <v>284</v>
      </c>
      <c r="AZ25" s="2064" t="s">
        <v>290</v>
      </c>
      <c r="BA25" s="1623">
        <v>0.3</v>
      </c>
      <c r="BB25" s="1623"/>
      <c r="BC25" s="1623">
        <v>0.2</v>
      </c>
      <c r="BD25" s="1623">
        <v>0.2</v>
      </c>
      <c r="BE25" s="1623">
        <v>0.3</v>
      </c>
      <c r="BF25" s="1623">
        <v>0.3</v>
      </c>
      <c r="BG25" s="1623"/>
      <c r="BH25" s="1714">
        <v>0.2</v>
      </c>
      <c r="BI25" s="1623">
        <v>0.3</v>
      </c>
      <c r="BJ25" s="1623"/>
      <c r="BK25" s="1625"/>
      <c r="BL25" s="1623"/>
      <c r="BM25" s="1623"/>
      <c r="BO25" s="1647" t="s">
        <v>289</v>
      </c>
      <c r="BP25" s="1693" t="s">
        <v>284</v>
      </c>
      <c r="BQ25" s="2064" t="s">
        <v>290</v>
      </c>
      <c r="BR25" s="1623">
        <v>0.3</v>
      </c>
      <c r="BS25" s="1623"/>
      <c r="BT25" s="1623">
        <v>0.2</v>
      </c>
      <c r="BU25" s="1623">
        <v>0.2</v>
      </c>
      <c r="BV25" s="1623">
        <v>0.3</v>
      </c>
      <c r="BW25" s="1623">
        <v>0.3</v>
      </c>
      <c r="BX25" s="1623"/>
      <c r="BY25" s="1714">
        <v>0.2</v>
      </c>
      <c r="BZ25" s="1623">
        <v>0.3</v>
      </c>
      <c r="CA25" s="1623"/>
      <c r="CB25" s="1625"/>
      <c r="CC25" s="1623"/>
      <c r="CD25" s="1623"/>
    </row>
    <row r="26" spans="1:83" hidden="1">
      <c r="B26" s="1597" t="str">
        <f t="shared" si="0"/>
        <v>2.1.5</v>
      </c>
      <c r="C26" s="1650" t="str">
        <f t="shared" si="1"/>
        <v>温度・湿度制御</v>
      </c>
      <c r="D26" s="1721">
        <f t="shared" si="23"/>
        <v>0</v>
      </c>
      <c r="E26" s="1691">
        <f t="shared" si="23"/>
        <v>0</v>
      </c>
      <c r="G26" s="1691">
        <f t="shared" si="2"/>
        <v>0</v>
      </c>
      <c r="H26" s="1691">
        <f t="shared" si="3"/>
        <v>0</v>
      </c>
      <c r="I26" s="1691"/>
      <c r="J26" s="1691"/>
      <c r="K26" s="1691">
        <f>IF(スコア表示!W26=0,0,1)</f>
        <v>0</v>
      </c>
      <c r="L26" s="1691">
        <f>IF(スコア表示!AA26=0,0,1)</f>
        <v>0</v>
      </c>
      <c r="M26" s="1691">
        <f t="shared" si="4"/>
        <v>0.1</v>
      </c>
      <c r="N26" s="1691">
        <f t="shared" si="5"/>
        <v>0</v>
      </c>
      <c r="P26" s="1647" t="str">
        <f t="shared" si="6"/>
        <v>2.1.5</v>
      </c>
      <c r="Q26" s="1647" t="str">
        <f t="shared" si="7"/>
        <v xml:space="preserve"> Q1 2.1</v>
      </c>
      <c r="R26" s="1737" t="str">
        <f t="shared" si="8"/>
        <v>温度・湿度制御</v>
      </c>
      <c r="S26" s="1618">
        <f t="shared" si="21"/>
        <v>0.1</v>
      </c>
      <c r="T26" s="1618">
        <f t="shared" si="9"/>
        <v>0.1</v>
      </c>
      <c r="U26" s="1618">
        <f t="shared" si="10"/>
        <v>0.1</v>
      </c>
      <c r="V26" s="1618">
        <f t="shared" si="11"/>
        <v>0.1</v>
      </c>
      <c r="W26" s="1618">
        <f t="shared" si="12"/>
        <v>0.1</v>
      </c>
      <c r="X26" s="1618">
        <f t="shared" si="13"/>
        <v>0.1</v>
      </c>
      <c r="Y26" s="1618">
        <f t="shared" si="14"/>
        <v>0.2</v>
      </c>
      <c r="Z26" s="1631">
        <f t="shared" si="15"/>
        <v>0.1</v>
      </c>
      <c r="AA26" s="1618">
        <f t="shared" si="16"/>
        <v>0.1</v>
      </c>
      <c r="AB26" s="1618">
        <f t="shared" si="17"/>
        <v>0.1</v>
      </c>
      <c r="AC26" s="1619">
        <f t="shared" si="18"/>
        <v>0.3</v>
      </c>
      <c r="AD26" s="1618">
        <f t="shared" si="19"/>
        <v>0.3</v>
      </c>
      <c r="AE26" s="1618">
        <f t="shared" si="20"/>
        <v>0</v>
      </c>
      <c r="AG26" s="1647" t="s">
        <v>291</v>
      </c>
      <c r="AH26" s="1693" t="s">
        <v>284</v>
      </c>
      <c r="AI26" s="2064" t="s">
        <v>292</v>
      </c>
      <c r="AJ26" s="1654">
        <v>0.1</v>
      </c>
      <c r="AK26" s="1654">
        <v>0.1</v>
      </c>
      <c r="AL26" s="1654">
        <v>0.1</v>
      </c>
      <c r="AM26" s="1654">
        <v>0.1</v>
      </c>
      <c r="AN26" s="1654">
        <v>0.1</v>
      </c>
      <c r="AO26" s="1654">
        <v>0.1</v>
      </c>
      <c r="AP26" s="1654">
        <v>0.2</v>
      </c>
      <c r="AQ26" s="2071">
        <v>0.1</v>
      </c>
      <c r="AR26" s="1654">
        <v>0.1</v>
      </c>
      <c r="AS26" s="1623">
        <v>0.1</v>
      </c>
      <c r="AT26" s="1625">
        <v>0.3</v>
      </c>
      <c r="AU26" s="1623">
        <v>0.3</v>
      </c>
      <c r="AV26" s="1623"/>
      <c r="AX26" s="1647" t="s">
        <v>291</v>
      </c>
      <c r="AY26" s="1693" t="s">
        <v>284</v>
      </c>
      <c r="AZ26" s="2064" t="s">
        <v>292</v>
      </c>
      <c r="BA26" s="1623">
        <v>0.1</v>
      </c>
      <c r="BB26" s="1623">
        <v>0.1</v>
      </c>
      <c r="BC26" s="1623">
        <v>0.1</v>
      </c>
      <c r="BD26" s="1623">
        <v>0.1</v>
      </c>
      <c r="BE26" s="1623">
        <v>0.1</v>
      </c>
      <c r="BF26" s="1623">
        <v>0.1</v>
      </c>
      <c r="BG26" s="1623">
        <v>0.2</v>
      </c>
      <c r="BH26" s="1714">
        <v>0.1</v>
      </c>
      <c r="BI26" s="1623">
        <v>0.1</v>
      </c>
      <c r="BJ26" s="1623">
        <v>0.1</v>
      </c>
      <c r="BK26" s="1625">
        <v>0.2</v>
      </c>
      <c r="BL26" s="1623">
        <v>0.2</v>
      </c>
      <c r="BM26" s="1623"/>
      <c r="BO26" s="1647" t="s">
        <v>291</v>
      </c>
      <c r="BP26" s="1693" t="s">
        <v>284</v>
      </c>
      <c r="BQ26" s="2064" t="s">
        <v>292</v>
      </c>
      <c r="BR26" s="1623">
        <v>0.1</v>
      </c>
      <c r="BS26" s="1623">
        <v>0.1</v>
      </c>
      <c r="BT26" s="1623">
        <v>0.1</v>
      </c>
      <c r="BU26" s="1623">
        <v>0.1</v>
      </c>
      <c r="BV26" s="1623">
        <v>0.1</v>
      </c>
      <c r="BW26" s="1623">
        <v>0.1</v>
      </c>
      <c r="BX26" s="1623">
        <v>0.2</v>
      </c>
      <c r="BY26" s="1714">
        <v>0.1</v>
      </c>
      <c r="BZ26" s="1623">
        <v>0.1</v>
      </c>
      <c r="CA26" s="1623">
        <v>0.1</v>
      </c>
      <c r="CB26" s="1625">
        <v>0.2</v>
      </c>
      <c r="CC26" s="1623">
        <v>0.2</v>
      </c>
      <c r="CD26" s="1623"/>
    </row>
    <row r="27" spans="1:83" hidden="1">
      <c r="B27" s="1597" t="str">
        <f t="shared" si="0"/>
        <v>2.1.6</v>
      </c>
      <c r="C27" s="1650" t="str">
        <f t="shared" si="1"/>
        <v>個別制御</v>
      </c>
      <c r="D27" s="1721">
        <f t="shared" si="23"/>
        <v>0</v>
      </c>
      <c r="E27" s="1691">
        <f t="shared" si="23"/>
        <v>0</v>
      </c>
      <c r="G27" s="1691">
        <f t="shared" si="2"/>
        <v>0</v>
      </c>
      <c r="H27" s="1691">
        <f t="shared" si="3"/>
        <v>0</v>
      </c>
      <c r="I27" s="1691"/>
      <c r="J27" s="1691"/>
      <c r="K27" s="1691">
        <f>IF(スコア表示!W27=0,0,1)</f>
        <v>0</v>
      </c>
      <c r="L27" s="1691">
        <f>IF(スコア表示!AA27=0,0,1)</f>
        <v>0</v>
      </c>
      <c r="M27" s="1691">
        <f t="shared" si="4"/>
        <v>0</v>
      </c>
      <c r="N27" s="1691">
        <f t="shared" si="5"/>
        <v>0</v>
      </c>
      <c r="P27" s="1647" t="str">
        <f t="shared" si="6"/>
        <v>2.1.6</v>
      </c>
      <c r="Q27" s="1647" t="str">
        <f t="shared" si="7"/>
        <v xml:space="preserve"> Q1 2.1</v>
      </c>
      <c r="R27" s="1737" t="str">
        <f t="shared" si="8"/>
        <v>個別制御</v>
      </c>
      <c r="S27" s="1618">
        <f t="shared" si="21"/>
        <v>0</v>
      </c>
      <c r="T27" s="1618">
        <f t="shared" si="9"/>
        <v>0</v>
      </c>
      <c r="U27" s="1618">
        <f t="shared" si="10"/>
        <v>0</v>
      </c>
      <c r="V27" s="1618">
        <f t="shared" si="11"/>
        <v>0</v>
      </c>
      <c r="W27" s="1618">
        <f t="shared" si="12"/>
        <v>0</v>
      </c>
      <c r="X27" s="1618">
        <f t="shared" si="13"/>
        <v>0</v>
      </c>
      <c r="Y27" s="1618">
        <f t="shared" si="14"/>
        <v>0</v>
      </c>
      <c r="Z27" s="1631">
        <f t="shared" si="15"/>
        <v>0</v>
      </c>
      <c r="AA27" s="1618">
        <f t="shared" si="16"/>
        <v>0</v>
      </c>
      <c r="AB27" s="1618">
        <f t="shared" si="17"/>
        <v>0</v>
      </c>
      <c r="AC27" s="1619">
        <f t="shared" si="18"/>
        <v>0.2</v>
      </c>
      <c r="AD27" s="1618">
        <f t="shared" si="19"/>
        <v>0.2</v>
      </c>
      <c r="AE27" s="1618">
        <f t="shared" si="20"/>
        <v>0.4</v>
      </c>
      <c r="AG27" s="1647" t="s">
        <v>293</v>
      </c>
      <c r="AH27" s="1693" t="s">
        <v>284</v>
      </c>
      <c r="AI27" s="2064" t="s">
        <v>294</v>
      </c>
      <c r="AJ27" s="1654"/>
      <c r="AK27" s="1654"/>
      <c r="AL27" s="1654"/>
      <c r="AM27" s="1654"/>
      <c r="AN27" s="1654"/>
      <c r="AO27" s="1654"/>
      <c r="AP27" s="1654"/>
      <c r="AQ27" s="2071"/>
      <c r="AR27" s="1654"/>
      <c r="AS27" s="1623">
        <v>0</v>
      </c>
      <c r="AT27" s="1625">
        <v>0.2</v>
      </c>
      <c r="AU27" s="1623">
        <v>0.2</v>
      </c>
      <c r="AV27" s="1623">
        <v>0.4</v>
      </c>
      <c r="AX27" s="1647" t="s">
        <v>293</v>
      </c>
      <c r="AY27" s="1693" t="s">
        <v>284</v>
      </c>
      <c r="AZ27" s="2064" t="s">
        <v>294</v>
      </c>
      <c r="BA27" s="1623"/>
      <c r="BB27" s="1623"/>
      <c r="BC27" s="1623"/>
      <c r="BD27" s="1623"/>
      <c r="BE27" s="1623"/>
      <c r="BF27" s="1623"/>
      <c r="BG27" s="1623"/>
      <c r="BH27" s="1714"/>
      <c r="BI27" s="1623"/>
      <c r="BJ27" s="1623"/>
      <c r="BK27" s="1625">
        <v>0.1</v>
      </c>
      <c r="BL27" s="1623">
        <v>0.1</v>
      </c>
      <c r="BM27" s="1623">
        <v>0.2</v>
      </c>
      <c r="BO27" s="1647" t="s">
        <v>293</v>
      </c>
      <c r="BP27" s="1693" t="s">
        <v>284</v>
      </c>
      <c r="BQ27" s="2064" t="s">
        <v>294</v>
      </c>
      <c r="BR27" s="1623"/>
      <c r="BS27" s="1623"/>
      <c r="BT27" s="1623"/>
      <c r="BU27" s="1623"/>
      <c r="BV27" s="1623"/>
      <c r="BW27" s="1623"/>
      <c r="BX27" s="1623"/>
      <c r="BY27" s="1714"/>
      <c r="BZ27" s="1623"/>
      <c r="CA27" s="1623"/>
      <c r="CB27" s="1625">
        <v>0.1</v>
      </c>
      <c r="CC27" s="1623">
        <v>0.1</v>
      </c>
      <c r="CD27" s="1623">
        <v>0.2</v>
      </c>
    </row>
    <row r="28" spans="1:83" hidden="1">
      <c r="B28" s="1597" t="str">
        <f t="shared" si="0"/>
        <v>2.1.7</v>
      </c>
      <c r="C28" s="1650" t="str">
        <f t="shared" si="1"/>
        <v>時間外空調に対する配慮</v>
      </c>
      <c r="D28" s="1721">
        <f t="shared" si="23"/>
        <v>0</v>
      </c>
      <c r="E28" s="1691">
        <f t="shared" si="23"/>
        <v>0</v>
      </c>
      <c r="G28" s="1691">
        <f t="shared" si="2"/>
        <v>0</v>
      </c>
      <c r="H28" s="1691">
        <f t="shared" si="3"/>
        <v>0</v>
      </c>
      <c r="I28" s="1691"/>
      <c r="J28" s="1691"/>
      <c r="K28" s="1691">
        <f>IF(スコア表示!W28=0,0,1)</f>
        <v>0</v>
      </c>
      <c r="L28" s="1691">
        <f>IF(スコア表示!AA28=0,0,1)</f>
        <v>0</v>
      </c>
      <c r="M28" s="1691">
        <f t="shared" si="4"/>
        <v>0.1</v>
      </c>
      <c r="N28" s="1691">
        <f t="shared" si="5"/>
        <v>0</v>
      </c>
      <c r="P28" s="1647" t="str">
        <f t="shared" si="6"/>
        <v>2.1.7</v>
      </c>
      <c r="Q28" s="1647" t="str">
        <f t="shared" si="7"/>
        <v xml:space="preserve"> Q1 2.1</v>
      </c>
      <c r="R28" s="1737" t="str">
        <f t="shared" si="8"/>
        <v>時間外空調に対する配慮</v>
      </c>
      <c r="S28" s="1618">
        <f t="shared" si="21"/>
        <v>0.1</v>
      </c>
      <c r="T28" s="1618">
        <f t="shared" si="9"/>
        <v>0.2</v>
      </c>
      <c r="U28" s="1618">
        <f t="shared" si="10"/>
        <v>0</v>
      </c>
      <c r="V28" s="1618">
        <f t="shared" si="11"/>
        <v>0</v>
      </c>
      <c r="W28" s="1618">
        <f t="shared" si="12"/>
        <v>0.1</v>
      </c>
      <c r="X28" s="1618">
        <f t="shared" si="13"/>
        <v>0.1</v>
      </c>
      <c r="Y28" s="1618">
        <f t="shared" si="14"/>
        <v>0</v>
      </c>
      <c r="Z28" s="1631">
        <f t="shared" si="15"/>
        <v>0</v>
      </c>
      <c r="AA28" s="1618">
        <f t="shared" si="16"/>
        <v>0.1</v>
      </c>
      <c r="AB28" s="1618">
        <f t="shared" si="17"/>
        <v>0.2</v>
      </c>
      <c r="AC28" s="1619">
        <f t="shared" si="18"/>
        <v>0</v>
      </c>
      <c r="AD28" s="1618">
        <f t="shared" si="19"/>
        <v>0</v>
      </c>
      <c r="AE28" s="1618">
        <f t="shared" si="20"/>
        <v>0</v>
      </c>
      <c r="AG28" s="1647" t="s">
        <v>295</v>
      </c>
      <c r="AH28" s="1693" t="s">
        <v>284</v>
      </c>
      <c r="AI28" s="2064" t="s">
        <v>943</v>
      </c>
      <c r="AJ28" s="1654">
        <v>0.1</v>
      </c>
      <c r="AK28" s="1654">
        <v>0.2</v>
      </c>
      <c r="AL28" s="1654"/>
      <c r="AM28" s="1654"/>
      <c r="AN28" s="1654">
        <v>0.1</v>
      </c>
      <c r="AO28" s="1654">
        <v>0.1</v>
      </c>
      <c r="AP28" s="1654"/>
      <c r="AQ28" s="2071"/>
      <c r="AR28" s="1654">
        <v>0.1</v>
      </c>
      <c r="AS28" s="1623">
        <v>0.2</v>
      </c>
      <c r="AT28" s="1625"/>
      <c r="AU28" s="1623"/>
      <c r="AV28" s="1623"/>
      <c r="AX28" s="1647" t="s">
        <v>295</v>
      </c>
      <c r="AY28" s="1693" t="s">
        <v>284</v>
      </c>
      <c r="AZ28" s="2064" t="s">
        <v>943</v>
      </c>
      <c r="BA28" s="1623">
        <v>0.1</v>
      </c>
      <c r="BB28" s="1623">
        <v>0.2</v>
      </c>
      <c r="BC28" s="1623"/>
      <c r="BD28" s="1623"/>
      <c r="BE28" s="1623">
        <v>0.1</v>
      </c>
      <c r="BF28" s="1623">
        <v>0.1</v>
      </c>
      <c r="BG28" s="1623"/>
      <c r="BH28" s="1714"/>
      <c r="BI28" s="1623">
        <v>0.1</v>
      </c>
      <c r="BJ28" s="1623">
        <v>0.2</v>
      </c>
      <c r="BK28" s="1625"/>
      <c r="BL28" s="1623"/>
      <c r="BM28" s="1623"/>
      <c r="BO28" s="1647" t="s">
        <v>295</v>
      </c>
      <c r="BP28" s="1693" t="s">
        <v>284</v>
      </c>
      <c r="BQ28" s="2064" t="s">
        <v>943</v>
      </c>
      <c r="BR28" s="1623">
        <v>0.1</v>
      </c>
      <c r="BS28" s="1623">
        <v>0.2</v>
      </c>
      <c r="BT28" s="1623"/>
      <c r="BU28" s="1623"/>
      <c r="BV28" s="1623">
        <v>0.1</v>
      </c>
      <c r="BW28" s="1623">
        <v>0.1</v>
      </c>
      <c r="BX28" s="1623"/>
      <c r="BY28" s="1714"/>
      <c r="BZ28" s="1623">
        <v>0.1</v>
      </c>
      <c r="CA28" s="1623">
        <v>0.2</v>
      </c>
      <c r="CB28" s="1625"/>
      <c r="CC28" s="1623"/>
      <c r="CD28" s="1623"/>
    </row>
    <row r="29" spans="1:83" hidden="1">
      <c r="B29" s="1597" t="str">
        <f t="shared" si="0"/>
        <v>2.1.8</v>
      </c>
      <c r="C29" s="1650" t="str">
        <f t="shared" si="1"/>
        <v>監視システム</v>
      </c>
      <c r="D29" s="1721">
        <f t="shared" si="23"/>
        <v>0</v>
      </c>
      <c r="E29" s="1691">
        <f t="shared" si="23"/>
        <v>0</v>
      </c>
      <c r="G29" s="1691">
        <f t="shared" si="2"/>
        <v>0</v>
      </c>
      <c r="H29" s="1691">
        <f t="shared" si="3"/>
        <v>0</v>
      </c>
      <c r="I29" s="1691"/>
      <c r="J29" s="1691"/>
      <c r="K29" s="1691">
        <f>IF(スコア表示!W29=0,0,1)</f>
        <v>0</v>
      </c>
      <c r="L29" s="1691">
        <f>IF(スコア表示!AA29=0,0,1)</f>
        <v>0</v>
      </c>
      <c r="M29" s="1691">
        <f t="shared" si="4"/>
        <v>0</v>
      </c>
      <c r="N29" s="1691">
        <f t="shared" si="5"/>
        <v>0</v>
      </c>
      <c r="P29" s="1647" t="str">
        <f t="shared" si="6"/>
        <v>2.1.8</v>
      </c>
      <c r="Q29" s="1647" t="str">
        <f t="shared" si="7"/>
        <v xml:space="preserve"> Q1 2.1</v>
      </c>
      <c r="R29" s="1737" t="str">
        <f t="shared" si="8"/>
        <v>監視システム</v>
      </c>
      <c r="S29" s="1618">
        <f t="shared" si="21"/>
        <v>0</v>
      </c>
      <c r="T29" s="1618">
        <f t="shared" si="9"/>
        <v>0</v>
      </c>
      <c r="U29" s="1618">
        <f t="shared" si="10"/>
        <v>0.1</v>
      </c>
      <c r="V29" s="1618">
        <f t="shared" si="11"/>
        <v>0.1</v>
      </c>
      <c r="W29" s="1618">
        <f t="shared" si="12"/>
        <v>0</v>
      </c>
      <c r="X29" s="1618">
        <f t="shared" si="13"/>
        <v>0</v>
      </c>
      <c r="Y29" s="1618">
        <f t="shared" si="14"/>
        <v>0</v>
      </c>
      <c r="Z29" s="1631">
        <f t="shared" si="15"/>
        <v>0</v>
      </c>
      <c r="AA29" s="1618">
        <f t="shared" si="16"/>
        <v>0</v>
      </c>
      <c r="AB29" s="1618">
        <f t="shared" si="17"/>
        <v>0</v>
      </c>
      <c r="AC29" s="1619">
        <f t="shared" si="18"/>
        <v>0</v>
      </c>
      <c r="AD29" s="1618">
        <f t="shared" si="19"/>
        <v>0</v>
      </c>
      <c r="AE29" s="1618">
        <f t="shared" si="20"/>
        <v>0</v>
      </c>
      <c r="AG29" s="1647" t="s">
        <v>296</v>
      </c>
      <c r="AH29" s="1693" t="s">
        <v>284</v>
      </c>
      <c r="AI29" s="2064" t="s">
        <v>297</v>
      </c>
      <c r="AJ29" s="1654"/>
      <c r="AK29" s="1654"/>
      <c r="AL29" s="1654">
        <v>0.1</v>
      </c>
      <c r="AM29" s="1654">
        <v>0.1</v>
      </c>
      <c r="AN29" s="1654"/>
      <c r="AO29" s="1654"/>
      <c r="AP29" s="1654"/>
      <c r="AQ29" s="2071"/>
      <c r="AR29" s="1654"/>
      <c r="AS29" s="1623">
        <v>0</v>
      </c>
      <c r="AT29" s="1625"/>
      <c r="AU29" s="1623"/>
      <c r="AV29" s="1623"/>
      <c r="AX29" s="1647" t="s">
        <v>296</v>
      </c>
      <c r="AY29" s="1693" t="s">
        <v>284</v>
      </c>
      <c r="AZ29" s="2064" t="s">
        <v>297</v>
      </c>
      <c r="BA29" s="1623"/>
      <c r="BB29" s="1623"/>
      <c r="BC29" s="1623">
        <v>0.1</v>
      </c>
      <c r="BD29" s="1623">
        <v>0.1</v>
      </c>
      <c r="BE29" s="1623"/>
      <c r="BF29" s="1623"/>
      <c r="BG29" s="1623"/>
      <c r="BH29" s="1714"/>
      <c r="BI29" s="1623"/>
      <c r="BJ29" s="1623"/>
      <c r="BK29" s="1625"/>
      <c r="BL29" s="1623"/>
      <c r="BM29" s="1623"/>
      <c r="BO29" s="1647" t="s">
        <v>296</v>
      </c>
      <c r="BP29" s="1693" t="s">
        <v>284</v>
      </c>
      <c r="BQ29" s="2064" t="s">
        <v>297</v>
      </c>
      <c r="BR29" s="1623"/>
      <c r="BS29" s="1623"/>
      <c r="BT29" s="1623">
        <v>0.1</v>
      </c>
      <c r="BU29" s="1623">
        <v>0.1</v>
      </c>
      <c r="BV29" s="1623"/>
      <c r="BW29" s="1623"/>
      <c r="BX29" s="1623"/>
      <c r="BY29" s="1714"/>
      <c r="BZ29" s="1623"/>
      <c r="CA29" s="1623"/>
      <c r="CB29" s="1625"/>
      <c r="CC29" s="1623"/>
      <c r="CD29" s="1623"/>
    </row>
    <row r="30" spans="1:83">
      <c r="B30" s="1597">
        <f t="shared" si="0"/>
        <v>2.2000000000000002</v>
      </c>
      <c r="C30" s="1630" t="str">
        <f t="shared" si="1"/>
        <v>湿度制御</v>
      </c>
      <c r="D30" s="1716">
        <f>IF(I$20=0,0,G30/I$20)</f>
        <v>0.2</v>
      </c>
      <c r="E30" s="1691">
        <f>IF(J$20=0,0,H30/J$20)</f>
        <v>0</v>
      </c>
      <c r="G30" s="1691">
        <f t="shared" si="2"/>
        <v>0.2</v>
      </c>
      <c r="H30" s="1691">
        <f t="shared" si="3"/>
        <v>0</v>
      </c>
      <c r="I30" s="1691"/>
      <c r="J30" s="1691"/>
      <c r="K30" s="1691">
        <f>IF(スコア表示!W30=0,0,1)</f>
        <v>1</v>
      </c>
      <c r="L30" s="1691">
        <f>IF(スコア表示!AA30=0,0,1)</f>
        <v>0</v>
      </c>
      <c r="M30" s="1691">
        <f t="shared" si="4"/>
        <v>0.2</v>
      </c>
      <c r="N30" s="1691">
        <f t="shared" si="5"/>
        <v>0</v>
      </c>
      <c r="P30" s="1647">
        <f t="shared" si="6"/>
        <v>2.2000000000000002</v>
      </c>
      <c r="Q30" s="1647" t="str">
        <f t="shared" si="7"/>
        <v xml:space="preserve"> Q1 2</v>
      </c>
      <c r="R30" s="1737" t="str">
        <f t="shared" si="8"/>
        <v>湿度制御</v>
      </c>
      <c r="S30" s="1618">
        <f t="shared" si="21"/>
        <v>0.2</v>
      </c>
      <c r="T30" s="1618">
        <f t="shared" si="9"/>
        <v>0.2</v>
      </c>
      <c r="U30" s="1618">
        <f t="shared" si="10"/>
        <v>0.2</v>
      </c>
      <c r="V30" s="1618">
        <f t="shared" si="11"/>
        <v>0.2</v>
      </c>
      <c r="W30" s="1618">
        <f t="shared" si="12"/>
        <v>0.2</v>
      </c>
      <c r="X30" s="1618">
        <f t="shared" si="13"/>
        <v>0.2</v>
      </c>
      <c r="Y30" s="1618">
        <f t="shared" si="14"/>
        <v>0.2</v>
      </c>
      <c r="Z30" s="1631">
        <f t="shared" si="15"/>
        <v>0.2</v>
      </c>
      <c r="AA30" s="1618">
        <f t="shared" si="16"/>
        <v>0.2</v>
      </c>
      <c r="AB30" s="1618">
        <f t="shared" si="17"/>
        <v>0.2</v>
      </c>
      <c r="AC30" s="1619">
        <f t="shared" si="18"/>
        <v>0</v>
      </c>
      <c r="AD30" s="1618">
        <f t="shared" si="19"/>
        <v>0</v>
      </c>
      <c r="AE30" s="1618">
        <f t="shared" si="20"/>
        <v>0</v>
      </c>
      <c r="AG30" s="1647">
        <v>2.2000000000000002</v>
      </c>
      <c r="AH30" s="1693" t="s">
        <v>283</v>
      </c>
      <c r="AI30" s="1737" t="s">
        <v>977</v>
      </c>
      <c r="AJ30" s="1618">
        <v>0.2</v>
      </c>
      <c r="AK30" s="1618">
        <v>0.2</v>
      </c>
      <c r="AL30" s="1618">
        <v>0.2</v>
      </c>
      <c r="AM30" s="1618">
        <v>0.2</v>
      </c>
      <c r="AN30" s="1618">
        <v>0.2</v>
      </c>
      <c r="AO30" s="1618">
        <v>0.2</v>
      </c>
      <c r="AP30" s="1618">
        <v>0.2</v>
      </c>
      <c r="AQ30" s="1631">
        <v>0.2</v>
      </c>
      <c r="AR30" s="1618">
        <v>0.2</v>
      </c>
      <c r="AS30" s="1623">
        <v>0.2</v>
      </c>
      <c r="AT30" s="1625"/>
      <c r="AU30" s="1623"/>
      <c r="AV30" s="1623"/>
      <c r="AX30" s="1647">
        <v>2.2000000000000002</v>
      </c>
      <c r="AY30" s="1693" t="s">
        <v>283</v>
      </c>
      <c r="AZ30" s="1737" t="s">
        <v>977</v>
      </c>
      <c r="BA30" s="1623">
        <v>0.2</v>
      </c>
      <c r="BB30" s="1623">
        <v>0.2</v>
      </c>
      <c r="BC30" s="1623">
        <v>0.2</v>
      </c>
      <c r="BD30" s="1623">
        <v>0.2</v>
      </c>
      <c r="BE30" s="1623">
        <v>0.2</v>
      </c>
      <c r="BF30" s="1623">
        <v>0.2</v>
      </c>
      <c r="BG30" s="1623">
        <v>0.2</v>
      </c>
      <c r="BH30" s="1714">
        <v>0.2</v>
      </c>
      <c r="BI30" s="1623">
        <v>0.2</v>
      </c>
      <c r="BJ30" s="1623">
        <v>0.2</v>
      </c>
      <c r="BK30" s="1625">
        <v>0.2</v>
      </c>
      <c r="BL30" s="1623">
        <v>0.2</v>
      </c>
      <c r="BM30" s="1623">
        <v>0.2</v>
      </c>
      <c r="BO30" s="1647">
        <v>2.2000000000000002</v>
      </c>
      <c r="BP30" s="1693" t="s">
        <v>283</v>
      </c>
      <c r="BQ30" s="1737" t="s">
        <v>977</v>
      </c>
      <c r="BR30" s="1623">
        <v>0.2</v>
      </c>
      <c r="BS30" s="1623">
        <v>0.2</v>
      </c>
      <c r="BT30" s="1623">
        <v>0.2</v>
      </c>
      <c r="BU30" s="1623">
        <v>0.2</v>
      </c>
      <c r="BV30" s="1623">
        <v>0.2</v>
      </c>
      <c r="BW30" s="1623">
        <v>0.2</v>
      </c>
      <c r="BX30" s="1623">
        <v>0.2</v>
      </c>
      <c r="BY30" s="1714">
        <v>0.2</v>
      </c>
      <c r="BZ30" s="1623">
        <v>0.2</v>
      </c>
      <c r="CA30" s="1623">
        <v>0.2</v>
      </c>
      <c r="CB30" s="1625">
        <v>0.2</v>
      </c>
      <c r="CC30" s="1623">
        <v>0.2</v>
      </c>
      <c r="CD30" s="1623">
        <v>0.2</v>
      </c>
    </row>
    <row r="31" spans="1:83">
      <c r="B31" s="1597">
        <f t="shared" si="0"/>
        <v>2.2999999999999998</v>
      </c>
      <c r="C31" s="1630" t="str">
        <f t="shared" si="1"/>
        <v>空調方式</v>
      </c>
      <c r="D31" s="1716">
        <f>IF(I$20=0,0,G31/I$20)</f>
        <v>0.3</v>
      </c>
      <c r="E31" s="1691">
        <f>IF(J$20=0,0,H31/J$20)</f>
        <v>0</v>
      </c>
      <c r="G31" s="1691">
        <f t="shared" si="2"/>
        <v>0.3</v>
      </c>
      <c r="H31" s="1691">
        <f t="shared" si="3"/>
        <v>0</v>
      </c>
      <c r="I31" s="1691">
        <f>SUM(G32:G33)</f>
        <v>1</v>
      </c>
      <c r="J31" s="1691">
        <f>SUM(H32:H33)</f>
        <v>0</v>
      </c>
      <c r="K31" s="1691">
        <f>IF(スコア表示!W31=0,0,1)</f>
        <v>1</v>
      </c>
      <c r="L31" s="1691">
        <f>IF(スコア表示!AA31=0,0,1)</f>
        <v>0</v>
      </c>
      <c r="M31" s="1691">
        <f t="shared" si="4"/>
        <v>0.3</v>
      </c>
      <c r="N31" s="1691">
        <f t="shared" si="5"/>
        <v>0</v>
      </c>
      <c r="P31" s="1647">
        <f t="shared" si="6"/>
        <v>2.2999999999999998</v>
      </c>
      <c r="Q31" s="1647" t="str">
        <f t="shared" si="7"/>
        <v xml:space="preserve"> Q1 2</v>
      </c>
      <c r="R31" s="1737" t="str">
        <f t="shared" si="8"/>
        <v>空調方式</v>
      </c>
      <c r="S31" s="1618">
        <f t="shared" si="21"/>
        <v>0.3</v>
      </c>
      <c r="T31" s="1618">
        <f t="shared" si="9"/>
        <v>0.3</v>
      </c>
      <c r="U31" s="1618">
        <f t="shared" si="10"/>
        <v>0.3</v>
      </c>
      <c r="V31" s="1618">
        <f t="shared" si="11"/>
        <v>0.3</v>
      </c>
      <c r="W31" s="1618">
        <f t="shared" si="12"/>
        <v>0.3</v>
      </c>
      <c r="X31" s="1618">
        <f t="shared" si="13"/>
        <v>0.3</v>
      </c>
      <c r="Y31" s="1618">
        <f t="shared" si="14"/>
        <v>0.3</v>
      </c>
      <c r="Z31" s="1631">
        <f t="shared" si="15"/>
        <v>0.3</v>
      </c>
      <c r="AA31" s="1618">
        <f t="shared" si="16"/>
        <v>0.3</v>
      </c>
      <c r="AB31" s="1618">
        <f t="shared" si="17"/>
        <v>0.3</v>
      </c>
      <c r="AC31" s="1619">
        <f t="shared" si="18"/>
        <v>0</v>
      </c>
      <c r="AD31" s="1618">
        <f t="shared" si="19"/>
        <v>0</v>
      </c>
      <c r="AE31" s="1618">
        <f t="shared" si="20"/>
        <v>0</v>
      </c>
      <c r="AG31" s="1647">
        <v>2.2999999999999998</v>
      </c>
      <c r="AH31" s="1693" t="s">
        <v>283</v>
      </c>
      <c r="AI31" s="1737" t="s">
        <v>657</v>
      </c>
      <c r="AJ31" s="1618">
        <v>0.3</v>
      </c>
      <c r="AK31" s="1618">
        <v>0.3</v>
      </c>
      <c r="AL31" s="1618">
        <v>0.3</v>
      </c>
      <c r="AM31" s="1618">
        <v>0.3</v>
      </c>
      <c r="AN31" s="1618">
        <v>0.3</v>
      </c>
      <c r="AO31" s="1618">
        <v>0.3</v>
      </c>
      <c r="AP31" s="1618">
        <v>0.3</v>
      </c>
      <c r="AQ31" s="1631">
        <v>0.3</v>
      </c>
      <c r="AR31" s="1618">
        <v>0.3</v>
      </c>
      <c r="AS31" s="2356">
        <v>0.3</v>
      </c>
      <c r="AT31" s="1625"/>
      <c r="AU31" s="1623"/>
      <c r="AV31" s="1623"/>
      <c r="AX31" s="1647">
        <v>2.2999999999999998</v>
      </c>
      <c r="AY31" s="1693" t="s">
        <v>283</v>
      </c>
      <c r="AZ31" s="1737" t="s">
        <v>657</v>
      </c>
      <c r="BA31" s="1623">
        <v>0.3</v>
      </c>
      <c r="BB31" s="1623">
        <v>0.3</v>
      </c>
      <c r="BC31" s="1623">
        <v>0.3</v>
      </c>
      <c r="BD31" s="1623">
        <v>0.3</v>
      </c>
      <c r="BE31" s="1623">
        <v>0.3</v>
      </c>
      <c r="BF31" s="1623">
        <v>0.3</v>
      </c>
      <c r="BG31" s="1623">
        <v>0.3</v>
      </c>
      <c r="BH31" s="1714">
        <v>0.3</v>
      </c>
      <c r="BI31" s="1623">
        <v>0.3</v>
      </c>
      <c r="BJ31" s="1623">
        <v>0.3</v>
      </c>
      <c r="BK31" s="1625">
        <v>0.3</v>
      </c>
      <c r="BL31" s="1623">
        <v>0.3</v>
      </c>
      <c r="BM31" s="1623">
        <v>0.3</v>
      </c>
      <c r="BO31" s="1647">
        <v>2.2999999999999998</v>
      </c>
      <c r="BP31" s="1693" t="s">
        <v>283</v>
      </c>
      <c r="BQ31" s="1737" t="s">
        <v>657</v>
      </c>
      <c r="BR31" s="1623">
        <v>0.3</v>
      </c>
      <c r="BS31" s="1623">
        <v>0.3</v>
      </c>
      <c r="BT31" s="1623">
        <v>0.3</v>
      </c>
      <c r="BU31" s="1623">
        <v>0.3</v>
      </c>
      <c r="BV31" s="1623">
        <v>0.3</v>
      </c>
      <c r="BW31" s="1623">
        <v>0.3</v>
      </c>
      <c r="BX31" s="1623">
        <v>0.3</v>
      </c>
      <c r="BY31" s="1714">
        <v>0.3</v>
      </c>
      <c r="BZ31" s="1623">
        <v>0.3</v>
      </c>
      <c r="CA31" s="1623">
        <v>0.3</v>
      </c>
      <c r="CB31" s="1625">
        <v>0.3</v>
      </c>
      <c r="CC31" s="1623">
        <v>0.3</v>
      </c>
      <c r="CD31" s="1623">
        <v>0.3</v>
      </c>
    </row>
    <row r="32" spans="1:83">
      <c r="B32" s="1597" t="str">
        <f t="shared" si="0"/>
        <v>2.3.1</v>
      </c>
      <c r="C32" s="1660" t="str">
        <f t="shared" si="1"/>
        <v>上下温度差</v>
      </c>
      <c r="D32" s="1721">
        <f>IF(I$31&gt;0,G32/I$31,0)</f>
        <v>0.5</v>
      </c>
      <c r="E32" s="1691">
        <f>IF(J$31&gt;0,H32/J$31,0)</f>
        <v>0</v>
      </c>
      <c r="G32" s="1691">
        <f t="shared" si="2"/>
        <v>0.5</v>
      </c>
      <c r="H32" s="1691">
        <f t="shared" si="3"/>
        <v>0</v>
      </c>
      <c r="I32" s="1691"/>
      <c r="J32" s="1691"/>
      <c r="K32" s="1691">
        <f>IF(スコア表示!W32=0,0,1)</f>
        <v>1</v>
      </c>
      <c r="L32" s="1691">
        <f>IF(スコア表示!AA32=0,0,1)</f>
        <v>0</v>
      </c>
      <c r="M32" s="1691">
        <f t="shared" si="4"/>
        <v>0.5</v>
      </c>
      <c r="N32" s="1691">
        <f t="shared" si="5"/>
        <v>0</v>
      </c>
      <c r="P32" s="1647" t="str">
        <f t="shared" si="6"/>
        <v>2.3.1</v>
      </c>
      <c r="Q32" s="1647" t="str">
        <f t="shared" si="7"/>
        <v xml:space="preserve"> Q1 2.3</v>
      </c>
      <c r="R32" s="1737" t="str">
        <f t="shared" si="8"/>
        <v>上下温度差</v>
      </c>
      <c r="S32" s="1618">
        <f t="shared" si="21"/>
        <v>0.5</v>
      </c>
      <c r="T32" s="1618">
        <f t="shared" si="9"/>
        <v>0.5</v>
      </c>
      <c r="U32" s="1618">
        <f t="shared" si="10"/>
        <v>0.5</v>
      </c>
      <c r="V32" s="1618">
        <f t="shared" si="11"/>
        <v>0.5</v>
      </c>
      <c r="W32" s="1618">
        <f t="shared" si="12"/>
        <v>0.5</v>
      </c>
      <c r="X32" s="1618">
        <f t="shared" si="13"/>
        <v>0.5</v>
      </c>
      <c r="Y32" s="1618">
        <f t="shared" si="14"/>
        <v>0.5</v>
      </c>
      <c r="Z32" s="1631">
        <f t="shared" si="15"/>
        <v>0.5</v>
      </c>
      <c r="AA32" s="1618">
        <f t="shared" si="16"/>
        <v>0.5</v>
      </c>
      <c r="AB32" s="1618">
        <f t="shared" si="17"/>
        <v>0.5</v>
      </c>
      <c r="AC32" s="1619">
        <f t="shared" si="18"/>
        <v>0</v>
      </c>
      <c r="AD32" s="1618">
        <f t="shared" si="19"/>
        <v>0</v>
      </c>
      <c r="AE32" s="1618">
        <f t="shared" si="20"/>
        <v>0</v>
      </c>
      <c r="AG32" s="1647" t="s">
        <v>1692</v>
      </c>
      <c r="AH32" s="1693" t="s">
        <v>298</v>
      </c>
      <c r="AI32" s="1737" t="s">
        <v>659</v>
      </c>
      <c r="AJ32" s="1618">
        <v>0.5</v>
      </c>
      <c r="AK32" s="1618">
        <v>0.5</v>
      </c>
      <c r="AL32" s="1618">
        <v>0.5</v>
      </c>
      <c r="AM32" s="1618">
        <v>0.5</v>
      </c>
      <c r="AN32" s="1618">
        <v>0.5</v>
      </c>
      <c r="AO32" s="1618">
        <v>0.5</v>
      </c>
      <c r="AP32" s="1618">
        <v>0.5</v>
      </c>
      <c r="AQ32" s="1631">
        <v>0.5</v>
      </c>
      <c r="AR32" s="1618">
        <v>0.5</v>
      </c>
      <c r="AS32" s="2356">
        <v>0.5</v>
      </c>
      <c r="AT32" s="1625"/>
      <c r="AU32" s="1625"/>
      <c r="AV32" s="1625"/>
      <c r="AX32" s="2067" t="s">
        <v>1483</v>
      </c>
      <c r="AY32" s="2069" t="s">
        <v>298</v>
      </c>
      <c r="AZ32" s="2070" t="s">
        <v>659</v>
      </c>
      <c r="BA32" s="2074"/>
      <c r="BB32" s="2074"/>
      <c r="BC32" s="2074"/>
      <c r="BD32" s="2074"/>
      <c r="BE32" s="2074"/>
      <c r="BF32" s="2074"/>
      <c r="BG32" s="2074"/>
      <c r="BH32" s="2075"/>
      <c r="BI32" s="2074"/>
      <c r="BJ32" s="2074"/>
      <c r="BK32" s="2076"/>
      <c r="BL32" s="2074"/>
      <c r="BM32" s="2074"/>
      <c r="BO32" s="2067" t="s">
        <v>1640</v>
      </c>
      <c r="BP32" s="2069" t="s">
        <v>298</v>
      </c>
      <c r="BQ32" s="2070" t="s">
        <v>659</v>
      </c>
      <c r="BR32" s="2074"/>
      <c r="BS32" s="2074"/>
      <c r="BT32" s="2074"/>
      <c r="BU32" s="2074"/>
      <c r="BV32" s="2074"/>
      <c r="BW32" s="2074"/>
      <c r="BX32" s="2074"/>
      <c r="BY32" s="2075"/>
      <c r="BZ32" s="2074"/>
      <c r="CA32" s="2074"/>
      <c r="CB32" s="2076"/>
      <c r="CC32" s="2074"/>
      <c r="CD32" s="2074"/>
    </row>
    <row r="33" spans="1:83">
      <c r="B33" s="1597" t="str">
        <f t="shared" si="0"/>
        <v>2.3.2</v>
      </c>
      <c r="C33" s="1660" t="str">
        <f t="shared" si="1"/>
        <v>平均気流速度</v>
      </c>
      <c r="D33" s="1721">
        <f>IF(I$31&gt;0,G33/I$31,0)</f>
        <v>0.5</v>
      </c>
      <c r="E33" s="1691">
        <f>IF(J$31&gt;0,H33/J$31,0)</f>
        <v>0</v>
      </c>
      <c r="G33" s="1691">
        <f t="shared" si="2"/>
        <v>0.5</v>
      </c>
      <c r="H33" s="1691">
        <f t="shared" si="3"/>
        <v>0</v>
      </c>
      <c r="I33" s="1691"/>
      <c r="J33" s="1691"/>
      <c r="K33" s="1691">
        <f>IF(スコア表示!W33=0,0,1)</f>
        <v>1</v>
      </c>
      <c r="L33" s="1691">
        <f>IF(スコア表示!AA33=0,0,1)</f>
        <v>0</v>
      </c>
      <c r="M33" s="1691">
        <f t="shared" si="4"/>
        <v>0.5</v>
      </c>
      <c r="N33" s="1691">
        <f t="shared" si="5"/>
        <v>0</v>
      </c>
      <c r="P33" s="1647" t="str">
        <f t="shared" si="6"/>
        <v>2.3.2</v>
      </c>
      <c r="Q33" s="1647" t="str">
        <f t="shared" si="7"/>
        <v xml:space="preserve"> Q1 2.3</v>
      </c>
      <c r="R33" s="1737" t="str">
        <f t="shared" si="8"/>
        <v>平均気流速度</v>
      </c>
      <c r="S33" s="1618">
        <f t="shared" si="21"/>
        <v>0.5</v>
      </c>
      <c r="T33" s="1618">
        <f t="shared" si="9"/>
        <v>0.5</v>
      </c>
      <c r="U33" s="1618">
        <f t="shared" si="10"/>
        <v>0.5</v>
      </c>
      <c r="V33" s="1618">
        <f t="shared" si="11"/>
        <v>0.5</v>
      </c>
      <c r="W33" s="1618">
        <f t="shared" si="12"/>
        <v>0.5</v>
      </c>
      <c r="X33" s="1618">
        <f t="shared" si="13"/>
        <v>0.5</v>
      </c>
      <c r="Y33" s="1618">
        <f t="shared" si="14"/>
        <v>0.5</v>
      </c>
      <c r="Z33" s="1631">
        <f t="shared" si="15"/>
        <v>0.5</v>
      </c>
      <c r="AA33" s="1618">
        <f t="shared" si="16"/>
        <v>0.5</v>
      </c>
      <c r="AB33" s="1618">
        <f t="shared" si="17"/>
        <v>0.5</v>
      </c>
      <c r="AC33" s="1619">
        <f t="shared" si="18"/>
        <v>0</v>
      </c>
      <c r="AD33" s="1618">
        <f t="shared" si="19"/>
        <v>0</v>
      </c>
      <c r="AE33" s="1618">
        <f t="shared" si="20"/>
        <v>0</v>
      </c>
      <c r="AG33" s="1647" t="s">
        <v>1693</v>
      </c>
      <c r="AH33" s="1693" t="s">
        <v>298</v>
      </c>
      <c r="AI33" s="1737" t="s">
        <v>662</v>
      </c>
      <c r="AJ33" s="1618">
        <v>0.5</v>
      </c>
      <c r="AK33" s="1618">
        <v>0.5</v>
      </c>
      <c r="AL33" s="1618">
        <v>0.5</v>
      </c>
      <c r="AM33" s="1618">
        <v>0.5</v>
      </c>
      <c r="AN33" s="1618">
        <v>0.5</v>
      </c>
      <c r="AO33" s="1618">
        <v>0.5</v>
      </c>
      <c r="AP33" s="1618">
        <v>0.5</v>
      </c>
      <c r="AQ33" s="1618">
        <v>0.5</v>
      </c>
      <c r="AR33" s="1618">
        <v>0.5</v>
      </c>
      <c r="AS33" s="2356">
        <v>0.5</v>
      </c>
      <c r="AT33" s="1625"/>
      <c r="AU33" s="1625"/>
      <c r="AV33" s="1625"/>
      <c r="AX33" s="2067" t="s">
        <v>1485</v>
      </c>
      <c r="AY33" s="2069" t="s">
        <v>298</v>
      </c>
      <c r="AZ33" s="2070" t="s">
        <v>662</v>
      </c>
      <c r="BA33" s="2074"/>
      <c r="BB33" s="2074"/>
      <c r="BC33" s="2074"/>
      <c r="BD33" s="2074"/>
      <c r="BE33" s="2074"/>
      <c r="BF33" s="2074"/>
      <c r="BG33" s="2074"/>
      <c r="BH33" s="2075"/>
      <c r="BI33" s="2074"/>
      <c r="BJ33" s="2074"/>
      <c r="BK33" s="2076"/>
      <c r="BL33" s="2074"/>
      <c r="BM33" s="2074"/>
      <c r="BO33" s="2067" t="s">
        <v>1641</v>
      </c>
      <c r="BP33" s="2069" t="s">
        <v>298</v>
      </c>
      <c r="BQ33" s="2070" t="s">
        <v>662</v>
      </c>
      <c r="BR33" s="2074"/>
      <c r="BS33" s="2074"/>
      <c r="BT33" s="2074"/>
      <c r="BU33" s="2074"/>
      <c r="BV33" s="2074"/>
      <c r="BW33" s="2074"/>
      <c r="BX33" s="2074"/>
      <c r="BY33" s="2075"/>
      <c r="BZ33" s="2074"/>
      <c r="CA33" s="2074"/>
      <c r="CB33" s="2076"/>
      <c r="CC33" s="2074"/>
      <c r="CD33" s="2074"/>
    </row>
    <row r="34" spans="1:83" s="1605" customFormat="1">
      <c r="A34"/>
      <c r="B34" s="1597">
        <f t="shared" si="0"/>
        <v>3</v>
      </c>
      <c r="C34" s="1607" t="str">
        <f t="shared" si="1"/>
        <v>光・視環境</v>
      </c>
      <c r="D34" s="2062">
        <f>IF(I$9=0,0,G34/I$9)</f>
        <v>0.25</v>
      </c>
      <c r="E34" s="1743">
        <f>IF(J$9=0,0,H34/J$9)</f>
        <v>0</v>
      </c>
      <c r="F34"/>
      <c r="G34" s="1743">
        <f t="shared" si="2"/>
        <v>0.25</v>
      </c>
      <c r="H34" s="1743">
        <f t="shared" si="3"/>
        <v>0</v>
      </c>
      <c r="I34" s="1743">
        <f>G35+G39+G43+G46</f>
        <v>1</v>
      </c>
      <c r="J34" s="1743">
        <f>H35+H39+H43+H46</f>
        <v>0</v>
      </c>
      <c r="K34" s="1743">
        <f>IF(L34&gt;0,1,IF(スコア表示!W34=0,0,1))</f>
        <v>1</v>
      </c>
      <c r="L34" s="1743">
        <f>IF(スコア表示!AA34=0,0,1)</f>
        <v>0</v>
      </c>
      <c r="M34" s="1743">
        <f t="shared" si="4"/>
        <v>0.25</v>
      </c>
      <c r="N34" s="1743">
        <v>1</v>
      </c>
      <c r="O34"/>
      <c r="P34" s="1641">
        <f t="shared" si="6"/>
        <v>3</v>
      </c>
      <c r="Q34" s="1641" t="str">
        <f t="shared" si="7"/>
        <v xml:space="preserve"> Q1</v>
      </c>
      <c r="R34" s="1780" t="str">
        <f t="shared" si="8"/>
        <v>光・視環境</v>
      </c>
      <c r="S34" s="1610">
        <f t="shared" si="21"/>
        <v>0.25</v>
      </c>
      <c r="T34" s="1610">
        <f t="shared" si="9"/>
        <v>0.25</v>
      </c>
      <c r="U34" s="1610">
        <f t="shared" si="10"/>
        <v>0.25</v>
      </c>
      <c r="V34" s="1610">
        <f t="shared" si="11"/>
        <v>0.25</v>
      </c>
      <c r="W34" s="1610">
        <f t="shared" si="12"/>
        <v>0.25</v>
      </c>
      <c r="X34" s="1610">
        <f t="shared" si="13"/>
        <v>0.25</v>
      </c>
      <c r="Y34" s="1610">
        <f t="shared" si="14"/>
        <v>0.25</v>
      </c>
      <c r="Z34" s="1629">
        <f t="shared" si="15"/>
        <v>0</v>
      </c>
      <c r="AA34" s="1610">
        <f t="shared" si="16"/>
        <v>0.25</v>
      </c>
      <c r="AB34" s="1610">
        <f t="shared" si="17"/>
        <v>0.25</v>
      </c>
      <c r="AC34" s="1659">
        <f t="shared" si="18"/>
        <v>0</v>
      </c>
      <c r="AD34" s="1610">
        <f t="shared" si="19"/>
        <v>0</v>
      </c>
      <c r="AE34" s="1610">
        <f t="shared" si="20"/>
        <v>0</v>
      </c>
      <c r="AF34"/>
      <c r="AG34" s="1641">
        <v>3</v>
      </c>
      <c r="AH34" s="1744" t="s">
        <v>277</v>
      </c>
      <c r="AI34" s="1780" t="s">
        <v>1190</v>
      </c>
      <c r="AJ34" s="1610">
        <v>0.25</v>
      </c>
      <c r="AK34" s="1610">
        <v>0.25</v>
      </c>
      <c r="AL34" s="1610">
        <v>0.25</v>
      </c>
      <c r="AM34" s="1610">
        <v>0.25</v>
      </c>
      <c r="AN34" s="1610">
        <v>0.25</v>
      </c>
      <c r="AO34" s="1610">
        <v>0.25</v>
      </c>
      <c r="AP34" s="1610">
        <v>0.25</v>
      </c>
      <c r="AQ34" s="1629">
        <v>0</v>
      </c>
      <c r="AR34" s="1610">
        <v>0.25</v>
      </c>
      <c r="AS34" s="1711">
        <v>0.25</v>
      </c>
      <c r="AT34" s="2063"/>
      <c r="AU34" s="1711"/>
      <c r="AV34" s="1711"/>
      <c r="AW34"/>
      <c r="AX34" s="1641">
        <v>3</v>
      </c>
      <c r="AY34" s="1744" t="s">
        <v>277</v>
      </c>
      <c r="AZ34" s="1780" t="s">
        <v>1190</v>
      </c>
      <c r="BA34" s="1711">
        <v>0.25</v>
      </c>
      <c r="BB34" s="1711">
        <v>0.25</v>
      </c>
      <c r="BC34" s="1711">
        <v>0.25</v>
      </c>
      <c r="BD34" s="1711">
        <v>0.25</v>
      </c>
      <c r="BE34" s="1711">
        <v>0.25</v>
      </c>
      <c r="BF34" s="1711">
        <v>0.25</v>
      </c>
      <c r="BG34" s="1711">
        <v>0.25</v>
      </c>
      <c r="BH34" s="1635">
        <v>0</v>
      </c>
      <c r="BI34" s="1711">
        <v>0.25</v>
      </c>
      <c r="BJ34" s="1711">
        <v>0.25</v>
      </c>
      <c r="BK34" s="2063"/>
      <c r="BL34" s="1711"/>
      <c r="BM34" s="1711"/>
      <c r="BN34"/>
      <c r="BO34" s="1641">
        <v>3</v>
      </c>
      <c r="BP34" s="1744" t="s">
        <v>277</v>
      </c>
      <c r="BQ34" s="1780" t="s">
        <v>1190</v>
      </c>
      <c r="BR34" s="1711">
        <v>0.25</v>
      </c>
      <c r="BS34" s="1711">
        <v>0.25</v>
      </c>
      <c r="BT34" s="1711">
        <v>0.25</v>
      </c>
      <c r="BU34" s="1711">
        <v>0.25</v>
      </c>
      <c r="BV34" s="1711">
        <v>0.25</v>
      </c>
      <c r="BW34" s="1711">
        <v>0.25</v>
      </c>
      <c r="BX34" s="1711">
        <v>0.25</v>
      </c>
      <c r="BY34" s="1635">
        <v>0</v>
      </c>
      <c r="BZ34" s="1711">
        <v>0.25</v>
      </c>
      <c r="CA34" s="1711">
        <v>0.25</v>
      </c>
      <c r="CB34" s="2063"/>
      <c r="CC34" s="1711"/>
      <c r="CD34" s="1711"/>
      <c r="CE34"/>
    </row>
    <row r="35" spans="1:83">
      <c r="B35" s="1597">
        <f t="shared" si="0"/>
        <v>3.1</v>
      </c>
      <c r="C35" s="1630" t="str">
        <f t="shared" si="1"/>
        <v>昼光利用</v>
      </c>
      <c r="D35" s="1716">
        <f>IF(I$34=0,0,G35/I$34)</f>
        <v>0.3</v>
      </c>
      <c r="E35" s="1691">
        <f>IF(J$34=0,0,H35/J$34)</f>
        <v>0</v>
      </c>
      <c r="G35" s="1691">
        <f t="shared" si="2"/>
        <v>0.3</v>
      </c>
      <c r="H35" s="1691">
        <f t="shared" si="3"/>
        <v>0</v>
      </c>
      <c r="I35" s="1691">
        <f>SUM(G36:G38)</f>
        <v>1</v>
      </c>
      <c r="J35" s="1691">
        <f>SUM(H36:H38)</f>
        <v>0</v>
      </c>
      <c r="K35" s="1691">
        <f>IF(スコア表示!W35=0,0,1)</f>
        <v>1</v>
      </c>
      <c r="L35" s="1691">
        <f>IF(スコア表示!AA35=0,0,1)</f>
        <v>0</v>
      </c>
      <c r="M35" s="1691">
        <f t="shared" si="4"/>
        <v>0.3</v>
      </c>
      <c r="N35" s="1691">
        <f t="shared" si="5"/>
        <v>0</v>
      </c>
      <c r="P35" s="1647">
        <f t="shared" si="6"/>
        <v>3.1</v>
      </c>
      <c r="Q35" s="1647" t="str">
        <f t="shared" si="7"/>
        <v xml:space="preserve"> Q1 3</v>
      </c>
      <c r="R35" s="1737" t="str">
        <f t="shared" si="8"/>
        <v>昼光利用</v>
      </c>
      <c r="S35" s="1618">
        <f t="shared" si="21"/>
        <v>0.3</v>
      </c>
      <c r="T35" s="1618">
        <f t="shared" si="9"/>
        <v>0.3</v>
      </c>
      <c r="U35" s="1618">
        <f t="shared" si="10"/>
        <v>0.5</v>
      </c>
      <c r="V35" s="1618">
        <f t="shared" si="11"/>
        <v>1</v>
      </c>
      <c r="W35" s="1618">
        <f t="shared" si="12"/>
        <v>0.3</v>
      </c>
      <c r="X35" s="1618">
        <f t="shared" si="13"/>
        <v>0.3</v>
      </c>
      <c r="Y35" s="1618">
        <f t="shared" si="14"/>
        <v>0.3</v>
      </c>
      <c r="Z35" s="1631">
        <f t="shared" si="15"/>
        <v>0</v>
      </c>
      <c r="AA35" s="1618">
        <f t="shared" si="16"/>
        <v>0.3</v>
      </c>
      <c r="AB35" s="1618">
        <f t="shared" si="17"/>
        <v>0.3</v>
      </c>
      <c r="AC35" s="1619">
        <f t="shared" si="18"/>
        <v>0.3</v>
      </c>
      <c r="AD35" s="1618">
        <f t="shared" si="19"/>
        <v>0.3</v>
      </c>
      <c r="AE35" s="1618">
        <f t="shared" si="20"/>
        <v>0.3</v>
      </c>
      <c r="AG35" s="1647">
        <v>3.1</v>
      </c>
      <c r="AH35" s="1693" t="s">
        <v>299</v>
      </c>
      <c r="AI35" s="1737" t="s">
        <v>666</v>
      </c>
      <c r="AJ35" s="1618">
        <v>0.3</v>
      </c>
      <c r="AK35" s="1618">
        <v>0.3</v>
      </c>
      <c r="AL35" s="1618">
        <v>0.5</v>
      </c>
      <c r="AM35" s="1618">
        <v>1</v>
      </c>
      <c r="AN35" s="1618">
        <v>0.3</v>
      </c>
      <c r="AO35" s="1618">
        <v>0.3</v>
      </c>
      <c r="AP35" s="1618">
        <v>0.3</v>
      </c>
      <c r="AQ35" s="1631"/>
      <c r="AR35" s="1618">
        <v>0.3</v>
      </c>
      <c r="AS35" s="1623">
        <v>0.3</v>
      </c>
      <c r="AT35" s="1625">
        <v>0.3</v>
      </c>
      <c r="AU35" s="1623">
        <v>0.3</v>
      </c>
      <c r="AV35" s="1623">
        <v>0.3</v>
      </c>
      <c r="AX35" s="1647">
        <v>3.1</v>
      </c>
      <c r="AY35" s="1693" t="s">
        <v>299</v>
      </c>
      <c r="AZ35" s="1737" t="s">
        <v>666</v>
      </c>
      <c r="BA35" s="1623">
        <v>0.3</v>
      </c>
      <c r="BB35" s="1623">
        <v>0.3</v>
      </c>
      <c r="BC35" s="1623">
        <v>0.5</v>
      </c>
      <c r="BD35" s="1623">
        <v>1</v>
      </c>
      <c r="BE35" s="1623">
        <v>0.3</v>
      </c>
      <c r="BF35" s="1623">
        <v>0.3</v>
      </c>
      <c r="BG35" s="1623">
        <v>0.3</v>
      </c>
      <c r="BH35" s="1714"/>
      <c r="BI35" s="1623">
        <v>0.3</v>
      </c>
      <c r="BJ35" s="1623">
        <v>0.3</v>
      </c>
      <c r="BK35" s="1625">
        <v>0.3</v>
      </c>
      <c r="BL35" s="1623">
        <v>0.3</v>
      </c>
      <c r="BM35" s="1623">
        <v>0.3</v>
      </c>
      <c r="BO35" s="1647">
        <v>3.1</v>
      </c>
      <c r="BP35" s="1693" t="s">
        <v>299</v>
      </c>
      <c r="BQ35" s="1737" t="s">
        <v>666</v>
      </c>
      <c r="BR35" s="1623">
        <v>0.3</v>
      </c>
      <c r="BS35" s="1623">
        <v>0.3</v>
      </c>
      <c r="BT35" s="1623">
        <v>0.5</v>
      </c>
      <c r="BU35" s="1623">
        <v>1</v>
      </c>
      <c r="BV35" s="1623">
        <v>0.3</v>
      </c>
      <c r="BW35" s="1623">
        <v>0.3</v>
      </c>
      <c r="BX35" s="1623">
        <v>0.3</v>
      </c>
      <c r="BY35" s="1714"/>
      <c r="BZ35" s="1623">
        <v>0.3</v>
      </c>
      <c r="CA35" s="1623">
        <v>0.3</v>
      </c>
      <c r="CB35" s="1625">
        <v>0.3</v>
      </c>
      <c r="CC35" s="1623">
        <v>0.3</v>
      </c>
      <c r="CD35" s="1623">
        <v>0.3</v>
      </c>
    </row>
    <row r="36" spans="1:83">
      <c r="B36" s="1597" t="str">
        <f t="shared" si="0"/>
        <v>3.1.1</v>
      </c>
      <c r="C36" s="1614" t="str">
        <f t="shared" si="1"/>
        <v>昼光率</v>
      </c>
      <c r="D36" s="1721">
        <f t="shared" ref="D36:E38" si="24">IF(I$35&gt;0,G36/I$35,0)</f>
        <v>0.6</v>
      </c>
      <c r="E36" s="1691">
        <f t="shared" si="24"/>
        <v>0</v>
      </c>
      <c r="G36" s="1691">
        <f t="shared" si="2"/>
        <v>0.6</v>
      </c>
      <c r="H36" s="1691">
        <f t="shared" si="3"/>
        <v>0</v>
      </c>
      <c r="I36" s="1691"/>
      <c r="J36" s="1691"/>
      <c r="K36" s="1691">
        <f>IF(スコア表示!W36=0,0,1)</f>
        <v>1</v>
      </c>
      <c r="L36" s="1691">
        <f>IF(スコア表示!AA36=0,0,1)</f>
        <v>1</v>
      </c>
      <c r="M36" s="1691">
        <f t="shared" si="4"/>
        <v>0.6</v>
      </c>
      <c r="N36" s="1691">
        <f t="shared" si="5"/>
        <v>0</v>
      </c>
      <c r="P36" s="1647" t="str">
        <f t="shared" si="6"/>
        <v>3.1.1</v>
      </c>
      <c r="Q36" s="1647" t="str">
        <f t="shared" si="7"/>
        <v xml:space="preserve"> Q1 3.1</v>
      </c>
      <c r="R36" s="1737" t="str">
        <f t="shared" si="8"/>
        <v>昼光率</v>
      </c>
      <c r="S36" s="1618">
        <f t="shared" si="21"/>
        <v>0.6</v>
      </c>
      <c r="T36" s="1618">
        <f t="shared" si="9"/>
        <v>0.6</v>
      </c>
      <c r="U36" s="1618">
        <f t="shared" si="10"/>
        <v>0</v>
      </c>
      <c r="V36" s="1618">
        <f t="shared" si="11"/>
        <v>0</v>
      </c>
      <c r="W36" s="1618">
        <f t="shared" si="12"/>
        <v>0.6</v>
      </c>
      <c r="X36" s="1618">
        <f t="shared" si="13"/>
        <v>0.6</v>
      </c>
      <c r="Y36" s="1618">
        <f t="shared" si="14"/>
        <v>0.6</v>
      </c>
      <c r="Z36" s="1631">
        <f t="shared" si="15"/>
        <v>0</v>
      </c>
      <c r="AA36" s="1618">
        <f t="shared" si="16"/>
        <v>0.6</v>
      </c>
      <c r="AB36" s="1618">
        <f t="shared" si="17"/>
        <v>0.6</v>
      </c>
      <c r="AC36" s="1619">
        <f t="shared" si="18"/>
        <v>0.6</v>
      </c>
      <c r="AD36" s="1618">
        <f t="shared" si="19"/>
        <v>0.6</v>
      </c>
      <c r="AE36" s="1618">
        <f t="shared" si="20"/>
        <v>0.5</v>
      </c>
      <c r="AG36" s="1647" t="s">
        <v>1694</v>
      </c>
      <c r="AH36" s="1693" t="s">
        <v>300</v>
      </c>
      <c r="AI36" s="2064" t="s">
        <v>301</v>
      </c>
      <c r="AJ36" s="1618">
        <v>0.6</v>
      </c>
      <c r="AK36" s="1618">
        <v>0.6</v>
      </c>
      <c r="AL36" s="1618"/>
      <c r="AM36" s="1618"/>
      <c r="AN36" s="1618">
        <v>0.6</v>
      </c>
      <c r="AO36" s="1618">
        <v>0.6</v>
      </c>
      <c r="AP36" s="1618">
        <v>0.6</v>
      </c>
      <c r="AQ36" s="1631"/>
      <c r="AR36" s="1618">
        <v>0.6</v>
      </c>
      <c r="AS36" s="1623">
        <v>0.6</v>
      </c>
      <c r="AT36" s="1625">
        <v>0.6</v>
      </c>
      <c r="AU36" s="1623">
        <v>0.6</v>
      </c>
      <c r="AV36" s="1623">
        <v>0.5</v>
      </c>
      <c r="AX36" s="1647" t="s">
        <v>1486</v>
      </c>
      <c r="AY36" s="1693" t="s">
        <v>300</v>
      </c>
      <c r="AZ36" s="2064" t="s">
        <v>301</v>
      </c>
      <c r="BA36" s="1623">
        <v>0.6</v>
      </c>
      <c r="BB36" s="1623">
        <v>0.6</v>
      </c>
      <c r="BC36" s="1623"/>
      <c r="BD36" s="1623"/>
      <c r="BE36" s="1623">
        <v>0.6</v>
      </c>
      <c r="BF36" s="1623">
        <v>0.6</v>
      </c>
      <c r="BG36" s="1623">
        <v>0.6</v>
      </c>
      <c r="BH36" s="1714"/>
      <c r="BI36" s="1623">
        <v>0.6</v>
      </c>
      <c r="BJ36" s="1623">
        <v>0.6</v>
      </c>
      <c r="BK36" s="1625">
        <v>0.6</v>
      </c>
      <c r="BL36" s="1623">
        <v>0.6</v>
      </c>
      <c r="BM36" s="1623">
        <v>0.5</v>
      </c>
      <c r="BO36" s="1647" t="s">
        <v>1642</v>
      </c>
      <c r="BP36" s="1693" t="s">
        <v>300</v>
      </c>
      <c r="BQ36" s="2064" t="s">
        <v>301</v>
      </c>
      <c r="BR36" s="1623">
        <v>0.6</v>
      </c>
      <c r="BS36" s="1623">
        <v>0.6</v>
      </c>
      <c r="BT36" s="1623"/>
      <c r="BU36" s="1623"/>
      <c r="BV36" s="1623">
        <v>0.6</v>
      </c>
      <c r="BW36" s="1623">
        <v>0.6</v>
      </c>
      <c r="BX36" s="1623">
        <v>0.6</v>
      </c>
      <c r="BY36" s="1714"/>
      <c r="BZ36" s="1623">
        <v>0.6</v>
      </c>
      <c r="CA36" s="1623">
        <v>0.6</v>
      </c>
      <c r="CB36" s="1625">
        <v>0.6</v>
      </c>
      <c r="CC36" s="1623">
        <v>0.6</v>
      </c>
      <c r="CD36" s="1623">
        <v>0.5</v>
      </c>
    </row>
    <row r="37" spans="1:83">
      <c r="B37" s="1597" t="str">
        <f t="shared" si="0"/>
        <v>3.1.2</v>
      </c>
      <c r="C37" s="1614" t="str">
        <f t="shared" si="1"/>
        <v>方位別開口</v>
      </c>
      <c r="D37" s="1721">
        <f t="shared" si="24"/>
        <v>0</v>
      </c>
      <c r="E37" s="1691">
        <f t="shared" si="24"/>
        <v>0</v>
      </c>
      <c r="G37" s="1691">
        <f t="shared" si="2"/>
        <v>0</v>
      </c>
      <c r="H37" s="1691">
        <f t="shared" si="3"/>
        <v>0</v>
      </c>
      <c r="I37" s="1691"/>
      <c r="J37" s="1691"/>
      <c r="K37" s="1691">
        <f>IF(スコア表示!W37=0,0,1)</f>
        <v>1</v>
      </c>
      <c r="L37" s="1691">
        <f>IF(スコア表示!AA37=0,0,1)</f>
        <v>1</v>
      </c>
      <c r="M37" s="1691">
        <f t="shared" si="4"/>
        <v>0</v>
      </c>
      <c r="N37" s="1691">
        <f t="shared" si="5"/>
        <v>0</v>
      </c>
      <c r="P37" s="1647" t="str">
        <f t="shared" si="6"/>
        <v>3.1.2</v>
      </c>
      <c r="Q37" s="1647" t="str">
        <f t="shared" si="7"/>
        <v xml:space="preserve"> Q1 3.1</v>
      </c>
      <c r="R37" s="1737" t="str">
        <f t="shared" si="8"/>
        <v>方位別開口</v>
      </c>
      <c r="S37" s="1618">
        <f t="shared" si="21"/>
        <v>0</v>
      </c>
      <c r="T37" s="1618">
        <f t="shared" si="9"/>
        <v>0</v>
      </c>
      <c r="U37" s="1618">
        <f t="shared" si="10"/>
        <v>0</v>
      </c>
      <c r="V37" s="1618">
        <f t="shared" si="11"/>
        <v>0</v>
      </c>
      <c r="W37" s="1618">
        <f t="shared" si="12"/>
        <v>0</v>
      </c>
      <c r="X37" s="1618">
        <f t="shared" si="13"/>
        <v>0</v>
      </c>
      <c r="Y37" s="1618">
        <f t="shared" si="14"/>
        <v>0</v>
      </c>
      <c r="Z37" s="1631">
        <f t="shared" si="15"/>
        <v>0</v>
      </c>
      <c r="AA37" s="1618">
        <f t="shared" si="16"/>
        <v>0</v>
      </c>
      <c r="AB37" s="1618">
        <f t="shared" si="17"/>
        <v>0</v>
      </c>
      <c r="AC37" s="1619">
        <f t="shared" si="18"/>
        <v>0</v>
      </c>
      <c r="AD37" s="1618">
        <f t="shared" si="19"/>
        <v>0</v>
      </c>
      <c r="AE37" s="1618">
        <f t="shared" si="20"/>
        <v>0.3</v>
      </c>
      <c r="AG37" s="1647" t="s">
        <v>1695</v>
      </c>
      <c r="AH37" s="1693" t="s">
        <v>300</v>
      </c>
      <c r="AI37" s="2064" t="s">
        <v>302</v>
      </c>
      <c r="AJ37" s="1618"/>
      <c r="AK37" s="1618"/>
      <c r="AL37" s="1618"/>
      <c r="AM37" s="1618"/>
      <c r="AN37" s="1618"/>
      <c r="AO37" s="1618"/>
      <c r="AP37" s="1618"/>
      <c r="AQ37" s="1631"/>
      <c r="AR37" s="1618"/>
      <c r="AS37" s="1623"/>
      <c r="AT37" s="1625"/>
      <c r="AU37" s="1623"/>
      <c r="AV37" s="1623">
        <v>0.3</v>
      </c>
      <c r="AX37" s="1647" t="s">
        <v>1488</v>
      </c>
      <c r="AY37" s="1693" t="s">
        <v>300</v>
      </c>
      <c r="AZ37" s="2064" t="s">
        <v>302</v>
      </c>
      <c r="BA37" s="1623"/>
      <c r="BB37" s="1623"/>
      <c r="BC37" s="1623"/>
      <c r="BD37" s="1623"/>
      <c r="BE37" s="1623"/>
      <c r="BF37" s="1623"/>
      <c r="BG37" s="1623"/>
      <c r="BH37" s="1714"/>
      <c r="BI37" s="1623"/>
      <c r="BJ37" s="1623"/>
      <c r="BK37" s="1625"/>
      <c r="BL37" s="1623"/>
      <c r="BM37" s="1623">
        <v>0.3</v>
      </c>
      <c r="BO37" s="1647" t="s">
        <v>1643</v>
      </c>
      <c r="BP37" s="1693" t="s">
        <v>300</v>
      </c>
      <c r="BQ37" s="2064" t="s">
        <v>302</v>
      </c>
      <c r="BR37" s="1623"/>
      <c r="BS37" s="1623"/>
      <c r="BT37" s="1623"/>
      <c r="BU37" s="1623"/>
      <c r="BV37" s="1623"/>
      <c r="BW37" s="1623"/>
      <c r="BX37" s="1623"/>
      <c r="BY37" s="1714"/>
      <c r="BZ37" s="1623"/>
      <c r="CA37" s="1623"/>
      <c r="CB37" s="1625"/>
      <c r="CC37" s="1623"/>
      <c r="CD37" s="1623">
        <v>0.3</v>
      </c>
    </row>
    <row r="38" spans="1:83">
      <c r="B38" s="1597" t="str">
        <f t="shared" si="0"/>
        <v>3.1.3</v>
      </c>
      <c r="C38" s="1614" t="str">
        <f t="shared" si="1"/>
        <v>昼光利用設備</v>
      </c>
      <c r="D38" s="1721">
        <f t="shared" si="24"/>
        <v>0.4</v>
      </c>
      <c r="E38" s="1691">
        <f t="shared" si="24"/>
        <v>0</v>
      </c>
      <c r="G38" s="1691">
        <f t="shared" si="2"/>
        <v>0.4</v>
      </c>
      <c r="H38" s="1691">
        <f t="shared" si="3"/>
        <v>0</v>
      </c>
      <c r="I38" s="1691"/>
      <c r="J38" s="1691"/>
      <c r="K38" s="1691">
        <f>IF(スコア表示!W38=0,0,1)</f>
        <v>1</v>
      </c>
      <c r="L38" s="1691">
        <f>IF(スコア表示!AA38=0,0,1)</f>
        <v>1</v>
      </c>
      <c r="M38" s="1691">
        <f t="shared" si="4"/>
        <v>0.4</v>
      </c>
      <c r="N38" s="1691">
        <f t="shared" si="5"/>
        <v>0</v>
      </c>
      <c r="P38" s="1647" t="str">
        <f t="shared" si="6"/>
        <v>3.1.3</v>
      </c>
      <c r="Q38" s="1647" t="str">
        <f t="shared" si="7"/>
        <v xml:space="preserve"> Q1 3.1</v>
      </c>
      <c r="R38" s="1737" t="str">
        <f t="shared" si="8"/>
        <v>昼光利用設備</v>
      </c>
      <c r="S38" s="1618">
        <f t="shared" si="21"/>
        <v>0.4</v>
      </c>
      <c r="T38" s="1618">
        <f t="shared" si="9"/>
        <v>0.4</v>
      </c>
      <c r="U38" s="1618">
        <f t="shared" si="10"/>
        <v>1</v>
      </c>
      <c r="V38" s="1618">
        <f t="shared" si="11"/>
        <v>1</v>
      </c>
      <c r="W38" s="1618">
        <f t="shared" si="12"/>
        <v>0.4</v>
      </c>
      <c r="X38" s="1618">
        <f t="shared" si="13"/>
        <v>0.4</v>
      </c>
      <c r="Y38" s="1618">
        <f t="shared" si="14"/>
        <v>0.4</v>
      </c>
      <c r="Z38" s="1631">
        <f t="shared" si="15"/>
        <v>0</v>
      </c>
      <c r="AA38" s="1618">
        <f t="shared" si="16"/>
        <v>0.4</v>
      </c>
      <c r="AB38" s="1618">
        <f t="shared" si="17"/>
        <v>0.4</v>
      </c>
      <c r="AC38" s="1619">
        <f t="shared" si="18"/>
        <v>0.4</v>
      </c>
      <c r="AD38" s="1618">
        <f t="shared" si="19"/>
        <v>0.4</v>
      </c>
      <c r="AE38" s="1618">
        <f t="shared" si="20"/>
        <v>0.2</v>
      </c>
      <c r="AG38" s="1647" t="s">
        <v>1696</v>
      </c>
      <c r="AH38" s="1693" t="s">
        <v>300</v>
      </c>
      <c r="AI38" s="2064" t="s">
        <v>303</v>
      </c>
      <c r="AJ38" s="1618">
        <v>0.4</v>
      </c>
      <c r="AK38" s="1618">
        <v>0.4</v>
      </c>
      <c r="AL38" s="1618">
        <v>1</v>
      </c>
      <c r="AM38" s="1618">
        <v>1</v>
      </c>
      <c r="AN38" s="1618">
        <v>0.4</v>
      </c>
      <c r="AO38" s="1618">
        <v>0.4</v>
      </c>
      <c r="AP38" s="1618">
        <v>0.4</v>
      </c>
      <c r="AQ38" s="1631"/>
      <c r="AR38" s="1618">
        <v>0.4</v>
      </c>
      <c r="AS38" s="1623">
        <v>0.4</v>
      </c>
      <c r="AT38" s="1625">
        <v>0.4</v>
      </c>
      <c r="AU38" s="1623">
        <v>0.4</v>
      </c>
      <c r="AV38" s="1623">
        <v>0.2</v>
      </c>
      <c r="AX38" s="1647" t="s">
        <v>1489</v>
      </c>
      <c r="AY38" s="1693" t="s">
        <v>300</v>
      </c>
      <c r="AZ38" s="2064" t="s">
        <v>303</v>
      </c>
      <c r="BA38" s="1623">
        <v>0.4</v>
      </c>
      <c r="BB38" s="1623">
        <v>0.4</v>
      </c>
      <c r="BC38" s="1623">
        <v>1</v>
      </c>
      <c r="BD38" s="1623">
        <v>1</v>
      </c>
      <c r="BE38" s="1623">
        <v>0.4</v>
      </c>
      <c r="BF38" s="1623">
        <v>0.4</v>
      </c>
      <c r="BG38" s="1623">
        <v>0.4</v>
      </c>
      <c r="BH38" s="1714"/>
      <c r="BI38" s="1623">
        <v>0.4</v>
      </c>
      <c r="BJ38" s="1623">
        <v>0.4</v>
      </c>
      <c r="BK38" s="1625">
        <v>0.4</v>
      </c>
      <c r="BL38" s="1623">
        <v>0.4</v>
      </c>
      <c r="BM38" s="1623">
        <v>0.2</v>
      </c>
      <c r="BO38" s="1647" t="s">
        <v>1644</v>
      </c>
      <c r="BP38" s="1693" t="s">
        <v>300</v>
      </c>
      <c r="BQ38" s="2064" t="s">
        <v>303</v>
      </c>
      <c r="BR38" s="1623">
        <v>0.4</v>
      </c>
      <c r="BS38" s="1623">
        <v>0.4</v>
      </c>
      <c r="BT38" s="1623">
        <v>1</v>
      </c>
      <c r="BU38" s="1623">
        <v>1</v>
      </c>
      <c r="BV38" s="1623">
        <v>0.4</v>
      </c>
      <c r="BW38" s="1623">
        <v>0.4</v>
      </c>
      <c r="BX38" s="1623">
        <v>0.4</v>
      </c>
      <c r="BY38" s="1714"/>
      <c r="BZ38" s="1623">
        <v>0.4</v>
      </c>
      <c r="CA38" s="1623">
        <v>0.4</v>
      </c>
      <c r="CB38" s="1625">
        <v>0.4</v>
      </c>
      <c r="CC38" s="1623">
        <v>0.4</v>
      </c>
      <c r="CD38" s="1623">
        <v>0.2</v>
      </c>
    </row>
    <row r="39" spans="1:83">
      <c r="B39" s="1597">
        <f t="shared" si="0"/>
        <v>3.2</v>
      </c>
      <c r="C39" s="1614" t="str">
        <f t="shared" si="1"/>
        <v>グレア対策</v>
      </c>
      <c r="D39" s="1716">
        <f>IF(I$34=0,0,G39/I$34)</f>
        <v>0.3</v>
      </c>
      <c r="E39" s="1691">
        <f>IF(J$34=0,0,H39/J$34)</f>
        <v>0</v>
      </c>
      <c r="G39" s="1691">
        <f t="shared" si="2"/>
        <v>0.3</v>
      </c>
      <c r="H39" s="1691">
        <f t="shared" si="3"/>
        <v>0</v>
      </c>
      <c r="I39" s="1691">
        <f>SUM(G40:G42)</f>
        <v>0.6</v>
      </c>
      <c r="J39" s="1691">
        <f>SUM(H40:H42)</f>
        <v>0</v>
      </c>
      <c r="K39" s="1691">
        <f>IF(スコア表示!W39=0,0,1)</f>
        <v>1</v>
      </c>
      <c r="L39" s="1691">
        <f>IF(スコア表示!AA39=0,0,1)</f>
        <v>0</v>
      </c>
      <c r="M39" s="1691">
        <f t="shared" si="4"/>
        <v>0.3</v>
      </c>
      <c r="N39" s="1691">
        <f t="shared" si="5"/>
        <v>0</v>
      </c>
      <c r="P39" s="1647">
        <f t="shared" si="6"/>
        <v>3.2</v>
      </c>
      <c r="Q39" s="1647" t="str">
        <f t="shared" si="7"/>
        <v xml:space="preserve"> Q1 3</v>
      </c>
      <c r="R39" s="1737" t="str">
        <f t="shared" si="8"/>
        <v>グレア対策</v>
      </c>
      <c r="S39" s="1618">
        <f t="shared" si="21"/>
        <v>0.3</v>
      </c>
      <c r="T39" s="1618">
        <f t="shared" si="9"/>
        <v>0.3</v>
      </c>
      <c r="U39" s="1618">
        <f t="shared" si="10"/>
        <v>0</v>
      </c>
      <c r="V39" s="1618">
        <f t="shared" si="11"/>
        <v>0</v>
      </c>
      <c r="W39" s="1618">
        <f t="shared" si="12"/>
        <v>0.3</v>
      </c>
      <c r="X39" s="1618">
        <f t="shared" si="13"/>
        <v>0.3</v>
      </c>
      <c r="Y39" s="1618">
        <f t="shared" si="14"/>
        <v>0.3</v>
      </c>
      <c r="Z39" s="1631">
        <f t="shared" si="15"/>
        <v>0</v>
      </c>
      <c r="AA39" s="1618">
        <f t="shared" si="16"/>
        <v>0.3</v>
      </c>
      <c r="AB39" s="1618">
        <f t="shared" si="17"/>
        <v>0.3</v>
      </c>
      <c r="AC39" s="1619">
        <f t="shared" si="18"/>
        <v>0.3</v>
      </c>
      <c r="AD39" s="1618">
        <f t="shared" si="19"/>
        <v>0.3</v>
      </c>
      <c r="AE39" s="1618">
        <f t="shared" si="20"/>
        <v>0.3</v>
      </c>
      <c r="AG39" s="1647">
        <v>3.2</v>
      </c>
      <c r="AH39" s="1693" t="s">
        <v>299</v>
      </c>
      <c r="AI39" s="2064" t="s">
        <v>677</v>
      </c>
      <c r="AJ39" s="1618">
        <v>0.3</v>
      </c>
      <c r="AK39" s="1618">
        <v>0.3</v>
      </c>
      <c r="AL39" s="1618"/>
      <c r="AM39" s="1618"/>
      <c r="AN39" s="1618">
        <v>0.3</v>
      </c>
      <c r="AO39" s="1618">
        <v>0.3</v>
      </c>
      <c r="AP39" s="1618">
        <v>0.3</v>
      </c>
      <c r="AQ39" s="1631"/>
      <c r="AR39" s="1618">
        <v>0.3</v>
      </c>
      <c r="AS39" s="1623">
        <v>0.3</v>
      </c>
      <c r="AT39" s="1625">
        <v>0.3</v>
      </c>
      <c r="AU39" s="1623">
        <v>0.3</v>
      </c>
      <c r="AV39" s="1623">
        <v>0.3</v>
      </c>
      <c r="AX39" s="1647">
        <v>3.2</v>
      </c>
      <c r="AY39" s="1693" t="s">
        <v>299</v>
      </c>
      <c r="AZ39" s="2064" t="s">
        <v>677</v>
      </c>
      <c r="BA39" s="1623">
        <v>0.3</v>
      </c>
      <c r="BB39" s="1623">
        <v>0.3</v>
      </c>
      <c r="BC39" s="1623"/>
      <c r="BD39" s="1623"/>
      <c r="BE39" s="1623">
        <v>0.3</v>
      </c>
      <c r="BF39" s="1623">
        <v>0.3</v>
      </c>
      <c r="BG39" s="1623">
        <v>0.3</v>
      </c>
      <c r="BH39" s="1714"/>
      <c r="BI39" s="1623">
        <v>0.3</v>
      </c>
      <c r="BJ39" s="1623">
        <v>0.3</v>
      </c>
      <c r="BK39" s="1625">
        <v>0.3</v>
      </c>
      <c r="BL39" s="1623">
        <v>0.3</v>
      </c>
      <c r="BM39" s="1623">
        <v>0.3</v>
      </c>
      <c r="BO39" s="1647">
        <v>3.2</v>
      </c>
      <c r="BP39" s="1693" t="s">
        <v>299</v>
      </c>
      <c r="BQ39" s="2064" t="s">
        <v>677</v>
      </c>
      <c r="BR39" s="1623">
        <v>0.3</v>
      </c>
      <c r="BS39" s="1623">
        <v>0.3</v>
      </c>
      <c r="BT39" s="1623"/>
      <c r="BU39" s="1623"/>
      <c r="BV39" s="1623">
        <v>0.3</v>
      </c>
      <c r="BW39" s="1623">
        <v>0.3</v>
      </c>
      <c r="BX39" s="1623">
        <v>0.3</v>
      </c>
      <c r="BY39" s="1714"/>
      <c r="BZ39" s="1623">
        <v>0.3</v>
      </c>
      <c r="CA39" s="1623">
        <v>0.3</v>
      </c>
      <c r="CB39" s="1625">
        <v>0.3</v>
      </c>
      <c r="CC39" s="1623">
        <v>0.3</v>
      </c>
      <c r="CD39" s="1623">
        <v>0.3</v>
      </c>
    </row>
    <row r="40" spans="1:83">
      <c r="B40" s="1597" t="str">
        <f t="shared" si="0"/>
        <v>3.2.1</v>
      </c>
      <c r="C40" s="1614" t="str">
        <f t="shared" si="1"/>
        <v>照明器具のグレア</v>
      </c>
      <c r="D40" s="1721">
        <f t="shared" ref="D40:E42" si="25">IF(I$39&gt;0,G40/I$39,0)</f>
        <v>0</v>
      </c>
      <c r="E40" s="1691">
        <f t="shared" si="25"/>
        <v>0</v>
      </c>
      <c r="G40" s="1691">
        <f t="shared" si="2"/>
        <v>0</v>
      </c>
      <c r="H40" s="1691">
        <f t="shared" si="3"/>
        <v>0</v>
      </c>
      <c r="I40" s="1691"/>
      <c r="J40" s="1691"/>
      <c r="K40" s="1691">
        <f>IF(スコア表示!W40=0,0,1)</f>
        <v>0</v>
      </c>
      <c r="L40" s="1691">
        <f>IF(スコア表示!AA40=0,0,1)</f>
        <v>0</v>
      </c>
      <c r="M40" s="1691">
        <f t="shared" si="4"/>
        <v>0.4</v>
      </c>
      <c r="N40" s="1691">
        <f t="shared" si="5"/>
        <v>0</v>
      </c>
      <c r="P40" s="1647" t="str">
        <f t="shared" si="6"/>
        <v>3.2.1</v>
      </c>
      <c r="Q40" s="1647" t="str">
        <f t="shared" si="7"/>
        <v xml:space="preserve"> Q1 3.2</v>
      </c>
      <c r="R40" s="1737" t="str">
        <f t="shared" si="8"/>
        <v>照明器具のグレア</v>
      </c>
      <c r="S40" s="1618">
        <f t="shared" si="21"/>
        <v>0.4</v>
      </c>
      <c r="T40" s="1618">
        <f t="shared" si="9"/>
        <v>0.4</v>
      </c>
      <c r="U40" s="1618">
        <f t="shared" si="10"/>
        <v>0</v>
      </c>
      <c r="V40" s="1618">
        <f t="shared" si="11"/>
        <v>0</v>
      </c>
      <c r="W40" s="1618">
        <f t="shared" si="12"/>
        <v>0.4</v>
      </c>
      <c r="X40" s="1618">
        <f t="shared" si="13"/>
        <v>0.4</v>
      </c>
      <c r="Y40" s="1618">
        <f t="shared" si="14"/>
        <v>0.4</v>
      </c>
      <c r="Z40" s="1631">
        <f t="shared" si="15"/>
        <v>0</v>
      </c>
      <c r="AA40" s="1618">
        <f t="shared" si="16"/>
        <v>0.4</v>
      </c>
      <c r="AB40" s="1618">
        <f t="shared" si="17"/>
        <v>0.3</v>
      </c>
      <c r="AC40" s="1619">
        <f t="shared" si="18"/>
        <v>0.4</v>
      </c>
      <c r="AD40" s="1618">
        <f t="shared" si="19"/>
        <v>0.4</v>
      </c>
      <c r="AE40" s="1618">
        <f t="shared" si="20"/>
        <v>0.4</v>
      </c>
      <c r="AG40" s="1647" t="s">
        <v>1697</v>
      </c>
      <c r="AH40" s="1693" t="s">
        <v>304</v>
      </c>
      <c r="AI40" s="2064" t="s">
        <v>305</v>
      </c>
      <c r="AJ40" s="1654">
        <v>0.4</v>
      </c>
      <c r="AK40" s="1654">
        <v>0.4</v>
      </c>
      <c r="AL40" s="1654"/>
      <c r="AM40" s="1654"/>
      <c r="AN40" s="1654">
        <v>0.4</v>
      </c>
      <c r="AO40" s="1654">
        <v>0.4</v>
      </c>
      <c r="AP40" s="1654">
        <v>0.4</v>
      </c>
      <c r="AQ40" s="2071"/>
      <c r="AR40" s="1654">
        <v>0.4</v>
      </c>
      <c r="AS40" s="2356">
        <v>0.3</v>
      </c>
      <c r="AT40" s="1625">
        <v>0.4</v>
      </c>
      <c r="AU40" s="1623">
        <v>0.4</v>
      </c>
      <c r="AV40" s="1623">
        <v>0.4</v>
      </c>
      <c r="AX40" s="1647" t="s">
        <v>1491</v>
      </c>
      <c r="AY40" s="1693" t="s">
        <v>304</v>
      </c>
      <c r="AZ40" s="2064" t="s">
        <v>305</v>
      </c>
      <c r="BA40" s="1623">
        <v>0.4</v>
      </c>
      <c r="BB40" s="1623">
        <v>0.4</v>
      </c>
      <c r="BC40" s="1623"/>
      <c r="BD40" s="1623"/>
      <c r="BE40" s="1623">
        <v>0.4</v>
      </c>
      <c r="BF40" s="1623">
        <v>0.4</v>
      </c>
      <c r="BG40" s="1623">
        <v>0.4</v>
      </c>
      <c r="BH40" s="1714"/>
      <c r="BI40" s="1623">
        <v>0.4</v>
      </c>
      <c r="BJ40" s="1623">
        <v>0.4</v>
      </c>
      <c r="BK40" s="1625">
        <v>0.4</v>
      </c>
      <c r="BL40" s="1623">
        <v>0.4</v>
      </c>
      <c r="BM40" s="1623">
        <v>0.4</v>
      </c>
      <c r="BO40" s="1647" t="s">
        <v>1645</v>
      </c>
      <c r="BP40" s="1693" t="s">
        <v>304</v>
      </c>
      <c r="BQ40" s="2064" t="s">
        <v>305</v>
      </c>
      <c r="BR40" s="1623">
        <v>0.4</v>
      </c>
      <c r="BS40" s="1623">
        <v>0.4</v>
      </c>
      <c r="BT40" s="1623"/>
      <c r="BU40" s="1623"/>
      <c r="BV40" s="1623">
        <v>0.4</v>
      </c>
      <c r="BW40" s="1623">
        <v>0.4</v>
      </c>
      <c r="BX40" s="1623">
        <v>0.4</v>
      </c>
      <c r="BY40" s="1714"/>
      <c r="BZ40" s="1623">
        <v>0.4</v>
      </c>
      <c r="CA40" s="1623">
        <v>0.4</v>
      </c>
      <c r="CB40" s="1625">
        <v>0.4</v>
      </c>
      <c r="CC40" s="1623">
        <v>0.4</v>
      </c>
      <c r="CD40" s="1623">
        <v>0.4</v>
      </c>
    </row>
    <row r="41" spans="1:83">
      <c r="B41" s="1597" t="str">
        <f t="shared" si="0"/>
        <v>3.2.2</v>
      </c>
      <c r="C41" s="1614" t="str">
        <f t="shared" ref="C41:C72" si="26">R41</f>
        <v>昼光制御</v>
      </c>
      <c r="D41" s="1721">
        <f t="shared" si="25"/>
        <v>1</v>
      </c>
      <c r="E41" s="1691">
        <f t="shared" si="25"/>
        <v>0</v>
      </c>
      <c r="G41" s="1691">
        <f t="shared" ref="G41:G72" si="27">K41*M41</f>
        <v>0.6</v>
      </c>
      <c r="H41" s="1691">
        <f t="shared" ref="H41:H72" si="28">L41*N41</f>
        <v>0</v>
      </c>
      <c r="I41" s="1691"/>
      <c r="J41" s="1691"/>
      <c r="K41" s="1691">
        <f>IF(スコア表示!W41=0,0,1)</f>
        <v>1</v>
      </c>
      <c r="L41" s="1691">
        <f>IF(スコア表示!AA41=0,0,1)</f>
        <v>1</v>
      </c>
      <c r="M41" s="1691">
        <f t="shared" ref="M41:M72" si="29">SUMPRODUCT($S$7:$AB$7,S41:AB41)</f>
        <v>0.6</v>
      </c>
      <c r="N41" s="1691">
        <f t="shared" ref="N41:N72" si="30">(AC$7*AC41)+(AD$7*AD41)+(AE$7*AE41)</f>
        <v>0</v>
      </c>
      <c r="P41" s="1647" t="str">
        <f t="shared" ref="P41:P72" si="31">IF($P$3=1,AX41,BO41)</f>
        <v>3.2.2</v>
      </c>
      <c r="Q41" s="1647" t="str">
        <f t="shared" ref="Q41:Q72" si="32">IF($P$3=1,AY41,BP41)</f>
        <v xml:space="preserve"> Q1 3.2</v>
      </c>
      <c r="R41" s="1737" t="str">
        <f t="shared" ref="R41:R72" si="33">AI41</f>
        <v>昼光制御</v>
      </c>
      <c r="S41" s="1618">
        <f t="shared" ref="S41:S72" si="34">IF($P$3=1,BA41,IF($P$3=2,BR41,AJ41))</f>
        <v>0.6</v>
      </c>
      <c r="T41" s="1618">
        <f t="shared" ref="T41:T72" si="35">IF($P$3=1,BB41,IF($P$3=2,BS41,AK41))</f>
        <v>0.6</v>
      </c>
      <c r="U41" s="1618">
        <f t="shared" ref="U41:U72" si="36">IF($P$3=1,BC41,IF($P$3=2,BT41,AL41))</f>
        <v>0</v>
      </c>
      <c r="V41" s="1618">
        <f t="shared" ref="V41:V72" si="37">IF($P$3=1,BD41,IF($P$3=2,BU41,AM41))</f>
        <v>0</v>
      </c>
      <c r="W41" s="1618">
        <f t="shared" ref="W41:W72" si="38">IF($P$3=1,BE41,IF($P$3=2,BV41,AN41))</f>
        <v>0.6</v>
      </c>
      <c r="X41" s="1618">
        <f t="shared" ref="X41:X72" si="39">IF($P$3=1,BF41,IF($P$3=2,BW41,AO41))</f>
        <v>0.6</v>
      </c>
      <c r="Y41" s="1618">
        <f t="shared" ref="Y41:Y72" si="40">IF($P$3=1,BG41,IF($P$3=2,BX41,AP41))</f>
        <v>0.6</v>
      </c>
      <c r="Z41" s="1631">
        <f t="shared" ref="Z41:Z72" si="41">IF($P$3=1,BH41,IF($P$3=2,BY41,AQ41))</f>
        <v>0</v>
      </c>
      <c r="AA41" s="1618">
        <f t="shared" ref="AA41:AA72" si="42">IF($P$3=1,BI41,IF($P$3=2,BZ41,AR41))</f>
        <v>0.6</v>
      </c>
      <c r="AB41" s="1618">
        <f t="shared" ref="AB41:AB72" si="43">IF($P$3=1,BJ41,IF($P$3=2,CA41,AS41))</f>
        <v>0.4</v>
      </c>
      <c r="AC41" s="1619">
        <f t="shared" ref="AC41:AC72" si="44">IF($P$3=1,BK41,IF($P$3=2,CB41,AT41))</f>
        <v>0.6</v>
      </c>
      <c r="AD41" s="1618">
        <f t="shared" ref="AD41:AD72" si="45">IF($P$3=1,BL41,IF($P$3=2,CC41,AU41))</f>
        <v>0.6</v>
      </c>
      <c r="AE41" s="1618">
        <f t="shared" ref="AE41:AE72" si="46">IF($P$3=1,BM41,IF($P$3=2,CD41,AV41))</f>
        <v>0.6</v>
      </c>
      <c r="AG41" s="1647" t="s">
        <v>1698</v>
      </c>
      <c r="AH41" s="1693" t="s">
        <v>304</v>
      </c>
      <c r="AI41" s="2064" t="s">
        <v>306</v>
      </c>
      <c r="AJ41" s="1618">
        <v>0.6</v>
      </c>
      <c r="AK41" s="1618">
        <v>0.6</v>
      </c>
      <c r="AL41" s="1618"/>
      <c r="AM41" s="1618"/>
      <c r="AN41" s="1618">
        <v>0.6</v>
      </c>
      <c r="AO41" s="1618">
        <v>0.6</v>
      </c>
      <c r="AP41" s="1618">
        <v>0.6</v>
      </c>
      <c r="AQ41" s="1631"/>
      <c r="AR41" s="1618">
        <v>0.6</v>
      </c>
      <c r="AS41" s="2356">
        <v>0.4</v>
      </c>
      <c r="AT41" s="1625">
        <v>0.6</v>
      </c>
      <c r="AU41" s="1623">
        <v>0.6</v>
      </c>
      <c r="AV41" s="1623">
        <v>0.6</v>
      </c>
      <c r="AX41" s="1647" t="s">
        <v>1493</v>
      </c>
      <c r="AY41" s="1693" t="s">
        <v>304</v>
      </c>
      <c r="AZ41" s="2064" t="s">
        <v>306</v>
      </c>
      <c r="BA41" s="1623">
        <v>0.6</v>
      </c>
      <c r="BB41" s="1623">
        <v>0.6</v>
      </c>
      <c r="BC41" s="1623"/>
      <c r="BD41" s="1623"/>
      <c r="BE41" s="1623">
        <v>0.6</v>
      </c>
      <c r="BF41" s="1623">
        <v>0.6</v>
      </c>
      <c r="BG41" s="1623">
        <v>0.6</v>
      </c>
      <c r="BH41" s="1714"/>
      <c r="BI41" s="1623">
        <v>0.6</v>
      </c>
      <c r="BJ41" s="1623">
        <v>0.6</v>
      </c>
      <c r="BK41" s="1625">
        <v>0.6</v>
      </c>
      <c r="BL41" s="1623">
        <v>0.6</v>
      </c>
      <c r="BM41" s="1623">
        <v>0.6</v>
      </c>
      <c r="BO41" s="1647" t="s">
        <v>1646</v>
      </c>
      <c r="BP41" s="1693" t="s">
        <v>304</v>
      </c>
      <c r="BQ41" s="2064" t="s">
        <v>306</v>
      </c>
      <c r="BR41" s="1623">
        <v>0.6</v>
      </c>
      <c r="BS41" s="1623">
        <v>0.6</v>
      </c>
      <c r="BT41" s="1623"/>
      <c r="BU41" s="1623"/>
      <c r="BV41" s="1623">
        <v>0.6</v>
      </c>
      <c r="BW41" s="1623">
        <v>0.6</v>
      </c>
      <c r="BX41" s="1623">
        <v>0.6</v>
      </c>
      <c r="BY41" s="1714"/>
      <c r="BZ41" s="1623">
        <v>0.6</v>
      </c>
      <c r="CA41" s="1623">
        <v>0.6</v>
      </c>
      <c r="CB41" s="1625">
        <v>0.6</v>
      </c>
      <c r="CC41" s="1623">
        <v>0.6</v>
      </c>
      <c r="CD41" s="1623">
        <v>0.6</v>
      </c>
    </row>
    <row r="42" spans="1:83">
      <c r="B42" s="1597" t="s">
        <v>1144</v>
      </c>
      <c r="C42" s="1614" t="str">
        <f t="shared" si="26"/>
        <v>映り込み対策</v>
      </c>
      <c r="D42" s="1721">
        <f>IF(I$39&gt;0,G42/I$39,0)</f>
        <v>0</v>
      </c>
      <c r="E42" s="1691">
        <f t="shared" si="25"/>
        <v>0</v>
      </c>
      <c r="G42" s="1691">
        <f t="shared" si="27"/>
        <v>0</v>
      </c>
      <c r="H42" s="1691">
        <f t="shared" si="28"/>
        <v>0</v>
      </c>
      <c r="I42" s="1691"/>
      <c r="J42" s="1691"/>
      <c r="K42" s="1691">
        <f>IF(スコア表示!W42=0,0,1)</f>
        <v>1</v>
      </c>
      <c r="L42" s="1691">
        <f>IF(スコア表示!AA42=0,0,1)</f>
        <v>1</v>
      </c>
      <c r="M42" s="1691">
        <f t="shared" si="29"/>
        <v>0</v>
      </c>
      <c r="N42" s="1691">
        <f t="shared" si="30"/>
        <v>0</v>
      </c>
      <c r="P42" s="1647" t="str">
        <f t="shared" si="31"/>
        <v>3.2.3</v>
      </c>
      <c r="Q42" s="1647" t="str">
        <f t="shared" si="32"/>
        <v xml:space="preserve"> Q1 3.3</v>
      </c>
      <c r="R42" s="1737" t="str">
        <f t="shared" si="33"/>
        <v>映り込み対策</v>
      </c>
      <c r="S42" s="1618">
        <f t="shared" si="34"/>
        <v>0</v>
      </c>
      <c r="T42" s="1618">
        <f t="shared" si="35"/>
        <v>0</v>
      </c>
      <c r="U42" s="1618">
        <f t="shared" si="36"/>
        <v>0</v>
      </c>
      <c r="V42" s="1618">
        <f t="shared" si="37"/>
        <v>0</v>
      </c>
      <c r="W42" s="1618">
        <f t="shared" si="38"/>
        <v>0</v>
      </c>
      <c r="X42" s="1618">
        <f t="shared" si="39"/>
        <v>0</v>
      </c>
      <c r="Y42" s="1618">
        <f t="shared" si="40"/>
        <v>0</v>
      </c>
      <c r="Z42" s="1631">
        <f t="shared" si="41"/>
        <v>0</v>
      </c>
      <c r="AA42" s="1618">
        <f t="shared" si="42"/>
        <v>0</v>
      </c>
      <c r="AB42" s="1618">
        <f t="shared" si="43"/>
        <v>0.3</v>
      </c>
      <c r="AC42" s="1619">
        <f t="shared" si="44"/>
        <v>0</v>
      </c>
      <c r="AD42" s="1618">
        <f t="shared" si="45"/>
        <v>0</v>
      </c>
      <c r="AE42" s="1618">
        <f t="shared" si="46"/>
        <v>0</v>
      </c>
      <c r="AG42" s="1647" t="s">
        <v>379</v>
      </c>
      <c r="AH42" s="1693" t="s">
        <v>307</v>
      </c>
      <c r="AI42" s="2064" t="s">
        <v>886</v>
      </c>
      <c r="AJ42" s="1618"/>
      <c r="AK42" s="1618"/>
      <c r="AL42" s="1618"/>
      <c r="AM42" s="1618"/>
      <c r="AN42" s="1618"/>
      <c r="AO42" s="1618"/>
      <c r="AP42" s="1618"/>
      <c r="AQ42" s="1631"/>
      <c r="AR42" s="1618"/>
      <c r="AS42" s="2356">
        <v>0.3</v>
      </c>
      <c r="AT42" s="1625"/>
      <c r="AU42" s="1623"/>
      <c r="AV42" s="1623"/>
      <c r="AX42" s="2067" t="s">
        <v>1494</v>
      </c>
      <c r="AY42" s="2069" t="s">
        <v>307</v>
      </c>
      <c r="AZ42" s="2070" t="s">
        <v>886</v>
      </c>
      <c r="BA42" s="2074"/>
      <c r="BB42" s="2074"/>
      <c r="BC42" s="2074"/>
      <c r="BD42" s="2074"/>
      <c r="BE42" s="2074"/>
      <c r="BF42" s="2074"/>
      <c r="BG42" s="2074"/>
      <c r="BH42" s="2075"/>
      <c r="BI42" s="2074"/>
      <c r="BJ42" s="2074"/>
      <c r="BK42" s="2076"/>
      <c r="BL42" s="2074"/>
      <c r="BM42" s="2074"/>
      <c r="BO42" s="2067" t="s">
        <v>1647</v>
      </c>
      <c r="BP42" s="2069" t="s">
        <v>307</v>
      </c>
      <c r="BQ42" s="2070" t="s">
        <v>886</v>
      </c>
      <c r="BR42" s="2074"/>
      <c r="BS42" s="2074"/>
      <c r="BT42" s="2074"/>
      <c r="BU42" s="2074"/>
      <c r="BV42" s="2074"/>
      <c r="BW42" s="2074"/>
      <c r="BX42" s="2074"/>
      <c r="BY42" s="2075"/>
      <c r="BZ42" s="2074"/>
      <c r="CA42" s="2074"/>
      <c r="CB42" s="2076"/>
      <c r="CC42" s="2074"/>
      <c r="CD42" s="2074"/>
    </row>
    <row r="43" spans="1:83">
      <c r="B43" s="1597">
        <f t="shared" ref="B43:B74" si="47">P43</f>
        <v>3.3</v>
      </c>
      <c r="C43" s="1630" t="str">
        <f t="shared" si="26"/>
        <v>照度</v>
      </c>
      <c r="D43" s="1716">
        <f>IF(I$34=0,0,G43/I$34)</f>
        <v>0.15</v>
      </c>
      <c r="E43" s="1691">
        <f>IF(J$34=0,0,H43/J$34)</f>
        <v>0</v>
      </c>
      <c r="G43" s="1691">
        <f t="shared" si="27"/>
        <v>0.15</v>
      </c>
      <c r="H43" s="1691">
        <f t="shared" si="28"/>
        <v>0</v>
      </c>
      <c r="I43" s="1691">
        <f>SUM(G44:G45)</f>
        <v>0</v>
      </c>
      <c r="J43" s="1691">
        <f>SUM(H44:H45)</f>
        <v>0</v>
      </c>
      <c r="K43" s="1691">
        <f>IF(スコア表示!W43=0,0,1)</f>
        <v>1</v>
      </c>
      <c r="L43" s="1691">
        <f>IF(スコア表示!AA43=0,0,1)</f>
        <v>1</v>
      </c>
      <c r="M43" s="1691">
        <f t="shared" si="29"/>
        <v>0.15</v>
      </c>
      <c r="N43" s="1691">
        <f t="shared" si="30"/>
        <v>0</v>
      </c>
      <c r="P43" s="1647">
        <f t="shared" si="31"/>
        <v>3.3</v>
      </c>
      <c r="Q43" s="1647" t="str">
        <f t="shared" si="32"/>
        <v xml:space="preserve"> Q1 3</v>
      </c>
      <c r="R43" s="1737" t="str">
        <f t="shared" si="33"/>
        <v>照度</v>
      </c>
      <c r="S43" s="1618">
        <f t="shared" si="34"/>
        <v>0.15</v>
      </c>
      <c r="T43" s="1618">
        <f t="shared" si="35"/>
        <v>0.15</v>
      </c>
      <c r="U43" s="1618">
        <f t="shared" si="36"/>
        <v>0</v>
      </c>
      <c r="V43" s="1618">
        <f t="shared" si="37"/>
        <v>0</v>
      </c>
      <c r="W43" s="1618">
        <f t="shared" si="38"/>
        <v>0.15</v>
      </c>
      <c r="X43" s="1618">
        <f t="shared" si="39"/>
        <v>0.15</v>
      </c>
      <c r="Y43" s="1618">
        <f t="shared" si="40"/>
        <v>0.15</v>
      </c>
      <c r="Z43" s="1631">
        <f t="shared" si="41"/>
        <v>0</v>
      </c>
      <c r="AA43" s="1618">
        <f t="shared" si="42"/>
        <v>0.15</v>
      </c>
      <c r="AB43" s="1618">
        <f t="shared" si="43"/>
        <v>0.15</v>
      </c>
      <c r="AC43" s="1619">
        <f t="shared" si="44"/>
        <v>0.15</v>
      </c>
      <c r="AD43" s="1618">
        <f t="shared" si="45"/>
        <v>0.15</v>
      </c>
      <c r="AE43" s="1618">
        <f t="shared" si="46"/>
        <v>0.15</v>
      </c>
      <c r="AG43" s="1647">
        <v>3.3</v>
      </c>
      <c r="AH43" s="1693" t="s">
        <v>299</v>
      </c>
      <c r="AI43" s="1737" t="s">
        <v>683</v>
      </c>
      <c r="AJ43" s="1618">
        <v>0.15</v>
      </c>
      <c r="AK43" s="1618">
        <v>0.15</v>
      </c>
      <c r="AL43" s="1618"/>
      <c r="AM43" s="1618"/>
      <c r="AN43" s="1618">
        <v>0.15</v>
      </c>
      <c r="AO43" s="1618">
        <v>0.15</v>
      </c>
      <c r="AP43" s="1618">
        <v>0.15</v>
      </c>
      <c r="AQ43" s="1631"/>
      <c r="AR43" s="1618">
        <v>0.15</v>
      </c>
      <c r="AS43" s="1623">
        <v>0.15</v>
      </c>
      <c r="AT43" s="1625">
        <v>0.15</v>
      </c>
      <c r="AU43" s="1623">
        <v>0.15</v>
      </c>
      <c r="AV43" s="1623">
        <v>0.15</v>
      </c>
      <c r="AX43" s="1647">
        <v>3.3</v>
      </c>
      <c r="AY43" s="1693" t="s">
        <v>299</v>
      </c>
      <c r="AZ43" s="1737" t="s">
        <v>683</v>
      </c>
      <c r="BA43" s="1623">
        <v>0.15</v>
      </c>
      <c r="BB43" s="1623">
        <v>0.15</v>
      </c>
      <c r="BC43" s="1623"/>
      <c r="BD43" s="1623"/>
      <c r="BE43" s="1623">
        <v>0.15</v>
      </c>
      <c r="BF43" s="1623">
        <v>0.15</v>
      </c>
      <c r="BG43" s="1623">
        <v>0.15</v>
      </c>
      <c r="BH43" s="1714"/>
      <c r="BI43" s="1623">
        <v>0.15</v>
      </c>
      <c r="BJ43" s="1623">
        <v>0.15</v>
      </c>
      <c r="BK43" s="1625">
        <v>0.15</v>
      </c>
      <c r="BL43" s="1623">
        <v>0.15</v>
      </c>
      <c r="BM43" s="1623">
        <v>0.15</v>
      </c>
      <c r="BO43" s="1647">
        <v>3.3</v>
      </c>
      <c r="BP43" s="1693" t="s">
        <v>299</v>
      </c>
      <c r="BQ43" s="1737" t="s">
        <v>683</v>
      </c>
      <c r="BR43" s="1623">
        <v>0.15</v>
      </c>
      <c r="BS43" s="1623">
        <v>0.15</v>
      </c>
      <c r="BT43" s="1623"/>
      <c r="BU43" s="1623"/>
      <c r="BV43" s="1623">
        <v>0.15</v>
      </c>
      <c r="BW43" s="1623">
        <v>0.15</v>
      </c>
      <c r="BX43" s="1623">
        <v>0.15</v>
      </c>
      <c r="BY43" s="1714"/>
      <c r="BZ43" s="1623">
        <v>0.15</v>
      </c>
      <c r="CA43" s="1623">
        <v>0.15</v>
      </c>
      <c r="CB43" s="1625">
        <v>0.15</v>
      </c>
      <c r="CC43" s="1623">
        <v>0.15</v>
      </c>
      <c r="CD43" s="1623">
        <v>0.15</v>
      </c>
    </row>
    <row r="44" spans="1:83" hidden="1">
      <c r="B44" s="1597" t="str">
        <f t="shared" si="47"/>
        <v>3.3.1</v>
      </c>
      <c r="C44" s="1650" t="str">
        <f t="shared" si="26"/>
        <v>照度</v>
      </c>
      <c r="D44" s="2065">
        <f>IF(I$43&gt;0,G44/I$43,0)</f>
        <v>0</v>
      </c>
      <c r="E44" s="2066">
        <f>IF(J$43&gt;0,H44/J$43,0)</f>
        <v>0</v>
      </c>
      <c r="G44" s="2066">
        <f t="shared" si="27"/>
        <v>0</v>
      </c>
      <c r="H44" s="2066">
        <f t="shared" si="28"/>
        <v>0</v>
      </c>
      <c r="I44" s="2066"/>
      <c r="J44" s="2066"/>
      <c r="K44" s="2066">
        <f>IF(スコア表示!W44=0,0,1)</f>
        <v>0</v>
      </c>
      <c r="L44" s="2066">
        <f>IF(スコア表示!AA44=0,0,1)</f>
        <v>0</v>
      </c>
      <c r="M44" s="2066">
        <f t="shared" si="29"/>
        <v>0</v>
      </c>
      <c r="N44" s="2066">
        <f t="shared" si="30"/>
        <v>0</v>
      </c>
      <c r="P44" s="2067" t="str">
        <f t="shared" si="31"/>
        <v>3.3.1</v>
      </c>
      <c r="Q44" s="2067" t="str">
        <f t="shared" si="32"/>
        <v xml:space="preserve"> Q1 3.3</v>
      </c>
      <c r="R44" s="2068" t="str">
        <f t="shared" si="33"/>
        <v>照度</v>
      </c>
      <c r="S44" s="1654">
        <f t="shared" si="34"/>
        <v>0</v>
      </c>
      <c r="T44" s="1654">
        <f t="shared" si="35"/>
        <v>0</v>
      </c>
      <c r="U44" s="1654">
        <f t="shared" si="36"/>
        <v>0</v>
      </c>
      <c r="V44" s="1654">
        <f t="shared" si="37"/>
        <v>0</v>
      </c>
      <c r="W44" s="1654">
        <f t="shared" si="38"/>
        <v>0</v>
      </c>
      <c r="X44" s="1654">
        <f t="shared" si="39"/>
        <v>0</v>
      </c>
      <c r="Y44" s="1654">
        <f t="shared" si="40"/>
        <v>0</v>
      </c>
      <c r="Z44" s="1655">
        <f t="shared" si="41"/>
        <v>0</v>
      </c>
      <c r="AA44" s="1654">
        <f t="shared" si="42"/>
        <v>0</v>
      </c>
      <c r="AB44" s="1654">
        <f t="shared" si="43"/>
        <v>0</v>
      </c>
      <c r="AC44" s="1656">
        <f t="shared" si="44"/>
        <v>0</v>
      </c>
      <c r="AD44" s="1654">
        <f t="shared" si="45"/>
        <v>0</v>
      </c>
      <c r="AE44" s="1654">
        <f t="shared" si="46"/>
        <v>0</v>
      </c>
      <c r="AG44" s="2067" t="s">
        <v>1699</v>
      </c>
      <c r="AH44" s="2069" t="s">
        <v>307</v>
      </c>
      <c r="AI44" s="2070" t="s">
        <v>1700</v>
      </c>
      <c r="AJ44" s="1618"/>
      <c r="AK44" s="1618"/>
      <c r="AL44" s="1618"/>
      <c r="AM44" s="1618"/>
      <c r="AN44" s="1618"/>
      <c r="AO44" s="1618"/>
      <c r="AP44" s="1618"/>
      <c r="AQ44" s="1631"/>
      <c r="AR44" s="1618"/>
      <c r="AS44" s="2072"/>
      <c r="AT44" s="2073"/>
      <c r="AU44" s="2072"/>
      <c r="AV44" s="2072"/>
      <c r="AX44" s="2067" t="s">
        <v>1496</v>
      </c>
      <c r="AY44" s="2069" t="s">
        <v>307</v>
      </c>
      <c r="AZ44" s="2070" t="s">
        <v>1498</v>
      </c>
      <c r="BA44" s="2074"/>
      <c r="BB44" s="2074"/>
      <c r="BC44" s="2074"/>
      <c r="BD44" s="2074"/>
      <c r="BE44" s="2074"/>
      <c r="BF44" s="2074"/>
      <c r="BG44" s="2074"/>
      <c r="BH44" s="2075"/>
      <c r="BI44" s="2074"/>
      <c r="BJ44" s="2074"/>
      <c r="BK44" s="2076"/>
      <c r="BL44" s="2074"/>
      <c r="BM44" s="2074"/>
      <c r="BO44" s="2067" t="s">
        <v>1648</v>
      </c>
      <c r="BP44" s="2069" t="s">
        <v>307</v>
      </c>
      <c r="BQ44" s="2070" t="s">
        <v>1649</v>
      </c>
      <c r="BR44" s="2074"/>
      <c r="BS44" s="2074"/>
      <c r="BT44" s="2074"/>
      <c r="BU44" s="2074"/>
      <c r="BV44" s="2074"/>
      <c r="BW44" s="2074"/>
      <c r="BX44" s="2074"/>
      <c r="BY44" s="2075"/>
      <c r="BZ44" s="2074"/>
      <c r="CA44" s="2074"/>
      <c r="CB44" s="2076"/>
      <c r="CC44" s="2074"/>
      <c r="CD44" s="2074"/>
    </row>
    <row r="45" spans="1:83" hidden="1">
      <c r="B45" s="1597" t="str">
        <f t="shared" si="47"/>
        <v>3.3.2</v>
      </c>
      <c r="C45" s="1650" t="str">
        <f t="shared" si="26"/>
        <v>照度均斉度</v>
      </c>
      <c r="D45" s="2065">
        <f>IF(I$43&gt;0,G45/I$43,0)</f>
        <v>0</v>
      </c>
      <c r="E45" s="2066">
        <f>IF(J$43&gt;0,H45/J$43,0)</f>
        <v>0</v>
      </c>
      <c r="G45" s="2066">
        <f t="shared" si="27"/>
        <v>0</v>
      </c>
      <c r="H45" s="2066">
        <f t="shared" si="28"/>
        <v>0</v>
      </c>
      <c r="I45" s="2066"/>
      <c r="J45" s="2066"/>
      <c r="K45" s="2066">
        <f>IF(スコア表示!W45=0,0,1)</f>
        <v>0</v>
      </c>
      <c r="L45" s="2066">
        <f>IF(スコア表示!AA45=0,0,1)</f>
        <v>0</v>
      </c>
      <c r="M45" s="2066">
        <f t="shared" si="29"/>
        <v>0</v>
      </c>
      <c r="N45" s="2066">
        <f t="shared" si="30"/>
        <v>0</v>
      </c>
      <c r="P45" s="2067" t="str">
        <f t="shared" si="31"/>
        <v>3.3.2</v>
      </c>
      <c r="Q45" s="2067" t="str">
        <f t="shared" si="32"/>
        <v xml:space="preserve"> Q1 3.3</v>
      </c>
      <c r="R45" s="2068" t="str">
        <f t="shared" si="33"/>
        <v>照度均斉度</v>
      </c>
      <c r="S45" s="1654">
        <f t="shared" si="34"/>
        <v>0</v>
      </c>
      <c r="T45" s="1654">
        <f t="shared" si="35"/>
        <v>0</v>
      </c>
      <c r="U45" s="1654">
        <f t="shared" si="36"/>
        <v>0</v>
      </c>
      <c r="V45" s="1654">
        <f t="shared" si="37"/>
        <v>0</v>
      </c>
      <c r="W45" s="1654">
        <f t="shared" si="38"/>
        <v>0</v>
      </c>
      <c r="X45" s="1654">
        <f t="shared" si="39"/>
        <v>0</v>
      </c>
      <c r="Y45" s="1654">
        <f t="shared" si="40"/>
        <v>0</v>
      </c>
      <c r="Z45" s="1655">
        <f t="shared" si="41"/>
        <v>0</v>
      </c>
      <c r="AA45" s="1654">
        <f t="shared" si="42"/>
        <v>0</v>
      </c>
      <c r="AB45" s="1654">
        <f t="shared" si="43"/>
        <v>0</v>
      </c>
      <c r="AC45" s="1656">
        <f t="shared" si="44"/>
        <v>0</v>
      </c>
      <c r="AD45" s="1654">
        <f t="shared" si="45"/>
        <v>0</v>
      </c>
      <c r="AE45" s="1654">
        <f t="shared" si="46"/>
        <v>0</v>
      </c>
      <c r="AG45" s="2067" t="s">
        <v>1701</v>
      </c>
      <c r="AH45" s="2069" t="s">
        <v>307</v>
      </c>
      <c r="AI45" s="2070" t="s">
        <v>1702</v>
      </c>
      <c r="AJ45" s="1654"/>
      <c r="AK45" s="1654"/>
      <c r="AL45" s="1654"/>
      <c r="AM45" s="1654"/>
      <c r="AN45" s="1654"/>
      <c r="AO45" s="1654"/>
      <c r="AP45" s="1654"/>
      <c r="AQ45" s="2071"/>
      <c r="AR45" s="1654"/>
      <c r="AS45" s="2072"/>
      <c r="AT45" s="2073"/>
      <c r="AU45" s="2072"/>
      <c r="AV45" s="2072"/>
      <c r="AX45" s="2067" t="s">
        <v>1499</v>
      </c>
      <c r="AY45" s="2069" t="s">
        <v>307</v>
      </c>
      <c r="AZ45" s="2070" t="s">
        <v>1500</v>
      </c>
      <c r="BA45" s="2074"/>
      <c r="BB45" s="2074"/>
      <c r="BC45" s="2074"/>
      <c r="BD45" s="2074"/>
      <c r="BE45" s="2074"/>
      <c r="BF45" s="2074"/>
      <c r="BG45" s="2074"/>
      <c r="BH45" s="2075"/>
      <c r="BI45" s="2074"/>
      <c r="BJ45" s="2074"/>
      <c r="BK45" s="2076"/>
      <c r="BL45" s="2074"/>
      <c r="BM45" s="2074"/>
      <c r="BO45" s="2067" t="s">
        <v>1650</v>
      </c>
      <c r="BP45" s="2069" t="s">
        <v>307</v>
      </c>
      <c r="BQ45" s="2070" t="s">
        <v>1651</v>
      </c>
      <c r="BR45" s="2074"/>
      <c r="BS45" s="2074"/>
      <c r="BT45" s="2074"/>
      <c r="BU45" s="2074"/>
      <c r="BV45" s="2074"/>
      <c r="BW45" s="2074"/>
      <c r="BX45" s="2074"/>
      <c r="BY45" s="2075"/>
      <c r="BZ45" s="2074"/>
      <c r="CA45" s="2074"/>
      <c r="CB45" s="2076"/>
      <c r="CC45" s="2074"/>
      <c r="CD45" s="2074"/>
    </row>
    <row r="46" spans="1:83">
      <c r="B46" s="1597">
        <f t="shared" si="47"/>
        <v>3.4</v>
      </c>
      <c r="C46" s="1630" t="str">
        <f t="shared" si="26"/>
        <v>照明制御</v>
      </c>
      <c r="D46" s="1716">
        <f>IF(I$34=0,0,G46/I$34)</f>
        <v>0.25</v>
      </c>
      <c r="E46" s="1691">
        <f>IF(J$34=0,0,H46/J$34)</f>
        <v>0</v>
      </c>
      <c r="G46" s="1691">
        <f t="shared" si="27"/>
        <v>0.25</v>
      </c>
      <c r="H46" s="1691">
        <f t="shared" si="28"/>
        <v>0</v>
      </c>
      <c r="I46" s="1691"/>
      <c r="J46" s="1691"/>
      <c r="K46" s="1691">
        <f>IF(スコア表示!W46=0,0,1)</f>
        <v>1</v>
      </c>
      <c r="L46" s="1691">
        <f>IF(スコア表示!AA46=0,0,1)</f>
        <v>1</v>
      </c>
      <c r="M46" s="1691">
        <f t="shared" si="29"/>
        <v>0.25</v>
      </c>
      <c r="N46" s="1691">
        <f t="shared" si="30"/>
        <v>0</v>
      </c>
      <c r="P46" s="1647">
        <f t="shared" si="31"/>
        <v>3.4</v>
      </c>
      <c r="Q46" s="1647" t="str">
        <f t="shared" si="32"/>
        <v xml:space="preserve"> Q1 3</v>
      </c>
      <c r="R46" s="1737" t="str">
        <f t="shared" si="33"/>
        <v>照明制御</v>
      </c>
      <c r="S46" s="1618">
        <f t="shared" si="34"/>
        <v>0.25</v>
      </c>
      <c r="T46" s="1618">
        <f t="shared" si="35"/>
        <v>0.25</v>
      </c>
      <c r="U46" s="1618">
        <f t="shared" si="36"/>
        <v>0.5</v>
      </c>
      <c r="V46" s="1618">
        <f t="shared" si="37"/>
        <v>0</v>
      </c>
      <c r="W46" s="1618">
        <f t="shared" si="38"/>
        <v>0.25</v>
      </c>
      <c r="X46" s="1618">
        <f t="shared" si="39"/>
        <v>0.25</v>
      </c>
      <c r="Y46" s="1618">
        <f t="shared" si="40"/>
        <v>0.25</v>
      </c>
      <c r="Z46" s="1631">
        <f t="shared" si="41"/>
        <v>0</v>
      </c>
      <c r="AA46" s="1618">
        <f t="shared" si="42"/>
        <v>0.25</v>
      </c>
      <c r="AB46" s="1618">
        <f t="shared" si="43"/>
        <v>0.25</v>
      </c>
      <c r="AC46" s="1619">
        <f t="shared" si="44"/>
        <v>0.25</v>
      </c>
      <c r="AD46" s="1618">
        <f t="shared" si="45"/>
        <v>0.25</v>
      </c>
      <c r="AE46" s="1618">
        <f t="shared" si="46"/>
        <v>0.25</v>
      </c>
      <c r="AG46" s="1647">
        <v>3.4</v>
      </c>
      <c r="AH46" s="1693" t="s">
        <v>299</v>
      </c>
      <c r="AI46" s="1737" t="s">
        <v>684</v>
      </c>
      <c r="AJ46" s="1618">
        <v>0.25</v>
      </c>
      <c r="AK46" s="1618">
        <v>0.25</v>
      </c>
      <c r="AL46" s="1618">
        <v>0.5</v>
      </c>
      <c r="AM46" s="1618"/>
      <c r="AN46" s="1618">
        <v>0.25</v>
      </c>
      <c r="AO46" s="1618">
        <v>0.25</v>
      </c>
      <c r="AP46" s="1618">
        <v>0.25</v>
      </c>
      <c r="AQ46" s="1631"/>
      <c r="AR46" s="1618">
        <v>0.25</v>
      </c>
      <c r="AS46" s="1623">
        <v>0.25</v>
      </c>
      <c r="AT46" s="1625">
        <v>0.25</v>
      </c>
      <c r="AU46" s="1623">
        <v>0.25</v>
      </c>
      <c r="AV46" s="1623">
        <v>0.25</v>
      </c>
      <c r="AX46" s="1647">
        <v>3.4</v>
      </c>
      <c r="AY46" s="1693" t="s">
        <v>299</v>
      </c>
      <c r="AZ46" s="1737" t="s">
        <v>684</v>
      </c>
      <c r="BA46" s="1623">
        <v>0.25</v>
      </c>
      <c r="BB46" s="1623">
        <v>0.25</v>
      </c>
      <c r="BC46" s="1623">
        <v>0.5</v>
      </c>
      <c r="BD46" s="1623"/>
      <c r="BE46" s="1623">
        <v>0.25</v>
      </c>
      <c r="BF46" s="1623">
        <v>0.25</v>
      </c>
      <c r="BG46" s="1623">
        <v>0.25</v>
      </c>
      <c r="BH46" s="1714"/>
      <c r="BI46" s="1623">
        <v>0.25</v>
      </c>
      <c r="BJ46" s="1623">
        <v>0.25</v>
      </c>
      <c r="BK46" s="1625">
        <v>0.25</v>
      </c>
      <c r="BL46" s="1623">
        <v>0.25</v>
      </c>
      <c r="BM46" s="1623">
        <v>0.25</v>
      </c>
      <c r="BO46" s="1647">
        <v>3.4</v>
      </c>
      <c r="BP46" s="1693" t="s">
        <v>299</v>
      </c>
      <c r="BQ46" s="1737" t="s">
        <v>684</v>
      </c>
      <c r="BR46" s="1623">
        <v>0.25</v>
      </c>
      <c r="BS46" s="1623">
        <v>0.25</v>
      </c>
      <c r="BT46" s="1623">
        <v>0.5</v>
      </c>
      <c r="BU46" s="1623"/>
      <c r="BV46" s="1623">
        <v>0.25</v>
      </c>
      <c r="BW46" s="1623">
        <v>0.25</v>
      </c>
      <c r="BX46" s="1623">
        <v>0.25</v>
      </c>
      <c r="BY46" s="1714"/>
      <c r="BZ46" s="1623">
        <v>0.25</v>
      </c>
      <c r="CA46" s="1623">
        <v>0.25</v>
      </c>
      <c r="CB46" s="1625">
        <v>0.25</v>
      </c>
      <c r="CC46" s="1623">
        <v>0.25</v>
      </c>
      <c r="CD46" s="1623">
        <v>0.25</v>
      </c>
    </row>
    <row r="47" spans="1:83" s="1605" customFormat="1">
      <c r="A47"/>
      <c r="B47" s="1597">
        <f t="shared" si="47"/>
        <v>4</v>
      </c>
      <c r="C47" s="1628" t="str">
        <f t="shared" si="26"/>
        <v>空気質環境</v>
      </c>
      <c r="D47" s="2062">
        <f>IF(I$9=0,0,G47/I$9)</f>
        <v>0.25</v>
      </c>
      <c r="E47" s="1743">
        <f>IF(J$9=0,0,H47/J$9)</f>
        <v>0</v>
      </c>
      <c r="F47"/>
      <c r="G47" s="1743">
        <f t="shared" si="27"/>
        <v>0.25</v>
      </c>
      <c r="H47" s="1743">
        <f t="shared" si="28"/>
        <v>0</v>
      </c>
      <c r="I47" s="1743">
        <f>G48+G53+G58</f>
        <v>1</v>
      </c>
      <c r="J47" s="1743">
        <f>H48+H53+H58</f>
        <v>0</v>
      </c>
      <c r="K47" s="1743">
        <f>IF(L47&gt;0,1,IF(スコア表示!W47=0,0,1))</f>
        <v>1</v>
      </c>
      <c r="L47" s="1743">
        <f>IF(スコア表示!AA47=0,0,1)</f>
        <v>0</v>
      </c>
      <c r="M47" s="1743">
        <f t="shared" si="29"/>
        <v>0.25</v>
      </c>
      <c r="N47" s="1743">
        <v>1</v>
      </c>
      <c r="O47"/>
      <c r="P47" s="1641">
        <f t="shared" si="31"/>
        <v>4</v>
      </c>
      <c r="Q47" s="1641" t="str">
        <f t="shared" si="32"/>
        <v xml:space="preserve"> Q1</v>
      </c>
      <c r="R47" s="1780" t="str">
        <f t="shared" si="33"/>
        <v>空気質環境</v>
      </c>
      <c r="S47" s="1610">
        <f t="shared" si="34"/>
        <v>0.25</v>
      </c>
      <c r="T47" s="1610">
        <f t="shared" si="35"/>
        <v>0.25</v>
      </c>
      <c r="U47" s="1610">
        <f t="shared" si="36"/>
        <v>0.25</v>
      </c>
      <c r="V47" s="1610">
        <f t="shared" si="37"/>
        <v>0.25</v>
      </c>
      <c r="W47" s="1610">
        <f t="shared" si="38"/>
        <v>0.25</v>
      </c>
      <c r="X47" s="1610">
        <f t="shared" si="39"/>
        <v>0.25</v>
      </c>
      <c r="Y47" s="1610">
        <f t="shared" si="40"/>
        <v>0.25</v>
      </c>
      <c r="Z47" s="1629">
        <f t="shared" si="41"/>
        <v>0.33</v>
      </c>
      <c r="AA47" s="1610">
        <f t="shared" si="42"/>
        <v>0.25</v>
      </c>
      <c r="AB47" s="1610">
        <f t="shared" si="43"/>
        <v>0.25</v>
      </c>
      <c r="AC47" s="1659">
        <f t="shared" si="44"/>
        <v>0</v>
      </c>
      <c r="AD47" s="1610">
        <f t="shared" si="45"/>
        <v>0</v>
      </c>
      <c r="AE47" s="1610">
        <f t="shared" si="46"/>
        <v>0</v>
      </c>
      <c r="AF47"/>
      <c r="AG47" s="1641">
        <v>4</v>
      </c>
      <c r="AH47" s="1744" t="s">
        <v>277</v>
      </c>
      <c r="AI47" s="1787" t="s">
        <v>1193</v>
      </c>
      <c r="AJ47" s="1634">
        <v>0.25</v>
      </c>
      <c r="AK47" s="1634">
        <v>0.25</v>
      </c>
      <c r="AL47" s="1634">
        <v>0.25</v>
      </c>
      <c r="AM47" s="1634">
        <v>0.25</v>
      </c>
      <c r="AN47" s="1634">
        <v>0.25</v>
      </c>
      <c r="AO47" s="1634">
        <v>0.25</v>
      </c>
      <c r="AP47" s="1634">
        <v>0.25</v>
      </c>
      <c r="AQ47" s="1635">
        <v>0.33</v>
      </c>
      <c r="AR47" s="1634">
        <v>0.25</v>
      </c>
      <c r="AS47" s="1711">
        <v>0.25</v>
      </c>
      <c r="AT47" s="2063"/>
      <c r="AU47" s="1711"/>
      <c r="AV47" s="1711"/>
      <c r="AW47"/>
      <c r="AX47" s="1641">
        <v>4</v>
      </c>
      <c r="AY47" s="1744" t="s">
        <v>277</v>
      </c>
      <c r="AZ47" s="1787" t="s">
        <v>1193</v>
      </c>
      <c r="BA47" s="1634">
        <v>0.25</v>
      </c>
      <c r="BB47" s="1634">
        <v>0.25</v>
      </c>
      <c r="BC47" s="1634">
        <v>0.25</v>
      </c>
      <c r="BD47" s="1634">
        <v>0.25</v>
      </c>
      <c r="BE47" s="1634">
        <v>0.25</v>
      </c>
      <c r="BF47" s="1634">
        <v>0.25</v>
      </c>
      <c r="BG47" s="1634">
        <v>0.25</v>
      </c>
      <c r="BH47" s="1635">
        <v>0.33</v>
      </c>
      <c r="BI47" s="1634">
        <v>0.25</v>
      </c>
      <c r="BJ47" s="1634">
        <v>0.25</v>
      </c>
      <c r="BK47" s="2077"/>
      <c r="BL47" s="1634"/>
      <c r="BM47" s="1634"/>
      <c r="BN47"/>
      <c r="BO47" s="1641">
        <v>4</v>
      </c>
      <c r="BP47" s="1744" t="s">
        <v>277</v>
      </c>
      <c r="BQ47" s="1787" t="s">
        <v>1193</v>
      </c>
      <c r="BR47" s="1634">
        <v>0.25</v>
      </c>
      <c r="BS47" s="1634">
        <v>0.25</v>
      </c>
      <c r="BT47" s="1634">
        <v>0.25</v>
      </c>
      <c r="BU47" s="1634">
        <v>0.25</v>
      </c>
      <c r="BV47" s="1634">
        <v>0.25</v>
      </c>
      <c r="BW47" s="1634">
        <v>0.25</v>
      </c>
      <c r="BX47" s="1634">
        <v>0.25</v>
      </c>
      <c r="BY47" s="1635">
        <v>0.33</v>
      </c>
      <c r="BZ47" s="1634">
        <v>0.25</v>
      </c>
      <c r="CA47" s="1634">
        <v>0.25</v>
      </c>
      <c r="CB47" s="2077"/>
      <c r="CC47" s="1634"/>
      <c r="CD47" s="1634"/>
      <c r="CE47"/>
    </row>
    <row r="48" spans="1:83">
      <c r="B48" s="1597">
        <f t="shared" si="47"/>
        <v>4.0999999999999996</v>
      </c>
      <c r="C48" s="1630" t="str">
        <f t="shared" si="26"/>
        <v>発生源対策</v>
      </c>
      <c r="D48" s="1716">
        <f>IF(I$47=0,0,G48/I$47)</f>
        <v>0.5</v>
      </c>
      <c r="E48" s="1691">
        <f>IF(J$47=0,0,H48/J$47)</f>
        <v>0</v>
      </c>
      <c r="G48" s="1691">
        <f t="shared" si="27"/>
        <v>0.5</v>
      </c>
      <c r="H48" s="1691">
        <f t="shared" si="28"/>
        <v>0</v>
      </c>
      <c r="I48" s="1691">
        <f>SUM(G49:G52)</f>
        <v>0.5</v>
      </c>
      <c r="J48" s="1691">
        <f>SUM(H49:H52)</f>
        <v>0</v>
      </c>
      <c r="K48" s="1691">
        <f>IF(スコア表示!W48=0,0,1)</f>
        <v>1</v>
      </c>
      <c r="L48" s="1691">
        <f>IF(スコア表示!AA48=0,0,1)</f>
        <v>0</v>
      </c>
      <c r="M48" s="1691">
        <f t="shared" si="29"/>
        <v>0.5</v>
      </c>
      <c r="N48" s="1691">
        <f t="shared" si="30"/>
        <v>0</v>
      </c>
      <c r="P48" s="1647">
        <f t="shared" si="31"/>
        <v>4.0999999999999996</v>
      </c>
      <c r="Q48" s="1647" t="str">
        <f t="shared" si="32"/>
        <v xml:space="preserve"> Q1 4</v>
      </c>
      <c r="R48" s="1737" t="str">
        <f t="shared" si="33"/>
        <v>発生源対策</v>
      </c>
      <c r="S48" s="1618">
        <f t="shared" si="34"/>
        <v>0.5</v>
      </c>
      <c r="T48" s="1618">
        <f t="shared" si="35"/>
        <v>0.5</v>
      </c>
      <c r="U48" s="1618">
        <f t="shared" si="36"/>
        <v>0.5</v>
      </c>
      <c r="V48" s="1618">
        <f t="shared" si="37"/>
        <v>0.5</v>
      </c>
      <c r="W48" s="1618">
        <f t="shared" si="38"/>
        <v>0.5</v>
      </c>
      <c r="X48" s="1618">
        <f t="shared" si="39"/>
        <v>0.5</v>
      </c>
      <c r="Y48" s="1618">
        <f t="shared" si="40"/>
        <v>0.6</v>
      </c>
      <c r="Z48" s="1626">
        <f t="shared" si="41"/>
        <v>0.5</v>
      </c>
      <c r="AA48" s="1618">
        <f t="shared" si="42"/>
        <v>0.5</v>
      </c>
      <c r="AB48" s="1618">
        <f t="shared" si="43"/>
        <v>0.5</v>
      </c>
      <c r="AC48" s="1619">
        <f t="shared" si="44"/>
        <v>0.625</v>
      </c>
      <c r="AD48" s="1618">
        <f t="shared" si="45"/>
        <v>0.625</v>
      </c>
      <c r="AE48" s="1618">
        <f t="shared" si="46"/>
        <v>0.625</v>
      </c>
      <c r="AG48" s="1647">
        <v>4.0999999999999996</v>
      </c>
      <c r="AH48" s="1693" t="s">
        <v>308</v>
      </c>
      <c r="AI48" s="1737" t="s">
        <v>686</v>
      </c>
      <c r="AJ48" s="1636">
        <v>0.5</v>
      </c>
      <c r="AK48" s="1636">
        <v>0.5</v>
      </c>
      <c r="AL48" s="1636">
        <v>0.5</v>
      </c>
      <c r="AM48" s="1636">
        <v>0.5</v>
      </c>
      <c r="AN48" s="1636">
        <v>0.5</v>
      </c>
      <c r="AO48" s="1636">
        <v>0.5</v>
      </c>
      <c r="AP48" s="1636">
        <v>0.6</v>
      </c>
      <c r="AQ48" s="1637">
        <v>0.5</v>
      </c>
      <c r="AR48" s="1636">
        <v>0.5</v>
      </c>
      <c r="AS48" s="1623">
        <v>0.5</v>
      </c>
      <c r="AT48" s="1625">
        <v>0.625</v>
      </c>
      <c r="AU48" s="1623">
        <v>0.625</v>
      </c>
      <c r="AV48" s="1623">
        <v>0.625</v>
      </c>
      <c r="AX48" s="1647">
        <v>4.0999999999999996</v>
      </c>
      <c r="AY48" s="1693" t="s">
        <v>308</v>
      </c>
      <c r="AZ48" s="1737" t="s">
        <v>686</v>
      </c>
      <c r="BA48" s="1636">
        <v>0.5</v>
      </c>
      <c r="BB48" s="1636">
        <v>0.5</v>
      </c>
      <c r="BC48" s="1636">
        <v>0.5</v>
      </c>
      <c r="BD48" s="1636">
        <v>0.5</v>
      </c>
      <c r="BE48" s="1636">
        <v>0.5</v>
      </c>
      <c r="BF48" s="1636">
        <v>0.5</v>
      </c>
      <c r="BG48" s="1636">
        <v>0.6</v>
      </c>
      <c r="BH48" s="1637">
        <v>0.5</v>
      </c>
      <c r="BI48" s="1636">
        <v>0.5</v>
      </c>
      <c r="BJ48" s="1636">
        <v>0.5</v>
      </c>
      <c r="BK48" s="1638">
        <v>0.625</v>
      </c>
      <c r="BL48" s="1636">
        <v>0.625</v>
      </c>
      <c r="BM48" s="1636">
        <v>0.625</v>
      </c>
      <c r="BO48" s="1647">
        <v>4.0999999999999996</v>
      </c>
      <c r="BP48" s="1693" t="s">
        <v>308</v>
      </c>
      <c r="BQ48" s="1737" t="s">
        <v>686</v>
      </c>
      <c r="BR48" s="1636">
        <v>0.5</v>
      </c>
      <c r="BS48" s="1636">
        <v>0.5</v>
      </c>
      <c r="BT48" s="1636">
        <v>0.5</v>
      </c>
      <c r="BU48" s="1636">
        <v>0.5</v>
      </c>
      <c r="BV48" s="1636">
        <v>0.5</v>
      </c>
      <c r="BW48" s="1636">
        <v>0.5</v>
      </c>
      <c r="BX48" s="1636">
        <v>0.6</v>
      </c>
      <c r="BY48" s="1637">
        <v>0.5</v>
      </c>
      <c r="BZ48" s="1636">
        <v>0.5</v>
      </c>
      <c r="CA48" s="1636">
        <v>0.5</v>
      </c>
      <c r="CB48" s="1638">
        <v>0.625</v>
      </c>
      <c r="CC48" s="1636">
        <v>0.625</v>
      </c>
      <c r="CD48" s="1636">
        <v>0.625</v>
      </c>
    </row>
    <row r="49" spans="1:83">
      <c r="B49" s="1597" t="str">
        <f t="shared" si="47"/>
        <v>4.1.1</v>
      </c>
      <c r="C49" s="1614" t="str">
        <f t="shared" si="26"/>
        <v xml:space="preserve"> 化学汚染物質</v>
      </c>
      <c r="D49" s="1721">
        <f t="shared" ref="D49:E52" si="48">IF(I$48&gt;0,G49/I$48,0)</f>
        <v>0.5</v>
      </c>
      <c r="E49" s="1691">
        <f t="shared" si="48"/>
        <v>0</v>
      </c>
      <c r="G49" s="1691">
        <f t="shared" si="27"/>
        <v>0.25</v>
      </c>
      <c r="H49" s="1691">
        <f t="shared" si="28"/>
        <v>0</v>
      </c>
      <c r="I49" s="1691"/>
      <c r="J49" s="1691"/>
      <c r="K49" s="1691">
        <f>IF(スコア表示!W49=0,0,1)</f>
        <v>1</v>
      </c>
      <c r="L49" s="1691">
        <f>IF(スコア表示!AA49=0,0,1)</f>
        <v>1</v>
      </c>
      <c r="M49" s="1691">
        <f t="shared" si="29"/>
        <v>0.25</v>
      </c>
      <c r="N49" s="1691">
        <f t="shared" si="30"/>
        <v>0</v>
      </c>
      <c r="P49" s="1647" t="str">
        <f t="shared" si="31"/>
        <v>4.1.1</v>
      </c>
      <c r="Q49" s="1647" t="str">
        <f t="shared" si="32"/>
        <v xml:space="preserve"> Q1 4.1</v>
      </c>
      <c r="R49" s="1737" t="str">
        <f t="shared" si="33"/>
        <v xml:space="preserve"> 化学汚染物質</v>
      </c>
      <c r="S49" s="1618">
        <f t="shared" si="34"/>
        <v>0.25</v>
      </c>
      <c r="T49" s="1618">
        <f t="shared" si="35"/>
        <v>0.25</v>
      </c>
      <c r="U49" s="1618">
        <f t="shared" si="36"/>
        <v>0.25</v>
      </c>
      <c r="V49" s="1618">
        <f t="shared" si="37"/>
        <v>0.25</v>
      </c>
      <c r="W49" s="1618">
        <f t="shared" si="38"/>
        <v>0.25</v>
      </c>
      <c r="X49" s="1618">
        <f t="shared" si="39"/>
        <v>0.33</v>
      </c>
      <c r="Y49" s="1618">
        <f t="shared" si="40"/>
        <v>0.33</v>
      </c>
      <c r="Z49" s="1626">
        <f t="shared" si="41"/>
        <v>0.25</v>
      </c>
      <c r="AA49" s="1618">
        <f t="shared" si="42"/>
        <v>0.25</v>
      </c>
      <c r="AB49" s="1618">
        <f t="shared" si="43"/>
        <v>0.25</v>
      </c>
      <c r="AC49" s="1619">
        <f t="shared" si="44"/>
        <v>0.25</v>
      </c>
      <c r="AD49" s="1618">
        <f t="shared" si="45"/>
        <v>0.25</v>
      </c>
      <c r="AE49" s="1618">
        <f t="shared" si="46"/>
        <v>0.25</v>
      </c>
      <c r="AG49" s="1647" t="s">
        <v>1703</v>
      </c>
      <c r="AH49" s="1693" t="s">
        <v>309</v>
      </c>
      <c r="AI49" s="2064" t="s">
        <v>310</v>
      </c>
      <c r="AJ49" s="1636">
        <v>0.25</v>
      </c>
      <c r="AK49" s="1636">
        <v>0.25</v>
      </c>
      <c r="AL49" s="1636">
        <v>0.25</v>
      </c>
      <c r="AM49" s="1636">
        <v>0.25</v>
      </c>
      <c r="AN49" s="1639">
        <v>0.25</v>
      </c>
      <c r="AO49" s="1639">
        <v>0.33</v>
      </c>
      <c r="AP49" s="1639">
        <v>0.33</v>
      </c>
      <c r="AQ49" s="1637">
        <v>0.25</v>
      </c>
      <c r="AR49" s="1636">
        <v>0.25</v>
      </c>
      <c r="AS49" s="1623">
        <v>0.25</v>
      </c>
      <c r="AT49" s="1625">
        <v>0.25</v>
      </c>
      <c r="AU49" s="1623">
        <v>0.25</v>
      </c>
      <c r="AV49" s="1623">
        <v>0.25</v>
      </c>
      <c r="AX49" s="1647" t="s">
        <v>1501</v>
      </c>
      <c r="AY49" s="1693" t="s">
        <v>309</v>
      </c>
      <c r="AZ49" s="2064" t="s">
        <v>310</v>
      </c>
      <c r="BA49" s="1636">
        <v>0.33333333333333331</v>
      </c>
      <c r="BB49" s="1636">
        <v>0.33333333333333331</v>
      </c>
      <c r="BC49" s="1636">
        <v>0.33333333333333331</v>
      </c>
      <c r="BD49" s="1636">
        <v>0.33333333333333331</v>
      </c>
      <c r="BE49" s="1636">
        <v>0.33333333333333331</v>
      </c>
      <c r="BF49" s="1636">
        <v>0.5</v>
      </c>
      <c r="BG49" s="1636">
        <v>0.5</v>
      </c>
      <c r="BH49" s="1636">
        <v>0.33333333333333331</v>
      </c>
      <c r="BI49" s="1636">
        <v>0.33333333333333331</v>
      </c>
      <c r="BJ49" s="1636">
        <v>0.33333333333333331</v>
      </c>
      <c r="BK49" s="1636">
        <v>0.33333333333333331</v>
      </c>
      <c r="BL49" s="1636">
        <v>0.33333333333333331</v>
      </c>
      <c r="BM49" s="1636">
        <v>0.33333333333333331</v>
      </c>
      <c r="BO49" s="1647" t="s">
        <v>1652</v>
      </c>
      <c r="BP49" s="1693" t="s">
        <v>309</v>
      </c>
      <c r="BQ49" s="2064" t="s">
        <v>310</v>
      </c>
      <c r="BR49" s="1636">
        <v>0.33333333333333331</v>
      </c>
      <c r="BS49" s="1636">
        <v>0.33333333333333331</v>
      </c>
      <c r="BT49" s="1636">
        <v>0.33333333333333331</v>
      </c>
      <c r="BU49" s="1636">
        <v>0.33333333333333331</v>
      </c>
      <c r="BV49" s="1636">
        <v>0.33333333333333331</v>
      </c>
      <c r="BW49" s="1636">
        <v>0.5</v>
      </c>
      <c r="BX49" s="1636">
        <v>0.5</v>
      </c>
      <c r="BY49" s="1636">
        <v>0.33333333333333331</v>
      </c>
      <c r="BZ49" s="1636">
        <v>0.33333333333333331</v>
      </c>
      <c r="CA49" s="1636">
        <v>0.33333333333333331</v>
      </c>
      <c r="CB49" s="1636">
        <v>0.33333333333333331</v>
      </c>
      <c r="CC49" s="1636">
        <v>0.33333333333333331</v>
      </c>
      <c r="CD49" s="1636">
        <v>0.33333333333333331</v>
      </c>
    </row>
    <row r="50" spans="1:83">
      <c r="B50" s="1597" t="str">
        <f t="shared" si="47"/>
        <v>4.1.2</v>
      </c>
      <c r="C50" s="1614" t="str">
        <f t="shared" si="26"/>
        <v xml:space="preserve"> アスベスト対策</v>
      </c>
      <c r="D50" s="1721">
        <f t="shared" si="48"/>
        <v>0.5</v>
      </c>
      <c r="E50" s="1691">
        <f t="shared" si="48"/>
        <v>0</v>
      </c>
      <c r="G50" s="1691">
        <f t="shared" si="27"/>
        <v>0.25</v>
      </c>
      <c r="H50" s="1691">
        <f t="shared" si="28"/>
        <v>0</v>
      </c>
      <c r="I50" s="1691"/>
      <c r="J50" s="1691"/>
      <c r="K50" s="1691">
        <f>IF(スコア表示!W50=0,0,1)</f>
        <v>1</v>
      </c>
      <c r="L50" s="1691">
        <f>IF(スコア表示!AA50=0,0,1)</f>
        <v>1</v>
      </c>
      <c r="M50" s="1691">
        <f t="shared" si="29"/>
        <v>0.25</v>
      </c>
      <c r="N50" s="1691">
        <f t="shared" si="30"/>
        <v>0</v>
      </c>
      <c r="P50" s="1647" t="str">
        <f t="shared" si="31"/>
        <v>4.1.2</v>
      </c>
      <c r="Q50" s="1647" t="str">
        <f t="shared" si="32"/>
        <v xml:space="preserve"> Q1 4.1</v>
      </c>
      <c r="R50" s="1737" t="str">
        <f t="shared" si="33"/>
        <v xml:space="preserve"> アスベスト対策</v>
      </c>
      <c r="S50" s="1618">
        <f t="shared" si="34"/>
        <v>0.25</v>
      </c>
      <c r="T50" s="1618">
        <f t="shared" si="35"/>
        <v>0.25</v>
      </c>
      <c r="U50" s="1618">
        <f t="shared" si="36"/>
        <v>0.25</v>
      </c>
      <c r="V50" s="1618">
        <f t="shared" si="37"/>
        <v>0.25</v>
      </c>
      <c r="W50" s="1618">
        <f t="shared" si="38"/>
        <v>0.25</v>
      </c>
      <c r="X50" s="1618">
        <f t="shared" si="39"/>
        <v>0.33</v>
      </c>
      <c r="Y50" s="1618">
        <f t="shared" si="40"/>
        <v>0.33</v>
      </c>
      <c r="Z50" s="1631">
        <f t="shared" si="41"/>
        <v>0.25</v>
      </c>
      <c r="AA50" s="1618">
        <f t="shared" si="42"/>
        <v>0.25</v>
      </c>
      <c r="AB50" s="1618">
        <f t="shared" si="43"/>
        <v>0.25</v>
      </c>
      <c r="AC50" s="1619">
        <f t="shared" si="44"/>
        <v>0.25</v>
      </c>
      <c r="AD50" s="1618">
        <f t="shared" si="45"/>
        <v>0.25</v>
      </c>
      <c r="AE50" s="1618">
        <f t="shared" si="46"/>
        <v>0.25</v>
      </c>
      <c r="AG50" s="1647" t="s">
        <v>1704</v>
      </c>
      <c r="AH50" s="1693" t="s">
        <v>309</v>
      </c>
      <c r="AI50" s="2064" t="s">
        <v>1705</v>
      </c>
      <c r="AJ50" s="1636">
        <v>0.25</v>
      </c>
      <c r="AK50" s="1636">
        <v>0.25</v>
      </c>
      <c r="AL50" s="1636">
        <v>0.25</v>
      </c>
      <c r="AM50" s="1636">
        <v>0.25</v>
      </c>
      <c r="AN50" s="1639">
        <v>0.25</v>
      </c>
      <c r="AO50" s="1639">
        <v>0.33</v>
      </c>
      <c r="AP50" s="1639">
        <v>0.33</v>
      </c>
      <c r="AQ50" s="1637">
        <v>0.25</v>
      </c>
      <c r="AR50" s="1636">
        <v>0.25</v>
      </c>
      <c r="AS50" s="1623">
        <v>0.25</v>
      </c>
      <c r="AT50" s="1625">
        <v>0.25</v>
      </c>
      <c r="AU50" s="1623">
        <v>0.25</v>
      </c>
      <c r="AV50" s="1623">
        <v>0.25</v>
      </c>
      <c r="AX50" s="2067" t="s">
        <v>1502</v>
      </c>
      <c r="AY50" s="2069" t="s">
        <v>309</v>
      </c>
      <c r="AZ50" s="2070" t="s">
        <v>1503</v>
      </c>
      <c r="BA50" s="2074"/>
      <c r="BB50" s="2074"/>
      <c r="BC50" s="2074"/>
      <c r="BD50" s="2074"/>
      <c r="BE50" s="2074"/>
      <c r="BF50" s="2074"/>
      <c r="BG50" s="2074"/>
      <c r="BH50" s="2075"/>
      <c r="BI50" s="2074"/>
      <c r="BJ50" s="2074"/>
      <c r="BK50" s="2076"/>
      <c r="BL50" s="2074"/>
      <c r="BM50" s="2074"/>
      <c r="BO50" s="2067" t="s">
        <v>1653</v>
      </c>
      <c r="BP50" s="2069" t="s">
        <v>309</v>
      </c>
      <c r="BQ50" s="2070" t="s">
        <v>1654</v>
      </c>
      <c r="BR50" s="2074"/>
      <c r="BS50" s="2074"/>
      <c r="BT50" s="2074"/>
      <c r="BU50" s="2074"/>
      <c r="BV50" s="2074"/>
      <c r="BW50" s="2074"/>
      <c r="BX50" s="2074"/>
      <c r="BY50" s="2075"/>
      <c r="BZ50" s="2074"/>
      <c r="CA50" s="2074"/>
      <c r="CB50" s="2076"/>
      <c r="CC50" s="2074"/>
      <c r="CD50" s="2074"/>
    </row>
    <row r="51" spans="1:83" hidden="1">
      <c r="B51" s="1597" t="str">
        <f t="shared" si="47"/>
        <v>4.1.3</v>
      </c>
      <c r="C51" s="1650" t="str">
        <f t="shared" si="26"/>
        <v xml:space="preserve"> ダニ・カビ等</v>
      </c>
      <c r="D51" s="1721">
        <f t="shared" si="48"/>
        <v>0</v>
      </c>
      <c r="E51" s="1691">
        <f t="shared" si="48"/>
        <v>0</v>
      </c>
      <c r="G51" s="1691">
        <f t="shared" si="27"/>
        <v>0</v>
      </c>
      <c r="H51" s="1691">
        <f t="shared" si="28"/>
        <v>0</v>
      </c>
      <c r="I51" s="1691"/>
      <c r="J51" s="1691"/>
      <c r="K51" s="1691">
        <f>IF(スコア表示!W51=0,0,1)</f>
        <v>0</v>
      </c>
      <c r="L51" s="1691">
        <f>IF(スコア表示!AA51=0,0,1)</f>
        <v>0</v>
      </c>
      <c r="M51" s="1691">
        <f t="shared" si="29"/>
        <v>0.25</v>
      </c>
      <c r="N51" s="1691">
        <f t="shared" si="30"/>
        <v>0</v>
      </c>
      <c r="P51" s="1647" t="str">
        <f t="shared" si="31"/>
        <v>4.1.3</v>
      </c>
      <c r="Q51" s="1647" t="str">
        <f t="shared" si="32"/>
        <v xml:space="preserve"> Q1 4.1</v>
      </c>
      <c r="R51" s="1737" t="str">
        <f t="shared" si="33"/>
        <v xml:space="preserve"> ダニ・カビ等</v>
      </c>
      <c r="S51" s="1618">
        <f t="shared" si="34"/>
        <v>0.25</v>
      </c>
      <c r="T51" s="1618">
        <f t="shared" si="35"/>
        <v>0.25</v>
      </c>
      <c r="U51" s="1618">
        <f t="shared" si="36"/>
        <v>0.25</v>
      </c>
      <c r="V51" s="1618">
        <f t="shared" si="37"/>
        <v>0.25</v>
      </c>
      <c r="W51" s="1618">
        <f t="shared" si="38"/>
        <v>0.25</v>
      </c>
      <c r="X51" s="1618">
        <f t="shared" si="39"/>
        <v>0.33</v>
      </c>
      <c r="Y51" s="1618">
        <f t="shared" si="40"/>
        <v>0.33</v>
      </c>
      <c r="Z51" s="1626">
        <f t="shared" si="41"/>
        <v>0.25</v>
      </c>
      <c r="AA51" s="1618">
        <f t="shared" si="42"/>
        <v>0.25</v>
      </c>
      <c r="AB51" s="1618">
        <f t="shared" si="43"/>
        <v>0.25</v>
      </c>
      <c r="AC51" s="1619">
        <f t="shared" si="44"/>
        <v>0.25</v>
      </c>
      <c r="AD51" s="1618">
        <f t="shared" si="45"/>
        <v>0.25</v>
      </c>
      <c r="AE51" s="1618">
        <f t="shared" si="46"/>
        <v>0.25</v>
      </c>
      <c r="AG51" s="1647" t="s">
        <v>1706</v>
      </c>
      <c r="AH51" s="1693" t="s">
        <v>309</v>
      </c>
      <c r="AI51" s="2064" t="s">
        <v>944</v>
      </c>
      <c r="AJ51" s="2074">
        <v>0.25</v>
      </c>
      <c r="AK51" s="2074">
        <v>0.25</v>
      </c>
      <c r="AL51" s="2074">
        <v>0.25</v>
      </c>
      <c r="AM51" s="2074">
        <v>0.25</v>
      </c>
      <c r="AN51" s="2078">
        <v>0.25</v>
      </c>
      <c r="AO51" s="2078">
        <v>0.33</v>
      </c>
      <c r="AP51" s="2078">
        <v>0.33</v>
      </c>
      <c r="AQ51" s="2075">
        <v>0.25</v>
      </c>
      <c r="AR51" s="2074">
        <v>0.25</v>
      </c>
      <c r="AS51" s="1623">
        <v>0.25</v>
      </c>
      <c r="AT51" s="1625">
        <v>0.25</v>
      </c>
      <c r="AU51" s="1623">
        <v>0.25</v>
      </c>
      <c r="AV51" s="1623">
        <v>0.25</v>
      </c>
      <c r="AX51" s="1647" t="s">
        <v>1504</v>
      </c>
      <c r="AY51" s="1693" t="s">
        <v>309</v>
      </c>
      <c r="AZ51" s="2064" t="s">
        <v>944</v>
      </c>
      <c r="BA51" s="1636">
        <v>0.33333333333333331</v>
      </c>
      <c r="BB51" s="1636">
        <v>0.33333333333333331</v>
      </c>
      <c r="BC51" s="1636">
        <v>0.33333333333333331</v>
      </c>
      <c r="BD51" s="1636">
        <v>0.33333333333333331</v>
      </c>
      <c r="BE51" s="1636">
        <v>0.33333333333333331</v>
      </c>
      <c r="BF51" s="1636">
        <v>0.5</v>
      </c>
      <c r="BG51" s="1636">
        <v>0.5</v>
      </c>
      <c r="BH51" s="1636">
        <v>0.33333333333333331</v>
      </c>
      <c r="BI51" s="1636">
        <v>0.33333333333333331</v>
      </c>
      <c r="BJ51" s="1636">
        <v>0.33333333333333331</v>
      </c>
      <c r="BK51" s="1636">
        <v>0.33333333333333331</v>
      </c>
      <c r="BL51" s="1636">
        <v>0.33333333333333331</v>
      </c>
      <c r="BM51" s="1636">
        <v>0.33333333333333331</v>
      </c>
      <c r="BO51" s="1647" t="s">
        <v>1655</v>
      </c>
      <c r="BP51" s="1693" t="s">
        <v>309</v>
      </c>
      <c r="BQ51" s="2064" t="s">
        <v>944</v>
      </c>
      <c r="BR51" s="1636">
        <v>0.33333333333333331</v>
      </c>
      <c r="BS51" s="1636">
        <v>0.33333333333333331</v>
      </c>
      <c r="BT51" s="1636">
        <v>0.33333333333333331</v>
      </c>
      <c r="BU51" s="1636">
        <v>0.33333333333333331</v>
      </c>
      <c r="BV51" s="1636">
        <v>0.33333333333333331</v>
      </c>
      <c r="BW51" s="1636">
        <v>0.5</v>
      </c>
      <c r="BX51" s="1636">
        <v>0.5</v>
      </c>
      <c r="BY51" s="1636">
        <v>0.33333333333333331</v>
      </c>
      <c r="BZ51" s="1636">
        <v>0.33333333333333331</v>
      </c>
      <c r="CA51" s="1636">
        <v>0.33333333333333331</v>
      </c>
      <c r="CB51" s="1636">
        <v>0.33333333333333331</v>
      </c>
      <c r="CC51" s="1636">
        <v>0.33333333333333331</v>
      </c>
      <c r="CD51" s="1636">
        <v>0.33333333333333331</v>
      </c>
    </row>
    <row r="52" spans="1:83" hidden="1">
      <c r="B52" s="1597" t="str">
        <f t="shared" si="47"/>
        <v>4.1.4</v>
      </c>
      <c r="C52" s="1650" t="str">
        <f t="shared" si="26"/>
        <v xml:space="preserve"> レジオネラ対策</v>
      </c>
      <c r="D52" s="1721">
        <f t="shared" si="48"/>
        <v>0</v>
      </c>
      <c r="E52" s="1691">
        <f t="shared" si="48"/>
        <v>0</v>
      </c>
      <c r="G52" s="1691">
        <f t="shared" si="27"/>
        <v>0</v>
      </c>
      <c r="H52" s="1691">
        <f t="shared" si="28"/>
        <v>0</v>
      </c>
      <c r="I52" s="1691"/>
      <c r="J52" s="1691"/>
      <c r="K52" s="1691">
        <f>IF(スコア表示!W52=0,0,1)</f>
        <v>0</v>
      </c>
      <c r="L52" s="1691">
        <f>IF(スコア表示!AA52=0,0,1)</f>
        <v>1</v>
      </c>
      <c r="M52" s="1691">
        <f t="shared" si="29"/>
        <v>0.25</v>
      </c>
      <c r="N52" s="1691">
        <f t="shared" si="30"/>
        <v>0</v>
      </c>
      <c r="P52" s="1647" t="str">
        <f t="shared" si="31"/>
        <v>4.1.4</v>
      </c>
      <c r="Q52" s="1647" t="str">
        <f t="shared" si="32"/>
        <v xml:space="preserve"> Q1 4.1</v>
      </c>
      <c r="R52" s="1737" t="str">
        <f t="shared" si="33"/>
        <v xml:space="preserve"> レジオネラ対策</v>
      </c>
      <c r="S52" s="1618">
        <f t="shared" si="34"/>
        <v>0.25</v>
      </c>
      <c r="T52" s="1618">
        <f t="shared" si="35"/>
        <v>0.25</v>
      </c>
      <c r="U52" s="1618">
        <f t="shared" si="36"/>
        <v>0.25</v>
      </c>
      <c r="V52" s="1618">
        <f t="shared" si="37"/>
        <v>0.25</v>
      </c>
      <c r="W52" s="1618">
        <f t="shared" si="38"/>
        <v>0.25</v>
      </c>
      <c r="X52" s="1618">
        <f t="shared" si="39"/>
        <v>0</v>
      </c>
      <c r="Y52" s="1618">
        <f t="shared" si="40"/>
        <v>0</v>
      </c>
      <c r="Z52" s="1626">
        <f t="shared" si="41"/>
        <v>0.25</v>
      </c>
      <c r="AA52" s="1618">
        <f t="shared" si="42"/>
        <v>0.25</v>
      </c>
      <c r="AB52" s="1618">
        <f t="shared" si="43"/>
        <v>0.25</v>
      </c>
      <c r="AC52" s="1619">
        <f t="shared" si="44"/>
        <v>0.25</v>
      </c>
      <c r="AD52" s="1618">
        <f t="shared" si="45"/>
        <v>0.25</v>
      </c>
      <c r="AE52" s="1618">
        <f t="shared" si="46"/>
        <v>0.25</v>
      </c>
      <c r="AG52" s="1647" t="s">
        <v>1707</v>
      </c>
      <c r="AH52" s="1693" t="s">
        <v>309</v>
      </c>
      <c r="AI52" s="2064" t="s">
        <v>312</v>
      </c>
      <c r="AJ52" s="1636">
        <v>0.25</v>
      </c>
      <c r="AK52" s="1636">
        <v>0.25</v>
      </c>
      <c r="AL52" s="1636">
        <v>0.25</v>
      </c>
      <c r="AM52" s="1636">
        <v>0.25</v>
      </c>
      <c r="AN52" s="1636">
        <v>0.25</v>
      </c>
      <c r="AO52" s="1636"/>
      <c r="AP52" s="1636"/>
      <c r="AQ52" s="1637">
        <v>0.25</v>
      </c>
      <c r="AR52" s="1636">
        <v>0.25</v>
      </c>
      <c r="AS52" s="1623">
        <v>0.25</v>
      </c>
      <c r="AT52" s="1625">
        <v>0.25</v>
      </c>
      <c r="AU52" s="1623">
        <v>0.25</v>
      </c>
      <c r="AV52" s="1623">
        <v>0.25</v>
      </c>
      <c r="AX52" s="1647" t="s">
        <v>1505</v>
      </c>
      <c r="AY52" s="1693" t="s">
        <v>309</v>
      </c>
      <c r="AZ52" s="2064" t="s">
        <v>312</v>
      </c>
      <c r="BA52" s="1636">
        <v>0.33333333333333331</v>
      </c>
      <c r="BB52" s="1636">
        <v>0.33333333333333331</v>
      </c>
      <c r="BC52" s="1636">
        <v>0.33333333333333331</v>
      </c>
      <c r="BD52" s="1636">
        <v>0.33333333333333331</v>
      </c>
      <c r="BE52" s="1636">
        <v>0.33333333333333331</v>
      </c>
      <c r="BF52" s="1636"/>
      <c r="BG52" s="1636"/>
      <c r="BH52" s="1636">
        <v>0.33333333333333331</v>
      </c>
      <c r="BI52" s="1636">
        <v>0.33333333333333331</v>
      </c>
      <c r="BJ52" s="1636">
        <v>0.33333333333333331</v>
      </c>
      <c r="BK52" s="1636">
        <v>0.33333333333333331</v>
      </c>
      <c r="BL52" s="1636">
        <v>0.33333333333333331</v>
      </c>
      <c r="BM52" s="1636">
        <v>0.33333333333333331</v>
      </c>
      <c r="BO52" s="1647" t="s">
        <v>1656</v>
      </c>
      <c r="BP52" s="1693" t="s">
        <v>309</v>
      </c>
      <c r="BQ52" s="2064" t="s">
        <v>312</v>
      </c>
      <c r="BR52" s="1636">
        <v>0.33333333333333331</v>
      </c>
      <c r="BS52" s="1636">
        <v>0.33333333333333331</v>
      </c>
      <c r="BT52" s="1636">
        <v>0.33333333333333331</v>
      </c>
      <c r="BU52" s="1636">
        <v>0.33333333333333331</v>
      </c>
      <c r="BV52" s="1636">
        <v>0.33333333333333331</v>
      </c>
      <c r="BW52" s="1636"/>
      <c r="BX52" s="1636"/>
      <c r="BY52" s="1636">
        <v>0.33333333333333331</v>
      </c>
      <c r="BZ52" s="1636">
        <v>0.33333333333333331</v>
      </c>
      <c r="CA52" s="1636">
        <v>0.33333333333333331</v>
      </c>
      <c r="CB52" s="1636">
        <v>0.33333333333333331</v>
      </c>
      <c r="CC52" s="1636">
        <v>0.33333333333333331</v>
      </c>
      <c r="CD52" s="1636">
        <v>0.33333333333333331</v>
      </c>
    </row>
    <row r="53" spans="1:83">
      <c r="B53" s="1597">
        <f t="shared" si="47"/>
        <v>4.2</v>
      </c>
      <c r="C53" s="1630" t="str">
        <f t="shared" si="26"/>
        <v>換気</v>
      </c>
      <c r="D53" s="1716">
        <f>IF(I$47=0,0,G53/I$47)</f>
        <v>0.3</v>
      </c>
      <c r="E53" s="1691">
        <f>IF(J$47=0,0,H53/J$47)</f>
        <v>0</v>
      </c>
      <c r="G53" s="1691">
        <f t="shared" si="27"/>
        <v>0.3</v>
      </c>
      <c r="H53" s="1691">
        <f t="shared" si="28"/>
        <v>0</v>
      </c>
      <c r="I53" s="1691">
        <f>SUM(G54:G57)</f>
        <v>0.75</v>
      </c>
      <c r="J53" s="1691">
        <f>SUM(H54:H57)</f>
        <v>0</v>
      </c>
      <c r="K53" s="1691">
        <f>IF(スコア表示!W53=0,0,1)</f>
        <v>1</v>
      </c>
      <c r="L53" s="1691">
        <f>IF(スコア表示!AA53=0,0,1)</f>
        <v>0</v>
      </c>
      <c r="M53" s="1691">
        <f t="shared" si="29"/>
        <v>0.3</v>
      </c>
      <c r="N53" s="1691">
        <f t="shared" si="30"/>
        <v>0</v>
      </c>
      <c r="P53" s="1647">
        <f t="shared" si="31"/>
        <v>4.2</v>
      </c>
      <c r="Q53" s="1647" t="str">
        <f t="shared" si="32"/>
        <v xml:space="preserve"> Q1 4</v>
      </c>
      <c r="R53" s="1737" t="str">
        <f t="shared" si="33"/>
        <v>換気</v>
      </c>
      <c r="S53" s="1618">
        <f t="shared" si="34"/>
        <v>0.3</v>
      </c>
      <c r="T53" s="1618">
        <f t="shared" si="35"/>
        <v>0.3</v>
      </c>
      <c r="U53" s="1618">
        <f t="shared" si="36"/>
        <v>0.3</v>
      </c>
      <c r="V53" s="1618">
        <f t="shared" si="37"/>
        <v>0.3</v>
      </c>
      <c r="W53" s="1618">
        <f t="shared" si="38"/>
        <v>0.3</v>
      </c>
      <c r="X53" s="1618">
        <f t="shared" si="39"/>
        <v>0.3</v>
      </c>
      <c r="Y53" s="1618">
        <f t="shared" si="40"/>
        <v>0.4</v>
      </c>
      <c r="Z53" s="1626">
        <f t="shared" si="41"/>
        <v>0.3</v>
      </c>
      <c r="AA53" s="1618">
        <f t="shared" si="42"/>
        <v>0.3</v>
      </c>
      <c r="AB53" s="1618">
        <f t="shared" si="43"/>
        <v>0.3</v>
      </c>
      <c r="AC53" s="1619">
        <f t="shared" si="44"/>
        <v>0.375</v>
      </c>
      <c r="AD53" s="1618">
        <f t="shared" si="45"/>
        <v>0.375</v>
      </c>
      <c r="AE53" s="1618">
        <f t="shared" si="46"/>
        <v>0.375</v>
      </c>
      <c r="AG53" s="1647">
        <v>4.2</v>
      </c>
      <c r="AH53" s="1693" t="s">
        <v>308</v>
      </c>
      <c r="AI53" s="1737" t="s">
        <v>693</v>
      </c>
      <c r="AJ53" s="1636">
        <v>0.3</v>
      </c>
      <c r="AK53" s="1636">
        <v>0.3</v>
      </c>
      <c r="AL53" s="1636">
        <v>0.3</v>
      </c>
      <c r="AM53" s="1636">
        <v>0.3</v>
      </c>
      <c r="AN53" s="1636">
        <v>0.3</v>
      </c>
      <c r="AO53" s="1636">
        <v>0.3</v>
      </c>
      <c r="AP53" s="1636">
        <v>0.4</v>
      </c>
      <c r="AQ53" s="1637">
        <v>0.3</v>
      </c>
      <c r="AR53" s="1636">
        <v>0.3</v>
      </c>
      <c r="AS53" s="1623">
        <v>0.3</v>
      </c>
      <c r="AT53" s="1625">
        <v>0.375</v>
      </c>
      <c r="AU53" s="1623">
        <v>0.375</v>
      </c>
      <c r="AV53" s="1623">
        <v>0.375</v>
      </c>
      <c r="AX53" s="1647">
        <v>4.2</v>
      </c>
      <c r="AY53" s="1693" t="s">
        <v>308</v>
      </c>
      <c r="AZ53" s="1737" t="s">
        <v>693</v>
      </c>
      <c r="BA53" s="1636">
        <v>0.3</v>
      </c>
      <c r="BB53" s="1636">
        <v>0.3</v>
      </c>
      <c r="BC53" s="1636">
        <v>0.3</v>
      </c>
      <c r="BD53" s="1636">
        <v>0.3</v>
      </c>
      <c r="BE53" s="1636">
        <v>0.3</v>
      </c>
      <c r="BF53" s="1636">
        <v>0.3</v>
      </c>
      <c r="BG53" s="1636">
        <v>0.4</v>
      </c>
      <c r="BH53" s="1637">
        <v>0.3</v>
      </c>
      <c r="BI53" s="1636">
        <v>0.3</v>
      </c>
      <c r="BJ53" s="1636">
        <v>0.3</v>
      </c>
      <c r="BK53" s="1638">
        <v>0.375</v>
      </c>
      <c r="BL53" s="1636">
        <v>0.375</v>
      </c>
      <c r="BM53" s="1636">
        <v>0.375</v>
      </c>
      <c r="BO53" s="1647">
        <v>4.2</v>
      </c>
      <c r="BP53" s="1693" t="s">
        <v>308</v>
      </c>
      <c r="BQ53" s="1737" t="s">
        <v>693</v>
      </c>
      <c r="BR53" s="1636">
        <v>0.3</v>
      </c>
      <c r="BS53" s="1636">
        <v>0.3</v>
      </c>
      <c r="BT53" s="1636">
        <v>0.3</v>
      </c>
      <c r="BU53" s="1636">
        <v>0.3</v>
      </c>
      <c r="BV53" s="1636">
        <v>0.3</v>
      </c>
      <c r="BW53" s="1636">
        <v>0.3</v>
      </c>
      <c r="BX53" s="1636">
        <v>0.4</v>
      </c>
      <c r="BY53" s="1637">
        <v>0.3</v>
      </c>
      <c r="BZ53" s="1636">
        <v>0.3</v>
      </c>
      <c r="CA53" s="1636">
        <v>0.3</v>
      </c>
      <c r="CB53" s="1638">
        <v>0.375</v>
      </c>
      <c r="CC53" s="1636">
        <v>0.375</v>
      </c>
      <c r="CD53" s="1636">
        <v>0.375</v>
      </c>
    </row>
    <row r="54" spans="1:83">
      <c r="B54" s="1597" t="str">
        <f t="shared" si="47"/>
        <v>4.2.1</v>
      </c>
      <c r="C54" s="1614" t="str">
        <f t="shared" si="26"/>
        <v>換気量</v>
      </c>
      <c r="D54" s="1721">
        <f t="shared" ref="D54:E57" si="49">IF(I$53&gt;0,G54/I$53,0)</f>
        <v>0.33333333333333331</v>
      </c>
      <c r="E54" s="1691">
        <f t="shared" si="49"/>
        <v>0</v>
      </c>
      <c r="G54" s="1691">
        <f t="shared" si="27"/>
        <v>0.25</v>
      </c>
      <c r="H54" s="1691">
        <f t="shared" si="28"/>
        <v>0</v>
      </c>
      <c r="I54" s="1691"/>
      <c r="J54" s="1691"/>
      <c r="K54" s="1691">
        <f>IF(スコア表示!W54=0,0,1)</f>
        <v>1</v>
      </c>
      <c r="L54" s="1691">
        <f>IF(スコア表示!AA54=0,0,1)</f>
        <v>1</v>
      </c>
      <c r="M54" s="1691">
        <f t="shared" si="29"/>
        <v>0.25</v>
      </c>
      <c r="N54" s="1691">
        <f t="shared" si="30"/>
        <v>0</v>
      </c>
      <c r="P54" s="1647" t="str">
        <f t="shared" si="31"/>
        <v>4.2.1</v>
      </c>
      <c r="Q54" s="1647" t="str">
        <f t="shared" si="32"/>
        <v xml:space="preserve"> Q1 4.2</v>
      </c>
      <c r="R54" s="1737" t="str">
        <f t="shared" si="33"/>
        <v>換気量</v>
      </c>
      <c r="S54" s="1618">
        <f t="shared" si="34"/>
        <v>0.25</v>
      </c>
      <c r="T54" s="1618">
        <f t="shared" si="35"/>
        <v>0.25</v>
      </c>
      <c r="U54" s="1618">
        <f t="shared" si="36"/>
        <v>0.33333333333333331</v>
      </c>
      <c r="V54" s="1618">
        <f t="shared" si="37"/>
        <v>0.33333333333333331</v>
      </c>
      <c r="W54" s="1618">
        <f t="shared" si="38"/>
        <v>0.33333333333333331</v>
      </c>
      <c r="X54" s="1618">
        <f t="shared" si="39"/>
        <v>0.33333333333333331</v>
      </c>
      <c r="Y54" s="1618">
        <f t="shared" si="40"/>
        <v>0</v>
      </c>
      <c r="Z54" s="1626">
        <f t="shared" si="41"/>
        <v>0.33333333333333331</v>
      </c>
      <c r="AA54" s="1618">
        <f t="shared" si="42"/>
        <v>0.25</v>
      </c>
      <c r="AB54" s="1618">
        <f t="shared" si="43"/>
        <v>0.25</v>
      </c>
      <c r="AC54" s="1619">
        <f t="shared" si="44"/>
        <v>0.25</v>
      </c>
      <c r="AD54" s="1618">
        <f t="shared" si="45"/>
        <v>0.25</v>
      </c>
      <c r="AE54" s="1618">
        <f t="shared" si="46"/>
        <v>0</v>
      </c>
      <c r="AG54" s="1647" t="s">
        <v>1506</v>
      </c>
      <c r="AH54" s="1693" t="s">
        <v>313</v>
      </c>
      <c r="AI54" s="2064" t="s">
        <v>314</v>
      </c>
      <c r="AJ54" s="1636">
        <v>0.25</v>
      </c>
      <c r="AK54" s="1636">
        <v>0.25</v>
      </c>
      <c r="AL54" s="1639">
        <v>0.33333333333333331</v>
      </c>
      <c r="AM54" s="1639">
        <v>0.33333333333333331</v>
      </c>
      <c r="AN54" s="1639">
        <v>0.33333333333333331</v>
      </c>
      <c r="AO54" s="1639">
        <v>0.33333333333333331</v>
      </c>
      <c r="AP54" s="1636"/>
      <c r="AQ54" s="1639">
        <v>0.33333333333333331</v>
      </c>
      <c r="AR54" s="1636">
        <v>0.25</v>
      </c>
      <c r="AS54" s="1623">
        <v>0.25</v>
      </c>
      <c r="AT54" s="1625">
        <v>0.25</v>
      </c>
      <c r="AU54" s="1623">
        <v>0.25</v>
      </c>
      <c r="AV54" s="1623"/>
      <c r="AX54" s="1647" t="s">
        <v>1506</v>
      </c>
      <c r="AY54" s="1693" t="s">
        <v>313</v>
      </c>
      <c r="AZ54" s="2064" t="s">
        <v>314</v>
      </c>
      <c r="BA54" s="1636">
        <v>0.25</v>
      </c>
      <c r="BB54" s="1636">
        <v>0.25</v>
      </c>
      <c r="BC54" s="1636">
        <v>0.33333333333333331</v>
      </c>
      <c r="BD54" s="1636">
        <v>0.33333333333333331</v>
      </c>
      <c r="BE54" s="1636">
        <v>0.33333333333333331</v>
      </c>
      <c r="BF54" s="1636">
        <v>0.33333333333333331</v>
      </c>
      <c r="BG54" s="1636">
        <v>0.5</v>
      </c>
      <c r="BH54" s="1636">
        <v>0.33333333333333331</v>
      </c>
      <c r="BI54" s="1636">
        <v>0.25</v>
      </c>
      <c r="BJ54" s="1636">
        <v>0.25</v>
      </c>
      <c r="BK54" s="1638">
        <v>0.25</v>
      </c>
      <c r="BL54" s="1636">
        <v>0.25</v>
      </c>
      <c r="BM54" s="1636">
        <v>0.25</v>
      </c>
      <c r="BO54" s="1647" t="s">
        <v>1506</v>
      </c>
      <c r="BP54" s="1693" t="s">
        <v>313</v>
      </c>
      <c r="BQ54" s="2064" t="s">
        <v>314</v>
      </c>
      <c r="BR54" s="1636">
        <v>0.25</v>
      </c>
      <c r="BS54" s="1636">
        <v>0.25</v>
      </c>
      <c r="BT54" s="1636">
        <v>0.33333333333333331</v>
      </c>
      <c r="BU54" s="1636">
        <v>0.33333333333333331</v>
      </c>
      <c r="BV54" s="1636">
        <v>0.33333333333333331</v>
      </c>
      <c r="BW54" s="1636">
        <v>0.33333333333333331</v>
      </c>
      <c r="BX54" s="1636">
        <v>0.5</v>
      </c>
      <c r="BY54" s="1636">
        <v>0.33333333333333331</v>
      </c>
      <c r="BZ54" s="1636">
        <v>0.25</v>
      </c>
      <c r="CA54" s="1636">
        <v>0.25</v>
      </c>
      <c r="CB54" s="1638">
        <v>0.25</v>
      </c>
      <c r="CC54" s="1636">
        <v>0.25</v>
      </c>
      <c r="CD54" s="1636">
        <v>0.25</v>
      </c>
    </row>
    <row r="55" spans="1:83">
      <c r="B55" s="1597" t="str">
        <f t="shared" si="47"/>
        <v>4.2.2</v>
      </c>
      <c r="C55" s="1614" t="str">
        <f t="shared" si="26"/>
        <v>自然換気性能</v>
      </c>
      <c r="D55" s="1721">
        <f t="shared" si="49"/>
        <v>0.33333333333333331</v>
      </c>
      <c r="E55" s="1691">
        <f t="shared" si="49"/>
        <v>0</v>
      </c>
      <c r="G55" s="1691">
        <f t="shared" si="27"/>
        <v>0.25</v>
      </c>
      <c r="H55" s="1691">
        <f t="shared" si="28"/>
        <v>0</v>
      </c>
      <c r="I55" s="1691"/>
      <c r="J55" s="1691"/>
      <c r="K55" s="1691">
        <f>IF(スコア表示!W55=0,0,1)</f>
        <v>1</v>
      </c>
      <c r="L55" s="1691">
        <f>IF(スコア表示!AA55=0,0,1)</f>
        <v>1</v>
      </c>
      <c r="M55" s="1691">
        <f t="shared" si="29"/>
        <v>0.25</v>
      </c>
      <c r="N55" s="1691">
        <f t="shared" si="30"/>
        <v>0</v>
      </c>
      <c r="P55" s="1647" t="str">
        <f t="shared" si="31"/>
        <v>4.2.2</v>
      </c>
      <c r="Q55" s="1647" t="str">
        <f t="shared" si="32"/>
        <v xml:space="preserve"> Q1 4.2</v>
      </c>
      <c r="R55" s="1737" t="str">
        <f t="shared" si="33"/>
        <v>自然換気性能</v>
      </c>
      <c r="S55" s="1618">
        <f t="shared" si="34"/>
        <v>0.25</v>
      </c>
      <c r="T55" s="1618">
        <f t="shared" si="35"/>
        <v>0.25</v>
      </c>
      <c r="U55" s="1618">
        <f t="shared" si="36"/>
        <v>0</v>
      </c>
      <c r="V55" s="1618">
        <f t="shared" si="37"/>
        <v>0</v>
      </c>
      <c r="W55" s="1618">
        <f t="shared" si="38"/>
        <v>0</v>
      </c>
      <c r="X55" s="1618">
        <f t="shared" si="39"/>
        <v>0</v>
      </c>
      <c r="Y55" s="1618">
        <f t="shared" si="40"/>
        <v>0</v>
      </c>
      <c r="Z55" s="1626">
        <f t="shared" si="41"/>
        <v>0</v>
      </c>
      <c r="AA55" s="1618">
        <f t="shared" si="42"/>
        <v>0.25</v>
      </c>
      <c r="AB55" s="1618">
        <f t="shared" si="43"/>
        <v>0.25</v>
      </c>
      <c r="AC55" s="1619">
        <f t="shared" si="44"/>
        <v>0.25</v>
      </c>
      <c r="AD55" s="1618">
        <f t="shared" si="45"/>
        <v>0.25</v>
      </c>
      <c r="AE55" s="1618">
        <f t="shared" si="46"/>
        <v>0.33</v>
      </c>
      <c r="AG55" s="1647" t="s">
        <v>1508</v>
      </c>
      <c r="AH55" s="1693" t="s">
        <v>313</v>
      </c>
      <c r="AI55" s="2064" t="s">
        <v>315</v>
      </c>
      <c r="AJ55" s="1636">
        <v>0.25</v>
      </c>
      <c r="AK55" s="1636">
        <v>0.25</v>
      </c>
      <c r="AL55" s="1636"/>
      <c r="AM55" s="1636"/>
      <c r="AN55" s="1636"/>
      <c r="AO55" s="1636"/>
      <c r="AP55" s="1636"/>
      <c r="AQ55" s="1637"/>
      <c r="AR55" s="1636">
        <v>0.25</v>
      </c>
      <c r="AS55" s="1623">
        <v>0.25</v>
      </c>
      <c r="AT55" s="1625">
        <v>0.25</v>
      </c>
      <c r="AU55" s="1623">
        <v>0.25</v>
      </c>
      <c r="AV55" s="1623">
        <v>0.33</v>
      </c>
      <c r="AX55" s="1647" t="s">
        <v>1508</v>
      </c>
      <c r="AY55" s="1693" t="s">
        <v>313</v>
      </c>
      <c r="AZ55" s="2064" t="s">
        <v>315</v>
      </c>
      <c r="BA55" s="1636">
        <v>0.25</v>
      </c>
      <c r="BB55" s="1636">
        <v>0.25</v>
      </c>
      <c r="BC55" s="1636"/>
      <c r="BD55" s="1636"/>
      <c r="BE55" s="1636"/>
      <c r="BF55" s="1636"/>
      <c r="BG55" s="1636"/>
      <c r="BH55" s="1637"/>
      <c r="BI55" s="1636">
        <v>0.25</v>
      </c>
      <c r="BJ55" s="1636">
        <v>0.25</v>
      </c>
      <c r="BK55" s="1638">
        <v>0.25</v>
      </c>
      <c r="BL55" s="1636">
        <v>0.25</v>
      </c>
      <c r="BM55" s="1636">
        <v>0.25</v>
      </c>
      <c r="BO55" s="1647" t="s">
        <v>1508</v>
      </c>
      <c r="BP55" s="1693" t="s">
        <v>313</v>
      </c>
      <c r="BQ55" s="2064" t="s">
        <v>315</v>
      </c>
      <c r="BR55" s="1636">
        <v>0.25</v>
      </c>
      <c r="BS55" s="1636">
        <v>0.25</v>
      </c>
      <c r="BT55" s="1636"/>
      <c r="BU55" s="1636"/>
      <c r="BV55" s="1636"/>
      <c r="BW55" s="1636"/>
      <c r="BX55" s="1636"/>
      <c r="BY55" s="1637"/>
      <c r="BZ55" s="1636">
        <v>0.25</v>
      </c>
      <c r="CA55" s="1636">
        <v>0.25</v>
      </c>
      <c r="CB55" s="1638">
        <v>0.25</v>
      </c>
      <c r="CC55" s="1636">
        <v>0.25</v>
      </c>
      <c r="CD55" s="1636">
        <v>0.25</v>
      </c>
    </row>
    <row r="56" spans="1:83">
      <c r="B56" s="1597" t="str">
        <f t="shared" si="47"/>
        <v>4.2.3</v>
      </c>
      <c r="C56" s="1614" t="str">
        <f t="shared" si="26"/>
        <v>取り入れ外気への配慮</v>
      </c>
      <c r="D56" s="1721">
        <f t="shared" si="49"/>
        <v>0.33333333333333331</v>
      </c>
      <c r="E56" s="1691">
        <f t="shared" si="49"/>
        <v>0</v>
      </c>
      <c r="G56" s="1691">
        <f t="shared" si="27"/>
        <v>0.25</v>
      </c>
      <c r="H56" s="1691">
        <f t="shared" si="28"/>
        <v>0</v>
      </c>
      <c r="I56" s="1691"/>
      <c r="J56" s="1691"/>
      <c r="K56" s="1691">
        <f>IF(スコア表示!W56=0,0,1)</f>
        <v>1</v>
      </c>
      <c r="L56" s="1691">
        <f>IF(スコア表示!AA56=0,0,1)</f>
        <v>1</v>
      </c>
      <c r="M56" s="1691">
        <f t="shared" si="29"/>
        <v>0.25</v>
      </c>
      <c r="N56" s="1691">
        <f t="shared" si="30"/>
        <v>0</v>
      </c>
      <c r="P56" s="1647" t="str">
        <f t="shared" si="31"/>
        <v>4.2.3</v>
      </c>
      <c r="Q56" s="1647" t="str">
        <f t="shared" si="32"/>
        <v xml:space="preserve"> Q1 4.2</v>
      </c>
      <c r="R56" s="1737" t="str">
        <f t="shared" si="33"/>
        <v>取り入れ外気への配慮</v>
      </c>
      <c r="S56" s="1618">
        <f t="shared" si="34"/>
        <v>0.25</v>
      </c>
      <c r="T56" s="1618">
        <f t="shared" si="35"/>
        <v>0.25</v>
      </c>
      <c r="U56" s="1618">
        <f t="shared" si="36"/>
        <v>0.33333333333333331</v>
      </c>
      <c r="V56" s="1618">
        <f t="shared" si="37"/>
        <v>0.33333333333333331</v>
      </c>
      <c r="W56" s="1618">
        <f t="shared" si="38"/>
        <v>0.33333333333333331</v>
      </c>
      <c r="X56" s="1618">
        <f t="shared" si="39"/>
        <v>0.33333333333333331</v>
      </c>
      <c r="Y56" s="1618">
        <f t="shared" si="40"/>
        <v>1</v>
      </c>
      <c r="Z56" s="1626">
        <f t="shared" si="41"/>
        <v>0.33333333333333331</v>
      </c>
      <c r="AA56" s="1618">
        <f t="shared" si="42"/>
        <v>0.25</v>
      </c>
      <c r="AB56" s="1618">
        <f t="shared" si="43"/>
        <v>0.25</v>
      </c>
      <c r="AC56" s="1619">
        <f t="shared" si="44"/>
        <v>0.25</v>
      </c>
      <c r="AD56" s="1618">
        <f t="shared" si="45"/>
        <v>0.25</v>
      </c>
      <c r="AE56" s="1618">
        <f t="shared" si="46"/>
        <v>0.33</v>
      </c>
      <c r="AG56" s="1647" t="s">
        <v>1509</v>
      </c>
      <c r="AH56" s="1693" t="s">
        <v>313</v>
      </c>
      <c r="AI56" s="2064" t="s">
        <v>316</v>
      </c>
      <c r="AJ56" s="1636">
        <v>0.25</v>
      </c>
      <c r="AK56" s="1636">
        <v>0.25</v>
      </c>
      <c r="AL56" s="1639">
        <v>0.33333333333333331</v>
      </c>
      <c r="AM56" s="1639">
        <v>0.33333333333333331</v>
      </c>
      <c r="AN56" s="1639">
        <v>0.33333333333333331</v>
      </c>
      <c r="AO56" s="1639">
        <v>0.33333333333333331</v>
      </c>
      <c r="AP56" s="1636">
        <v>1</v>
      </c>
      <c r="AQ56" s="1639">
        <v>0.33333333333333331</v>
      </c>
      <c r="AR56" s="1636">
        <v>0.25</v>
      </c>
      <c r="AS56" s="1623">
        <v>0.25</v>
      </c>
      <c r="AT56" s="1625">
        <v>0.25</v>
      </c>
      <c r="AU56" s="1623">
        <v>0.25</v>
      </c>
      <c r="AV56" s="1623">
        <v>0.33</v>
      </c>
      <c r="AX56" s="1647" t="s">
        <v>1509</v>
      </c>
      <c r="AY56" s="1693" t="s">
        <v>313</v>
      </c>
      <c r="AZ56" s="2064" t="s">
        <v>316</v>
      </c>
      <c r="BA56" s="1636">
        <v>0.25</v>
      </c>
      <c r="BB56" s="1636">
        <v>0.25</v>
      </c>
      <c r="BC56" s="1636">
        <v>0.33333333333333331</v>
      </c>
      <c r="BD56" s="1636">
        <v>0.33333333333333331</v>
      </c>
      <c r="BE56" s="1636">
        <v>0.33333333333333331</v>
      </c>
      <c r="BF56" s="1636">
        <v>0.33333333333333331</v>
      </c>
      <c r="BG56" s="1636">
        <v>0.5</v>
      </c>
      <c r="BH56" s="1636">
        <v>0.33333333333333331</v>
      </c>
      <c r="BI56" s="1636">
        <v>0.25</v>
      </c>
      <c r="BJ56" s="1636">
        <v>0.25</v>
      </c>
      <c r="BK56" s="1638">
        <v>0.25</v>
      </c>
      <c r="BL56" s="1636">
        <v>0.25</v>
      </c>
      <c r="BM56" s="1636">
        <v>0.25</v>
      </c>
      <c r="BO56" s="1647" t="s">
        <v>1509</v>
      </c>
      <c r="BP56" s="1693" t="s">
        <v>313</v>
      </c>
      <c r="BQ56" s="2064" t="s">
        <v>316</v>
      </c>
      <c r="BR56" s="1636">
        <v>0.25</v>
      </c>
      <c r="BS56" s="1636">
        <v>0.25</v>
      </c>
      <c r="BT56" s="1636">
        <v>0.33333333333333331</v>
      </c>
      <c r="BU56" s="1636">
        <v>0.33333333333333331</v>
      </c>
      <c r="BV56" s="1636">
        <v>0.33333333333333331</v>
      </c>
      <c r="BW56" s="1636">
        <v>0.33333333333333331</v>
      </c>
      <c r="BX56" s="1636">
        <v>0.5</v>
      </c>
      <c r="BY56" s="1636">
        <v>0.33333333333333331</v>
      </c>
      <c r="BZ56" s="1636">
        <v>0.25</v>
      </c>
      <c r="CA56" s="1636">
        <v>0.25</v>
      </c>
      <c r="CB56" s="1638">
        <v>0.25</v>
      </c>
      <c r="CC56" s="1636">
        <v>0.25</v>
      </c>
      <c r="CD56" s="1636">
        <v>0.25</v>
      </c>
    </row>
    <row r="57" spans="1:83" hidden="1">
      <c r="B57" s="1597" t="str">
        <f t="shared" si="47"/>
        <v>4.2.4</v>
      </c>
      <c r="C57" s="1650" t="str">
        <f t="shared" si="26"/>
        <v>給気計画</v>
      </c>
      <c r="D57" s="1721">
        <f t="shared" si="49"/>
        <v>0</v>
      </c>
      <c r="E57" s="1691">
        <f t="shared" si="49"/>
        <v>0</v>
      </c>
      <c r="G57" s="1691">
        <f t="shared" si="27"/>
        <v>0</v>
      </c>
      <c r="H57" s="1691">
        <f t="shared" si="28"/>
        <v>0</v>
      </c>
      <c r="I57" s="1691"/>
      <c r="J57" s="1691"/>
      <c r="K57" s="1691">
        <f>IF(スコア表示!W57=0,0,1)</f>
        <v>0</v>
      </c>
      <c r="L57" s="1691">
        <f>IF(スコア表示!AA57=0,0,1)</f>
        <v>0</v>
      </c>
      <c r="M57" s="1691">
        <f t="shared" si="29"/>
        <v>0.25</v>
      </c>
      <c r="N57" s="1691">
        <f t="shared" si="30"/>
        <v>0</v>
      </c>
      <c r="P57" s="1647" t="str">
        <f t="shared" si="31"/>
        <v>4.2.4</v>
      </c>
      <c r="Q57" s="1647" t="str">
        <f t="shared" si="32"/>
        <v xml:space="preserve"> Q1 4.2</v>
      </c>
      <c r="R57" s="1737" t="str">
        <f t="shared" si="33"/>
        <v>給気計画</v>
      </c>
      <c r="S57" s="1618">
        <f t="shared" si="34"/>
        <v>0.25</v>
      </c>
      <c r="T57" s="1618">
        <f t="shared" si="35"/>
        <v>0.25</v>
      </c>
      <c r="U57" s="1618">
        <f t="shared" si="36"/>
        <v>0.33333333333333331</v>
      </c>
      <c r="V57" s="1618">
        <f t="shared" si="37"/>
        <v>0.33333333333333331</v>
      </c>
      <c r="W57" s="1618">
        <f t="shared" si="38"/>
        <v>0.33333333333333331</v>
      </c>
      <c r="X57" s="1618">
        <f t="shared" si="39"/>
        <v>0.33333333333333331</v>
      </c>
      <c r="Y57" s="1618">
        <f t="shared" si="40"/>
        <v>0</v>
      </c>
      <c r="Z57" s="1626">
        <f t="shared" si="41"/>
        <v>0.33333333333333331</v>
      </c>
      <c r="AA57" s="1618">
        <f t="shared" si="42"/>
        <v>0.25</v>
      </c>
      <c r="AB57" s="1618">
        <f t="shared" si="43"/>
        <v>0.25</v>
      </c>
      <c r="AC57" s="1619">
        <f t="shared" si="44"/>
        <v>0.25</v>
      </c>
      <c r="AD57" s="1618">
        <f t="shared" si="45"/>
        <v>0.25</v>
      </c>
      <c r="AE57" s="1618">
        <f t="shared" si="46"/>
        <v>0.33</v>
      </c>
      <c r="AG57" s="1647" t="s">
        <v>1510</v>
      </c>
      <c r="AH57" s="1693" t="s">
        <v>313</v>
      </c>
      <c r="AI57" s="2064" t="s">
        <v>1511</v>
      </c>
      <c r="AJ57" s="2074">
        <v>0.25</v>
      </c>
      <c r="AK57" s="2074">
        <v>0.25</v>
      </c>
      <c r="AL57" s="2078">
        <v>0.33333333333333331</v>
      </c>
      <c r="AM57" s="2078">
        <v>0.33333333333333331</v>
      </c>
      <c r="AN57" s="2078">
        <v>0.33333333333333331</v>
      </c>
      <c r="AO57" s="2078">
        <v>0.33333333333333331</v>
      </c>
      <c r="AP57" s="2074"/>
      <c r="AQ57" s="2078">
        <v>0.33333333333333331</v>
      </c>
      <c r="AR57" s="2074">
        <v>0.25</v>
      </c>
      <c r="AS57" s="1623">
        <v>0.25</v>
      </c>
      <c r="AT57" s="1625">
        <v>0.25</v>
      </c>
      <c r="AU57" s="1623">
        <v>0.25</v>
      </c>
      <c r="AV57" s="1623">
        <v>0.33</v>
      </c>
      <c r="AX57" s="1647" t="s">
        <v>1510</v>
      </c>
      <c r="AY57" s="1693" t="s">
        <v>313</v>
      </c>
      <c r="AZ57" s="2064" t="s">
        <v>1511</v>
      </c>
      <c r="BA57" s="1636">
        <v>0.25</v>
      </c>
      <c r="BB57" s="1636">
        <v>0.25</v>
      </c>
      <c r="BC57" s="1636">
        <v>0.33333333333333331</v>
      </c>
      <c r="BD57" s="1636">
        <v>0.33333333333333331</v>
      </c>
      <c r="BE57" s="1636">
        <v>0.33333333333333331</v>
      </c>
      <c r="BF57" s="1636">
        <v>0.33333333333333331</v>
      </c>
      <c r="BG57" s="1636"/>
      <c r="BH57" s="1636">
        <v>0.33333333333333331</v>
      </c>
      <c r="BI57" s="1636">
        <v>0.25</v>
      </c>
      <c r="BJ57" s="1636">
        <v>0.25</v>
      </c>
      <c r="BK57" s="1638">
        <v>0.25</v>
      </c>
      <c r="BL57" s="1636">
        <v>0.25</v>
      </c>
      <c r="BM57" s="1636">
        <v>0.25</v>
      </c>
      <c r="BO57" s="1647" t="s">
        <v>1510</v>
      </c>
      <c r="BP57" s="1693" t="s">
        <v>313</v>
      </c>
      <c r="BQ57" s="2064" t="s">
        <v>1511</v>
      </c>
      <c r="BR57" s="1636">
        <v>0.25</v>
      </c>
      <c r="BS57" s="1636">
        <v>0.25</v>
      </c>
      <c r="BT57" s="1636">
        <v>0.33333333333333331</v>
      </c>
      <c r="BU57" s="1636">
        <v>0.33333333333333331</v>
      </c>
      <c r="BV57" s="1636">
        <v>0.33333333333333331</v>
      </c>
      <c r="BW57" s="1636">
        <v>0.33333333333333331</v>
      </c>
      <c r="BX57" s="1636"/>
      <c r="BY57" s="1636">
        <v>0.33333333333333331</v>
      </c>
      <c r="BZ57" s="1636">
        <v>0.25</v>
      </c>
      <c r="CA57" s="1636">
        <v>0.25</v>
      </c>
      <c r="CB57" s="1638">
        <v>0.25</v>
      </c>
      <c r="CC57" s="1636">
        <v>0.25</v>
      </c>
      <c r="CD57" s="1636">
        <v>0.25</v>
      </c>
    </row>
    <row r="58" spans="1:83">
      <c r="B58" s="1597">
        <f t="shared" si="47"/>
        <v>4.3</v>
      </c>
      <c r="C58" s="1630" t="str">
        <f t="shared" si="26"/>
        <v>運用管理</v>
      </c>
      <c r="D58" s="1716">
        <f>IF(I$47=0,0,G58/I$47)</f>
        <v>0.2</v>
      </c>
      <c r="E58" s="1691">
        <f>IF(J$47=0,0,H58/J$47)</f>
        <v>0</v>
      </c>
      <c r="G58" s="1691">
        <f t="shared" si="27"/>
        <v>0.2</v>
      </c>
      <c r="H58" s="1691">
        <f t="shared" si="28"/>
        <v>0</v>
      </c>
      <c r="I58" s="1691">
        <f>G59+G60</f>
        <v>1</v>
      </c>
      <c r="J58" s="1691">
        <f>H59+H60</f>
        <v>0</v>
      </c>
      <c r="K58" s="1691">
        <f>IF(スコア表示!W58=0,0,1)</f>
        <v>1</v>
      </c>
      <c r="L58" s="1691">
        <f>IF(スコア表示!AA58=0,0,1)</f>
        <v>0</v>
      </c>
      <c r="M58" s="1691">
        <f t="shared" si="29"/>
        <v>0.2</v>
      </c>
      <c r="N58" s="1691">
        <f t="shared" si="30"/>
        <v>0</v>
      </c>
      <c r="P58" s="1647">
        <f t="shared" si="31"/>
        <v>4.3</v>
      </c>
      <c r="Q58" s="1647" t="str">
        <f t="shared" si="32"/>
        <v xml:space="preserve"> Q1 4</v>
      </c>
      <c r="R58" s="1737" t="str">
        <f t="shared" si="33"/>
        <v>運用管理</v>
      </c>
      <c r="S58" s="1618">
        <f t="shared" si="34"/>
        <v>0.2</v>
      </c>
      <c r="T58" s="1618">
        <f t="shared" si="35"/>
        <v>0.2</v>
      </c>
      <c r="U58" s="1618">
        <f t="shared" si="36"/>
        <v>0.2</v>
      </c>
      <c r="V58" s="1618">
        <f t="shared" si="37"/>
        <v>0.2</v>
      </c>
      <c r="W58" s="1618">
        <f t="shared" si="38"/>
        <v>0.2</v>
      </c>
      <c r="X58" s="1618">
        <f t="shared" si="39"/>
        <v>0.2</v>
      </c>
      <c r="Y58" s="1618">
        <f t="shared" si="40"/>
        <v>0</v>
      </c>
      <c r="Z58" s="1626">
        <f t="shared" si="41"/>
        <v>0.2</v>
      </c>
      <c r="AA58" s="1618">
        <f t="shared" si="42"/>
        <v>0.2</v>
      </c>
      <c r="AB58" s="1618">
        <f t="shared" si="43"/>
        <v>0.2</v>
      </c>
      <c r="AC58" s="1619">
        <f t="shared" si="44"/>
        <v>0</v>
      </c>
      <c r="AD58" s="1618">
        <f t="shared" si="45"/>
        <v>0</v>
      </c>
      <c r="AE58" s="1618">
        <f t="shared" si="46"/>
        <v>0</v>
      </c>
      <c r="AG58" s="1647">
        <v>4.3</v>
      </c>
      <c r="AH58" s="1693" t="s">
        <v>308</v>
      </c>
      <c r="AI58" s="1737" t="s">
        <v>701</v>
      </c>
      <c r="AJ58" s="1636">
        <v>0.2</v>
      </c>
      <c r="AK58" s="1636">
        <v>0.2</v>
      </c>
      <c r="AL58" s="1636">
        <v>0.2</v>
      </c>
      <c r="AM58" s="1636">
        <v>0.2</v>
      </c>
      <c r="AN58" s="1636">
        <v>0.2</v>
      </c>
      <c r="AO58" s="1636">
        <v>0.2</v>
      </c>
      <c r="AP58" s="1636"/>
      <c r="AQ58" s="1637">
        <v>0.2</v>
      </c>
      <c r="AR58" s="1636">
        <v>0.2</v>
      </c>
      <c r="AS58" s="1623">
        <v>0.2</v>
      </c>
      <c r="AT58" s="1625"/>
      <c r="AU58" s="1623"/>
      <c r="AV58" s="1623"/>
      <c r="AX58" s="1647">
        <v>4.3</v>
      </c>
      <c r="AY58" s="1693" t="s">
        <v>308</v>
      </c>
      <c r="AZ58" s="1737" t="s">
        <v>701</v>
      </c>
      <c r="BA58" s="1636">
        <v>0.2</v>
      </c>
      <c r="BB58" s="1636">
        <v>0.2</v>
      </c>
      <c r="BC58" s="1636">
        <v>0.2</v>
      </c>
      <c r="BD58" s="1636">
        <v>0.2</v>
      </c>
      <c r="BE58" s="1636">
        <v>0.2</v>
      </c>
      <c r="BF58" s="1636">
        <v>0.2</v>
      </c>
      <c r="BG58" s="1636"/>
      <c r="BH58" s="1637">
        <v>0.2</v>
      </c>
      <c r="BI58" s="1636">
        <v>0.2</v>
      </c>
      <c r="BJ58" s="1636">
        <v>0.2</v>
      </c>
      <c r="BK58" s="1638"/>
      <c r="BL58" s="1636"/>
      <c r="BM58" s="1636"/>
      <c r="BO58" s="1647">
        <v>4.3</v>
      </c>
      <c r="BP58" s="1693" t="s">
        <v>308</v>
      </c>
      <c r="BQ58" s="1737" t="s">
        <v>701</v>
      </c>
      <c r="BR58" s="1636">
        <v>0.2</v>
      </c>
      <c r="BS58" s="1636">
        <v>0.2</v>
      </c>
      <c r="BT58" s="1636">
        <v>0.2</v>
      </c>
      <c r="BU58" s="1636">
        <v>0.2</v>
      </c>
      <c r="BV58" s="1636">
        <v>0.2</v>
      </c>
      <c r="BW58" s="1636">
        <v>0.2</v>
      </c>
      <c r="BX58" s="1636"/>
      <c r="BY58" s="1637">
        <v>0.2</v>
      </c>
      <c r="BZ58" s="1636">
        <v>0.2</v>
      </c>
      <c r="CA58" s="1636">
        <v>0.2</v>
      </c>
      <c r="CB58" s="1638"/>
      <c r="CC58" s="1636"/>
      <c r="CD58" s="1636"/>
    </row>
    <row r="59" spans="1:83">
      <c r="B59" s="1597" t="str">
        <f t="shared" si="47"/>
        <v>4.3.1</v>
      </c>
      <c r="C59" s="1614" t="str">
        <f t="shared" si="26"/>
        <v>CO2の監視</v>
      </c>
      <c r="D59" s="1721">
        <f>IF(I$58&gt;0,G59/I$58,0)</f>
        <v>0.5</v>
      </c>
      <c r="E59" s="1691">
        <f>IF(J$58&gt;0,H59/J$58,0)</f>
        <v>0</v>
      </c>
      <c r="G59" s="1691">
        <f t="shared" si="27"/>
        <v>0.5</v>
      </c>
      <c r="H59" s="1691">
        <f t="shared" si="28"/>
        <v>0</v>
      </c>
      <c r="I59" s="1691"/>
      <c r="J59" s="1691"/>
      <c r="K59" s="1691">
        <f>IF(スコア表示!W59=0,0,1)</f>
        <v>1</v>
      </c>
      <c r="L59" s="1691">
        <f>IF(スコア表示!AA59=0,0,1)</f>
        <v>1</v>
      </c>
      <c r="M59" s="1691">
        <f t="shared" si="29"/>
        <v>0.5</v>
      </c>
      <c r="N59" s="1691">
        <f t="shared" si="30"/>
        <v>0</v>
      </c>
      <c r="P59" s="1647" t="str">
        <f t="shared" si="31"/>
        <v>4.3.1</v>
      </c>
      <c r="Q59" s="1647" t="str">
        <f t="shared" si="32"/>
        <v xml:space="preserve"> Q1 4.3</v>
      </c>
      <c r="R59" s="1737" t="str">
        <f t="shared" si="33"/>
        <v>CO2の監視</v>
      </c>
      <c r="S59" s="1618">
        <f t="shared" si="34"/>
        <v>0.5</v>
      </c>
      <c r="T59" s="1618">
        <f t="shared" si="35"/>
        <v>0.5</v>
      </c>
      <c r="U59" s="1618">
        <f t="shared" si="36"/>
        <v>0.5</v>
      </c>
      <c r="V59" s="1618">
        <f t="shared" si="37"/>
        <v>0.5</v>
      </c>
      <c r="W59" s="1618">
        <f t="shared" si="38"/>
        <v>0</v>
      </c>
      <c r="X59" s="1618">
        <f t="shared" si="39"/>
        <v>0</v>
      </c>
      <c r="Y59" s="1618">
        <f t="shared" si="40"/>
        <v>0</v>
      </c>
      <c r="Z59" s="1626">
        <f t="shared" si="41"/>
        <v>0.5</v>
      </c>
      <c r="AA59" s="1618">
        <f t="shared" si="42"/>
        <v>0.5</v>
      </c>
      <c r="AB59" s="1618">
        <f t="shared" si="43"/>
        <v>0.5</v>
      </c>
      <c r="AC59" s="1619">
        <f t="shared" si="44"/>
        <v>0</v>
      </c>
      <c r="AD59" s="1618">
        <f t="shared" si="45"/>
        <v>0</v>
      </c>
      <c r="AE59" s="1618">
        <f t="shared" si="46"/>
        <v>0</v>
      </c>
      <c r="AG59" s="1647" t="s">
        <v>1512</v>
      </c>
      <c r="AH59" s="1693" t="s">
        <v>317</v>
      </c>
      <c r="AI59" s="2064" t="s">
        <v>1513</v>
      </c>
      <c r="AJ59" s="1636">
        <v>0.5</v>
      </c>
      <c r="AK59" s="1636">
        <v>0.5</v>
      </c>
      <c r="AL59" s="1636">
        <v>0.5</v>
      </c>
      <c r="AM59" s="1636">
        <v>0.5</v>
      </c>
      <c r="AN59" s="1636"/>
      <c r="AO59" s="1636"/>
      <c r="AP59" s="1636"/>
      <c r="AQ59" s="1637">
        <v>0.5</v>
      </c>
      <c r="AR59" s="1636">
        <v>0.5</v>
      </c>
      <c r="AS59" s="1623">
        <v>0.5</v>
      </c>
      <c r="AT59" s="1625"/>
      <c r="AU59" s="1623"/>
      <c r="AV59" s="1623"/>
      <c r="AX59" s="1647" t="s">
        <v>1512</v>
      </c>
      <c r="AY59" s="1693" t="s">
        <v>317</v>
      </c>
      <c r="AZ59" s="2064" t="s">
        <v>1513</v>
      </c>
      <c r="BA59" s="1636">
        <v>0.5</v>
      </c>
      <c r="BB59" s="1636">
        <v>0.5</v>
      </c>
      <c r="BC59" s="1636">
        <v>0.5</v>
      </c>
      <c r="BD59" s="1636">
        <v>0.5</v>
      </c>
      <c r="BE59" s="1636"/>
      <c r="BF59" s="1636"/>
      <c r="BG59" s="1636"/>
      <c r="BH59" s="1637">
        <v>0.5</v>
      </c>
      <c r="BI59" s="1636">
        <v>0.5</v>
      </c>
      <c r="BJ59" s="1636">
        <v>0.5</v>
      </c>
      <c r="BK59" s="1638"/>
      <c r="BL59" s="1636"/>
      <c r="BM59" s="1636"/>
      <c r="BO59" s="1647" t="s">
        <v>1512</v>
      </c>
      <c r="BP59" s="1693" t="s">
        <v>317</v>
      </c>
      <c r="BQ59" s="2064" t="s">
        <v>1513</v>
      </c>
      <c r="BR59" s="1636">
        <v>0.5</v>
      </c>
      <c r="BS59" s="1636">
        <v>0.5</v>
      </c>
      <c r="BT59" s="1636">
        <v>0.5</v>
      </c>
      <c r="BU59" s="1636">
        <v>0.5</v>
      </c>
      <c r="BV59" s="1636"/>
      <c r="BW59" s="1636"/>
      <c r="BX59" s="1636"/>
      <c r="BY59" s="1637">
        <v>0.5</v>
      </c>
      <c r="BZ59" s="1636">
        <v>0.5</v>
      </c>
      <c r="CA59" s="1636">
        <v>0.5</v>
      </c>
      <c r="CB59" s="1638"/>
      <c r="CC59" s="1636"/>
      <c r="CD59" s="1636"/>
    </row>
    <row r="60" spans="1:83">
      <c r="B60" s="1597" t="str">
        <f t="shared" si="47"/>
        <v>4.3.2</v>
      </c>
      <c r="C60" s="1614" t="str">
        <f t="shared" si="26"/>
        <v>喫煙の制御</v>
      </c>
      <c r="D60" s="1721">
        <f>IF(I$58&gt;0,G60/I$58,0)</f>
        <v>0.5</v>
      </c>
      <c r="E60" s="1691">
        <f>IF(J$58&gt;0,H60/J$58,0)</f>
        <v>0</v>
      </c>
      <c r="G60" s="1691">
        <f t="shared" si="27"/>
        <v>0.5</v>
      </c>
      <c r="H60" s="1691">
        <f t="shared" si="28"/>
        <v>0</v>
      </c>
      <c r="I60" s="1691"/>
      <c r="J60" s="1691"/>
      <c r="K60" s="1691">
        <f>IF(スコア表示!W60=0,0,1)</f>
        <v>1</v>
      </c>
      <c r="L60" s="1691">
        <f>IF(スコア表示!AA60=0,0,1)</f>
        <v>1</v>
      </c>
      <c r="M60" s="1691">
        <f t="shared" si="29"/>
        <v>0.5</v>
      </c>
      <c r="N60" s="1691">
        <f t="shared" si="30"/>
        <v>0</v>
      </c>
      <c r="P60" s="1647" t="str">
        <f t="shared" si="31"/>
        <v>4.3.2</v>
      </c>
      <c r="Q60" s="1647" t="str">
        <f t="shared" si="32"/>
        <v xml:space="preserve"> Q1 4.3</v>
      </c>
      <c r="R60" s="1737" t="str">
        <f t="shared" si="33"/>
        <v>喫煙の制御</v>
      </c>
      <c r="S60" s="1618">
        <f t="shared" si="34"/>
        <v>0.5</v>
      </c>
      <c r="T60" s="1618">
        <f t="shared" si="35"/>
        <v>0.5</v>
      </c>
      <c r="U60" s="1618">
        <f t="shared" si="36"/>
        <v>0.5</v>
      </c>
      <c r="V60" s="1618">
        <f t="shared" si="37"/>
        <v>0.5</v>
      </c>
      <c r="W60" s="1618">
        <f t="shared" si="38"/>
        <v>1</v>
      </c>
      <c r="X60" s="1618">
        <f t="shared" si="39"/>
        <v>1</v>
      </c>
      <c r="Y60" s="1618">
        <f t="shared" si="40"/>
        <v>0</v>
      </c>
      <c r="Z60" s="1626">
        <f t="shared" si="41"/>
        <v>0.5</v>
      </c>
      <c r="AA60" s="1618">
        <f t="shared" si="42"/>
        <v>0.5</v>
      </c>
      <c r="AB60" s="1618">
        <f t="shared" si="43"/>
        <v>0.5</v>
      </c>
      <c r="AC60" s="1619">
        <f t="shared" si="44"/>
        <v>0</v>
      </c>
      <c r="AD60" s="1618">
        <f t="shared" si="45"/>
        <v>0</v>
      </c>
      <c r="AE60" s="1618">
        <f t="shared" si="46"/>
        <v>0</v>
      </c>
      <c r="AG60" s="1647" t="s">
        <v>1514</v>
      </c>
      <c r="AH60" s="1693" t="s">
        <v>317</v>
      </c>
      <c r="AI60" s="2064" t="s">
        <v>1515</v>
      </c>
      <c r="AJ60" s="1636">
        <v>0.5</v>
      </c>
      <c r="AK60" s="1636">
        <v>0.5</v>
      </c>
      <c r="AL60" s="1636">
        <v>0.5</v>
      </c>
      <c r="AM60" s="1636">
        <v>0.5</v>
      </c>
      <c r="AN60" s="1636">
        <v>1</v>
      </c>
      <c r="AO60" s="1636">
        <v>1</v>
      </c>
      <c r="AP60" s="1636"/>
      <c r="AQ60" s="1637">
        <v>0.5</v>
      </c>
      <c r="AR60" s="1636">
        <v>0.5</v>
      </c>
      <c r="AS60" s="1623">
        <v>0.5</v>
      </c>
      <c r="AT60" s="1625"/>
      <c r="AU60" s="1623"/>
      <c r="AV60" s="1623"/>
      <c r="AX60" s="1647" t="s">
        <v>1514</v>
      </c>
      <c r="AY60" s="1693" t="s">
        <v>317</v>
      </c>
      <c r="AZ60" s="2064" t="s">
        <v>1515</v>
      </c>
      <c r="BA60" s="1636">
        <v>0.5</v>
      </c>
      <c r="BB60" s="1636">
        <v>0.5</v>
      </c>
      <c r="BC60" s="1636">
        <v>0.5</v>
      </c>
      <c r="BD60" s="1636">
        <v>0.5</v>
      </c>
      <c r="BE60" s="1636">
        <v>1</v>
      </c>
      <c r="BF60" s="1636">
        <v>1</v>
      </c>
      <c r="BG60" s="1636"/>
      <c r="BH60" s="1637">
        <v>0.5</v>
      </c>
      <c r="BI60" s="1636">
        <v>0.5</v>
      </c>
      <c r="BJ60" s="1636">
        <v>0.5</v>
      </c>
      <c r="BK60" s="1638"/>
      <c r="BL60" s="1636"/>
      <c r="BM60" s="1636"/>
      <c r="BO60" s="1647" t="s">
        <v>1514</v>
      </c>
      <c r="BP60" s="1693" t="s">
        <v>317</v>
      </c>
      <c r="BQ60" s="2064" t="s">
        <v>1515</v>
      </c>
      <c r="BR60" s="1636">
        <v>0.5</v>
      </c>
      <c r="BS60" s="1636">
        <v>0.5</v>
      </c>
      <c r="BT60" s="1636">
        <v>0.5</v>
      </c>
      <c r="BU60" s="1636">
        <v>0.5</v>
      </c>
      <c r="BV60" s="1636">
        <v>1</v>
      </c>
      <c r="BW60" s="1636">
        <v>1</v>
      </c>
      <c r="BX60" s="1636"/>
      <c r="BY60" s="1637">
        <v>0.5</v>
      </c>
      <c r="BZ60" s="1636">
        <v>0.5</v>
      </c>
      <c r="CA60" s="1636">
        <v>0.5</v>
      </c>
      <c r="CB60" s="1638"/>
      <c r="CC60" s="1636"/>
      <c r="CD60" s="1636"/>
    </row>
    <row r="61" spans="1:83" s="1605" customFormat="1">
      <c r="A61"/>
      <c r="B61" s="1597" t="str">
        <f t="shared" si="47"/>
        <v>Q2</v>
      </c>
      <c r="C61" s="1597" t="str">
        <f t="shared" si="26"/>
        <v>サービス性能</v>
      </c>
      <c r="D61" s="2056">
        <f>IF(I$8=0,0,G61/I$8)</f>
        <v>0.3</v>
      </c>
      <c r="E61" s="2057">
        <f>IF(J$8=0,0,H61/J$8)</f>
        <v>0</v>
      </c>
      <c r="F61"/>
      <c r="G61" s="2057">
        <f t="shared" si="27"/>
        <v>0.3</v>
      </c>
      <c r="H61" s="2057">
        <f t="shared" si="28"/>
        <v>0</v>
      </c>
      <c r="I61" s="2057">
        <f>G62+G75+G97</f>
        <v>1</v>
      </c>
      <c r="J61" s="2057">
        <f>H62+H75+H97</f>
        <v>0</v>
      </c>
      <c r="K61" s="2057">
        <f>IF(スコア表示!W61=0,0,1)</f>
        <v>1</v>
      </c>
      <c r="L61" s="2057">
        <f>IF(スコア表示!AA61=0,0,1)</f>
        <v>0</v>
      </c>
      <c r="M61" s="2057">
        <f t="shared" si="29"/>
        <v>0.3</v>
      </c>
      <c r="N61" s="2057">
        <f t="shared" si="30"/>
        <v>0</v>
      </c>
      <c r="O61"/>
      <c r="P61" s="1597" t="str">
        <f t="shared" si="31"/>
        <v>Q2</v>
      </c>
      <c r="Q61" s="1597" t="str">
        <f t="shared" si="32"/>
        <v xml:space="preserve"> Q</v>
      </c>
      <c r="R61" s="2058" t="str">
        <f t="shared" si="33"/>
        <v>サービス性能</v>
      </c>
      <c r="S61" s="1603">
        <f t="shared" si="34"/>
        <v>0.3</v>
      </c>
      <c r="T61" s="1603">
        <f t="shared" si="35"/>
        <v>0.3</v>
      </c>
      <c r="U61" s="1603">
        <f t="shared" si="36"/>
        <v>0.3</v>
      </c>
      <c r="V61" s="1603">
        <f t="shared" si="37"/>
        <v>0.3</v>
      </c>
      <c r="W61" s="1603">
        <f t="shared" si="38"/>
        <v>0.3</v>
      </c>
      <c r="X61" s="1603">
        <f t="shared" si="39"/>
        <v>0.3</v>
      </c>
      <c r="Y61" s="1603">
        <f t="shared" si="40"/>
        <v>0.3</v>
      </c>
      <c r="Z61" s="1603">
        <f t="shared" si="41"/>
        <v>0.3</v>
      </c>
      <c r="AA61" s="1603">
        <f t="shared" si="42"/>
        <v>0.3</v>
      </c>
      <c r="AB61" s="1603">
        <f t="shared" si="43"/>
        <v>0.3</v>
      </c>
      <c r="AC61" s="1658">
        <f t="shared" si="44"/>
        <v>0</v>
      </c>
      <c r="AD61" s="1603">
        <f t="shared" si="45"/>
        <v>0</v>
      </c>
      <c r="AE61" s="1603">
        <f t="shared" si="46"/>
        <v>0</v>
      </c>
      <c r="AF61"/>
      <c r="AG61" s="1597" t="s">
        <v>1516</v>
      </c>
      <c r="AH61" s="2059" t="s">
        <v>276</v>
      </c>
      <c r="AI61" s="2058" t="s">
        <v>1517</v>
      </c>
      <c r="AJ61" s="1603">
        <v>0.3</v>
      </c>
      <c r="AK61" s="1603">
        <v>0.3</v>
      </c>
      <c r="AL61" s="1603">
        <v>0.3</v>
      </c>
      <c r="AM61" s="1603">
        <v>0.3</v>
      </c>
      <c r="AN61" s="1603">
        <v>0.3</v>
      </c>
      <c r="AO61" s="1603">
        <v>0.3</v>
      </c>
      <c r="AP61" s="1603">
        <v>0.3</v>
      </c>
      <c r="AQ61" s="1603">
        <v>0.3</v>
      </c>
      <c r="AR61" s="1603">
        <v>0.3</v>
      </c>
      <c r="AS61" s="2060">
        <v>0.3</v>
      </c>
      <c r="AT61" s="2061">
        <v>0</v>
      </c>
      <c r="AU61" s="2060">
        <v>0</v>
      </c>
      <c r="AV61" s="2060">
        <v>0</v>
      </c>
      <c r="AW61"/>
      <c r="AX61" s="1597" t="s">
        <v>1516</v>
      </c>
      <c r="AY61" s="2059" t="s">
        <v>276</v>
      </c>
      <c r="AZ61" s="2058" t="s">
        <v>1517</v>
      </c>
      <c r="BA61" s="2060">
        <v>0.3</v>
      </c>
      <c r="BB61" s="2060">
        <v>0.3</v>
      </c>
      <c r="BC61" s="2060">
        <v>0.3</v>
      </c>
      <c r="BD61" s="2060">
        <v>0.3</v>
      </c>
      <c r="BE61" s="2060">
        <v>0.3</v>
      </c>
      <c r="BF61" s="2060">
        <v>0.3</v>
      </c>
      <c r="BG61" s="2060">
        <v>0.3</v>
      </c>
      <c r="BH61" s="2060">
        <v>0.3</v>
      </c>
      <c r="BI61" s="2060">
        <v>0.3</v>
      </c>
      <c r="BJ61" s="2060">
        <v>0.3</v>
      </c>
      <c r="BK61" s="2061"/>
      <c r="BL61" s="2060"/>
      <c r="BM61" s="2060"/>
      <c r="BN61"/>
      <c r="BO61" s="1597" t="s">
        <v>1516</v>
      </c>
      <c r="BP61" s="2059" t="s">
        <v>276</v>
      </c>
      <c r="BQ61" s="2058" t="s">
        <v>1517</v>
      </c>
      <c r="BR61" s="2060">
        <v>0.3</v>
      </c>
      <c r="BS61" s="2060">
        <v>0.3</v>
      </c>
      <c r="BT61" s="2060">
        <v>0.3</v>
      </c>
      <c r="BU61" s="2060">
        <v>0.3</v>
      </c>
      <c r="BV61" s="2060">
        <v>0.3</v>
      </c>
      <c r="BW61" s="2060">
        <v>0.3</v>
      </c>
      <c r="BX61" s="2060">
        <v>0.3</v>
      </c>
      <c r="BY61" s="2060">
        <v>0.3</v>
      </c>
      <c r="BZ61" s="2060">
        <v>0.3</v>
      </c>
      <c r="CA61" s="2060">
        <v>0.3</v>
      </c>
      <c r="CB61" s="2061"/>
      <c r="CC61" s="2060"/>
      <c r="CD61" s="2060"/>
      <c r="CE61"/>
    </row>
    <row r="62" spans="1:83" s="1605" customFormat="1">
      <c r="A62"/>
      <c r="B62" s="1597">
        <f t="shared" si="47"/>
        <v>1</v>
      </c>
      <c r="C62" s="1641" t="str">
        <f t="shared" si="26"/>
        <v>機能性</v>
      </c>
      <c r="D62" s="2062">
        <f>IF(I$61=0,0,G62/I$61)</f>
        <v>0.4</v>
      </c>
      <c r="E62" s="1743">
        <f>IF(J$61=0,0,H62/J$61)</f>
        <v>0</v>
      </c>
      <c r="F62"/>
      <c r="G62" s="1743">
        <f t="shared" si="27"/>
        <v>0.4</v>
      </c>
      <c r="H62" s="1743">
        <f t="shared" si="28"/>
        <v>0</v>
      </c>
      <c r="I62" s="1743">
        <f>G63+G67+G71</f>
        <v>1</v>
      </c>
      <c r="J62" s="1743">
        <f>H63+H67+H71</f>
        <v>0</v>
      </c>
      <c r="K62" s="1743">
        <f>IF(L62&gt;0,1,IF(スコア表示!W62=0,0,1))</f>
        <v>1</v>
      </c>
      <c r="L62" s="1743">
        <f>IF(スコア表示!AA62=0,0,1)</f>
        <v>0</v>
      </c>
      <c r="M62" s="1743">
        <f t="shared" si="29"/>
        <v>0.4</v>
      </c>
      <c r="N62" s="1743">
        <v>1</v>
      </c>
      <c r="O62"/>
      <c r="P62" s="1641">
        <f t="shared" si="31"/>
        <v>1</v>
      </c>
      <c r="Q62" s="1641" t="str">
        <f t="shared" si="32"/>
        <v xml:space="preserve"> Q2</v>
      </c>
      <c r="R62" s="1780" t="str">
        <f t="shared" si="33"/>
        <v>機能性</v>
      </c>
      <c r="S62" s="1643">
        <f t="shared" si="34"/>
        <v>0.4</v>
      </c>
      <c r="T62" s="1643">
        <f t="shared" si="35"/>
        <v>0.4</v>
      </c>
      <c r="U62" s="1643">
        <f t="shared" si="36"/>
        <v>0.4</v>
      </c>
      <c r="V62" s="1643">
        <f t="shared" si="37"/>
        <v>0.4</v>
      </c>
      <c r="W62" s="1643">
        <f t="shared" si="38"/>
        <v>0.4</v>
      </c>
      <c r="X62" s="1643">
        <f t="shared" si="39"/>
        <v>0.4</v>
      </c>
      <c r="Y62" s="1643">
        <f t="shared" si="40"/>
        <v>0.4</v>
      </c>
      <c r="Z62" s="1629">
        <f t="shared" si="41"/>
        <v>0.4</v>
      </c>
      <c r="AA62" s="1643">
        <f t="shared" si="42"/>
        <v>0.4</v>
      </c>
      <c r="AB62" s="1643">
        <f t="shared" si="43"/>
        <v>0.4</v>
      </c>
      <c r="AC62" s="1690">
        <f t="shared" si="44"/>
        <v>0</v>
      </c>
      <c r="AD62" s="1643">
        <f t="shared" si="45"/>
        <v>0</v>
      </c>
      <c r="AE62" s="1643">
        <f t="shared" si="46"/>
        <v>0</v>
      </c>
      <c r="AF62"/>
      <c r="AG62" s="1641">
        <v>1</v>
      </c>
      <c r="AH62" s="1744" t="s">
        <v>318</v>
      </c>
      <c r="AI62" s="1780" t="s">
        <v>319</v>
      </c>
      <c r="AJ62" s="1643">
        <v>0.4</v>
      </c>
      <c r="AK62" s="1643">
        <v>0.4</v>
      </c>
      <c r="AL62" s="1643">
        <v>0.4</v>
      </c>
      <c r="AM62" s="1643">
        <v>0.4</v>
      </c>
      <c r="AN62" s="1643">
        <v>0.4</v>
      </c>
      <c r="AO62" s="1643">
        <v>0.4</v>
      </c>
      <c r="AP62" s="1643">
        <v>0.4</v>
      </c>
      <c r="AQ62" s="1629">
        <v>0.4</v>
      </c>
      <c r="AR62" s="1643">
        <v>0.4</v>
      </c>
      <c r="AS62" s="2079">
        <v>0.4</v>
      </c>
      <c r="AT62" s="2080"/>
      <c r="AU62" s="2079"/>
      <c r="AV62" s="2079"/>
      <c r="AW62"/>
      <c r="AX62" s="1641">
        <v>1</v>
      </c>
      <c r="AY62" s="1744" t="s">
        <v>318</v>
      </c>
      <c r="AZ62" s="1780" t="s">
        <v>319</v>
      </c>
      <c r="BA62" s="2079">
        <v>0.4</v>
      </c>
      <c r="BB62" s="2079">
        <v>0.4</v>
      </c>
      <c r="BC62" s="2079">
        <v>0.4</v>
      </c>
      <c r="BD62" s="2079">
        <v>0.4</v>
      </c>
      <c r="BE62" s="2079">
        <v>0.4</v>
      </c>
      <c r="BF62" s="2079">
        <v>0.4</v>
      </c>
      <c r="BG62" s="2079">
        <v>0.4</v>
      </c>
      <c r="BH62" s="2081">
        <v>0.4</v>
      </c>
      <c r="BI62" s="2079">
        <v>0.4</v>
      </c>
      <c r="BJ62" s="2079">
        <v>0.4</v>
      </c>
      <c r="BK62" s="2080"/>
      <c r="BL62" s="2079"/>
      <c r="BM62" s="2079"/>
      <c r="BN62"/>
      <c r="BO62" s="1641">
        <v>1</v>
      </c>
      <c r="BP62" s="1744" t="s">
        <v>318</v>
      </c>
      <c r="BQ62" s="1780" t="s">
        <v>319</v>
      </c>
      <c r="BR62" s="2079">
        <v>0.4</v>
      </c>
      <c r="BS62" s="2079">
        <v>0.4</v>
      </c>
      <c r="BT62" s="2079">
        <v>0.4</v>
      </c>
      <c r="BU62" s="2079">
        <v>0.4</v>
      </c>
      <c r="BV62" s="2079">
        <v>0.4</v>
      </c>
      <c r="BW62" s="2079">
        <v>0.4</v>
      </c>
      <c r="BX62" s="2079">
        <v>0.4</v>
      </c>
      <c r="BY62" s="2081">
        <v>0.4</v>
      </c>
      <c r="BZ62" s="2079">
        <v>0.4</v>
      </c>
      <c r="CA62" s="2079">
        <v>0.4</v>
      </c>
      <c r="CB62" s="2080"/>
      <c r="CC62" s="2079"/>
      <c r="CD62" s="2079"/>
      <c r="CE62"/>
    </row>
    <row r="63" spans="1:83">
      <c r="B63" s="1597">
        <f t="shared" si="47"/>
        <v>1.1000000000000001</v>
      </c>
      <c r="C63" s="1614" t="str">
        <f t="shared" si="26"/>
        <v>機能性・使いやすさ</v>
      </c>
      <c r="D63" s="1716">
        <f>IF(I$62=0,0,G63/I$62)</f>
        <v>0.4</v>
      </c>
      <c r="E63" s="1691">
        <f>IF(J$62=0,0,H63/J$62)</f>
        <v>0</v>
      </c>
      <c r="G63" s="1691">
        <f t="shared" si="27"/>
        <v>0.4</v>
      </c>
      <c r="H63" s="1691">
        <f t="shared" si="28"/>
        <v>0</v>
      </c>
      <c r="I63" s="1691">
        <f>SUM(G64:G66)</f>
        <v>1</v>
      </c>
      <c r="J63" s="1691">
        <f>SUM(H64:H66)</f>
        <v>0</v>
      </c>
      <c r="K63" s="1691">
        <f>IF(スコア表示!W63=0,0,1)</f>
        <v>1</v>
      </c>
      <c r="L63" s="1691">
        <f>IF(スコア表示!AA63=0,0,1)</f>
        <v>0</v>
      </c>
      <c r="M63" s="1691">
        <f t="shared" si="29"/>
        <v>0.4</v>
      </c>
      <c r="N63" s="1691">
        <f t="shared" si="30"/>
        <v>0</v>
      </c>
      <c r="P63" s="1647">
        <f t="shared" si="31"/>
        <v>1.1000000000000001</v>
      </c>
      <c r="Q63" s="1647" t="str">
        <f t="shared" si="32"/>
        <v xml:space="preserve"> Q2 1</v>
      </c>
      <c r="R63" s="1737" t="str">
        <f t="shared" si="33"/>
        <v>機能性・使いやすさ</v>
      </c>
      <c r="S63" s="1618">
        <f t="shared" si="34"/>
        <v>0.4</v>
      </c>
      <c r="T63" s="1618">
        <f t="shared" si="35"/>
        <v>0.4</v>
      </c>
      <c r="U63" s="1618">
        <f t="shared" si="36"/>
        <v>0.4</v>
      </c>
      <c r="V63" s="1618">
        <f t="shared" si="37"/>
        <v>0.4</v>
      </c>
      <c r="W63" s="1618">
        <f t="shared" si="38"/>
        <v>0.4</v>
      </c>
      <c r="X63" s="1618">
        <f t="shared" si="39"/>
        <v>0.4</v>
      </c>
      <c r="Y63" s="1618">
        <f t="shared" si="40"/>
        <v>0.4</v>
      </c>
      <c r="Z63" s="1631">
        <f t="shared" si="41"/>
        <v>0.4</v>
      </c>
      <c r="AA63" s="1618">
        <f t="shared" si="42"/>
        <v>0.4</v>
      </c>
      <c r="AB63" s="1618">
        <f t="shared" si="43"/>
        <v>0.4</v>
      </c>
      <c r="AC63" s="1619">
        <f t="shared" si="44"/>
        <v>0.6</v>
      </c>
      <c r="AD63" s="1618">
        <f t="shared" si="45"/>
        <v>0.6</v>
      </c>
      <c r="AE63" s="1618">
        <f t="shared" si="46"/>
        <v>0.6</v>
      </c>
      <c r="AG63" s="1647">
        <v>1.1000000000000001</v>
      </c>
      <c r="AH63" s="1693" t="s">
        <v>320</v>
      </c>
      <c r="AI63" s="2064" t="s">
        <v>417</v>
      </c>
      <c r="AJ63" s="1618">
        <v>0.4</v>
      </c>
      <c r="AK63" s="1618">
        <v>0.4</v>
      </c>
      <c r="AL63" s="1618">
        <v>0.4</v>
      </c>
      <c r="AM63" s="2353">
        <v>0.4</v>
      </c>
      <c r="AN63" s="2353">
        <v>0.4</v>
      </c>
      <c r="AO63" s="1618">
        <v>0.4</v>
      </c>
      <c r="AP63" s="2353">
        <v>0.4</v>
      </c>
      <c r="AQ63" s="1618">
        <v>0.4</v>
      </c>
      <c r="AR63" s="2353">
        <v>0.4</v>
      </c>
      <c r="AS63" s="1623">
        <v>0.4</v>
      </c>
      <c r="AT63" s="1623">
        <v>0.6</v>
      </c>
      <c r="AU63" s="1623">
        <v>0.6</v>
      </c>
      <c r="AV63" s="1623">
        <v>0.6</v>
      </c>
      <c r="AX63" s="1647">
        <v>1.1000000000000001</v>
      </c>
      <c r="AY63" s="1693" t="s">
        <v>320</v>
      </c>
      <c r="AZ63" s="2064" t="s">
        <v>417</v>
      </c>
      <c r="BA63" s="1623">
        <v>0.4</v>
      </c>
      <c r="BB63" s="1623">
        <v>0.4</v>
      </c>
      <c r="BC63" s="1623">
        <v>0.4</v>
      </c>
      <c r="BD63" s="1623">
        <v>0.4</v>
      </c>
      <c r="BE63" s="1623">
        <v>0.4</v>
      </c>
      <c r="BF63" s="1623">
        <v>0.4</v>
      </c>
      <c r="BG63" s="1623">
        <v>0.4</v>
      </c>
      <c r="BH63" s="1624">
        <v>0.4</v>
      </c>
      <c r="BI63" s="1623">
        <v>0.4</v>
      </c>
      <c r="BJ63" s="1623">
        <v>0.4</v>
      </c>
      <c r="BK63" s="1623">
        <v>0.6</v>
      </c>
      <c r="BL63" s="1623">
        <v>0.6</v>
      </c>
      <c r="BM63" s="1623">
        <v>0.6</v>
      </c>
      <c r="BO63" s="1647">
        <v>1.1000000000000001</v>
      </c>
      <c r="BP63" s="1693" t="s">
        <v>320</v>
      </c>
      <c r="BQ63" s="2064" t="s">
        <v>417</v>
      </c>
      <c r="BR63" s="1623">
        <v>0.4</v>
      </c>
      <c r="BS63" s="1623">
        <v>0.4</v>
      </c>
      <c r="BT63" s="1623">
        <v>0.4</v>
      </c>
      <c r="BU63" s="1623">
        <v>0.4</v>
      </c>
      <c r="BV63" s="1623">
        <v>0.4</v>
      </c>
      <c r="BW63" s="1623">
        <v>0.4</v>
      </c>
      <c r="BX63" s="1623">
        <v>0.4</v>
      </c>
      <c r="BY63" s="1624">
        <v>0.4</v>
      </c>
      <c r="BZ63" s="1623">
        <v>0.4</v>
      </c>
      <c r="CA63" s="1623">
        <v>0.4</v>
      </c>
      <c r="CB63" s="1623">
        <v>0.6</v>
      </c>
      <c r="CC63" s="1623">
        <v>0.6</v>
      </c>
      <c r="CD63" s="1623">
        <v>0.6</v>
      </c>
    </row>
    <row r="64" spans="1:83">
      <c r="B64" s="1597" t="str">
        <f t="shared" si="47"/>
        <v>1.1.1</v>
      </c>
      <c r="C64" s="1614" t="str">
        <f t="shared" si="26"/>
        <v>広さ・収納性</v>
      </c>
      <c r="D64" s="1721">
        <f t="shared" ref="D64:E66" si="50">IF(I$63&gt;0,G64/I$63,0)</f>
        <v>0.33333333333333331</v>
      </c>
      <c r="E64" s="1691">
        <f t="shared" si="50"/>
        <v>0</v>
      </c>
      <c r="G64" s="1691">
        <f t="shared" si="27"/>
        <v>0.33333333333333331</v>
      </c>
      <c r="H64" s="1691">
        <f t="shared" si="28"/>
        <v>0</v>
      </c>
      <c r="I64" s="1691"/>
      <c r="J64" s="1691"/>
      <c r="K64" s="1691">
        <f>IF(スコア表示!W64=0,0,1)</f>
        <v>1</v>
      </c>
      <c r="L64" s="1691">
        <f>IF(スコア表示!AA64=0,0,1)</f>
        <v>1</v>
      </c>
      <c r="M64" s="1691">
        <f t="shared" si="29"/>
        <v>0.33333333333333331</v>
      </c>
      <c r="N64" s="1691">
        <f t="shared" si="30"/>
        <v>0</v>
      </c>
      <c r="P64" s="1647" t="str">
        <f t="shared" si="31"/>
        <v>1.1.1</v>
      </c>
      <c r="Q64" s="1647" t="str">
        <f t="shared" si="32"/>
        <v xml:space="preserve"> Q2 1.1</v>
      </c>
      <c r="R64" s="1737" t="str">
        <f t="shared" si="33"/>
        <v>広さ・収納性</v>
      </c>
      <c r="S64" s="1618">
        <f t="shared" si="34"/>
        <v>0.33333333333333331</v>
      </c>
      <c r="T64" s="1618">
        <f t="shared" si="35"/>
        <v>0</v>
      </c>
      <c r="U64" s="1618">
        <f t="shared" si="36"/>
        <v>0</v>
      </c>
      <c r="V64" s="1618">
        <f t="shared" si="37"/>
        <v>0</v>
      </c>
      <c r="W64" s="1618">
        <f t="shared" si="38"/>
        <v>0</v>
      </c>
      <c r="X64" s="1618">
        <f t="shared" si="39"/>
        <v>0</v>
      </c>
      <c r="Y64" s="1618">
        <f t="shared" si="40"/>
        <v>0</v>
      </c>
      <c r="Z64" s="1631">
        <f t="shared" si="41"/>
        <v>0</v>
      </c>
      <c r="AA64" s="1618">
        <f t="shared" si="42"/>
        <v>0.33333333333333331</v>
      </c>
      <c r="AB64" s="1618">
        <f t="shared" si="43"/>
        <v>0.5</v>
      </c>
      <c r="AC64" s="1619">
        <f t="shared" si="44"/>
        <v>1</v>
      </c>
      <c r="AD64" s="1618">
        <f t="shared" si="45"/>
        <v>0.5</v>
      </c>
      <c r="AE64" s="1618">
        <f t="shared" si="46"/>
        <v>0</v>
      </c>
      <c r="AG64" s="1647" t="s">
        <v>1518</v>
      </c>
      <c r="AH64" s="1693" t="s">
        <v>321</v>
      </c>
      <c r="AI64" s="2064" t="s">
        <v>322</v>
      </c>
      <c r="AJ64" s="1639">
        <v>0.33333333333333331</v>
      </c>
      <c r="AK64" s="1618"/>
      <c r="AL64" s="1618"/>
      <c r="AM64" s="1618"/>
      <c r="AN64" s="1618"/>
      <c r="AO64" s="1618"/>
      <c r="AP64" s="1618"/>
      <c r="AQ64" s="1631"/>
      <c r="AR64" s="1639">
        <v>0.33333333333333331</v>
      </c>
      <c r="AS64" s="2356">
        <v>0.5</v>
      </c>
      <c r="AT64" s="1625">
        <v>1</v>
      </c>
      <c r="AU64" s="1623">
        <v>0.5</v>
      </c>
      <c r="AV64" s="1623"/>
      <c r="AX64" s="1647" t="s">
        <v>1518</v>
      </c>
      <c r="AY64" s="1693" t="s">
        <v>321</v>
      </c>
      <c r="AZ64" s="2064" t="s">
        <v>322</v>
      </c>
      <c r="BA64" s="1623">
        <v>0.33333333333333331</v>
      </c>
      <c r="BB64" s="1623"/>
      <c r="BC64" s="1623"/>
      <c r="BD64" s="1623"/>
      <c r="BE64" s="1623"/>
      <c r="BF64" s="1623"/>
      <c r="BG64" s="1623"/>
      <c r="BH64" s="1624"/>
      <c r="BI64" s="1623">
        <v>0.33333333333333331</v>
      </c>
      <c r="BJ64" s="1623"/>
      <c r="BK64" s="1625">
        <v>1</v>
      </c>
      <c r="BL64" s="1623">
        <v>0.5</v>
      </c>
      <c r="BM64" s="1623"/>
      <c r="BO64" s="1647" t="s">
        <v>1518</v>
      </c>
      <c r="BP64" s="1693" t="s">
        <v>321</v>
      </c>
      <c r="BQ64" s="2064" t="s">
        <v>322</v>
      </c>
      <c r="BR64" s="1623">
        <v>0.33333333333333331</v>
      </c>
      <c r="BS64" s="1623"/>
      <c r="BT64" s="1623"/>
      <c r="BU64" s="1623"/>
      <c r="BV64" s="1623"/>
      <c r="BW64" s="1623"/>
      <c r="BX64" s="1623"/>
      <c r="BY64" s="1624"/>
      <c r="BZ64" s="1623">
        <v>0.33333333333333331</v>
      </c>
      <c r="CA64" s="1623"/>
      <c r="CB64" s="1625">
        <v>1</v>
      </c>
      <c r="CC64" s="1623">
        <v>0.5</v>
      </c>
      <c r="CD64" s="1623"/>
    </row>
    <row r="65" spans="1:94">
      <c r="B65" s="1597" t="str">
        <f t="shared" si="47"/>
        <v>1.1.2</v>
      </c>
      <c r="C65" s="1614" t="str">
        <f t="shared" si="26"/>
        <v>高度情報通信設備対応</v>
      </c>
      <c r="D65" s="1721">
        <f t="shared" si="50"/>
        <v>0.33333333333333331</v>
      </c>
      <c r="E65" s="1691">
        <f t="shared" si="50"/>
        <v>0</v>
      </c>
      <c r="G65" s="1691">
        <f t="shared" si="27"/>
        <v>0.33333333333333331</v>
      </c>
      <c r="H65" s="1691">
        <f t="shared" si="28"/>
        <v>0</v>
      </c>
      <c r="I65" s="1691"/>
      <c r="J65" s="1691"/>
      <c r="K65" s="1691">
        <f>IF(スコア表示!W65=0,0,1)</f>
        <v>1</v>
      </c>
      <c r="L65" s="1691">
        <f>IF(スコア表示!AA65=0,0,1)</f>
        <v>0</v>
      </c>
      <c r="M65" s="1691">
        <f t="shared" si="29"/>
        <v>0.33333333333333331</v>
      </c>
      <c r="N65" s="1691">
        <f t="shared" si="30"/>
        <v>0</v>
      </c>
      <c r="P65" s="1647" t="str">
        <f t="shared" si="31"/>
        <v>1.1.2</v>
      </c>
      <c r="Q65" s="1647" t="str">
        <f t="shared" si="32"/>
        <v xml:space="preserve"> Q2 1.1</v>
      </c>
      <c r="R65" s="1737" t="str">
        <f t="shared" si="33"/>
        <v>高度情報通信設備対応</v>
      </c>
      <c r="S65" s="1618">
        <f t="shared" si="34"/>
        <v>0.33333333333333331</v>
      </c>
      <c r="T65" s="1618">
        <f t="shared" si="35"/>
        <v>0</v>
      </c>
      <c r="U65" s="1618">
        <f t="shared" si="36"/>
        <v>0</v>
      </c>
      <c r="V65" s="1618">
        <f t="shared" si="37"/>
        <v>0</v>
      </c>
      <c r="W65" s="1618">
        <f t="shared" si="38"/>
        <v>0</v>
      </c>
      <c r="X65" s="1618">
        <f t="shared" si="39"/>
        <v>0</v>
      </c>
      <c r="Y65" s="1618">
        <f t="shared" si="40"/>
        <v>0</v>
      </c>
      <c r="Z65" s="1631">
        <f t="shared" si="41"/>
        <v>0</v>
      </c>
      <c r="AA65" s="1618">
        <f t="shared" si="42"/>
        <v>0.33333333333333331</v>
      </c>
      <c r="AB65" s="1618">
        <f t="shared" si="43"/>
        <v>0</v>
      </c>
      <c r="AC65" s="1619">
        <f t="shared" si="44"/>
        <v>0</v>
      </c>
      <c r="AD65" s="1618">
        <f t="shared" si="45"/>
        <v>0.5</v>
      </c>
      <c r="AE65" s="1618">
        <f t="shared" si="46"/>
        <v>1</v>
      </c>
      <c r="AG65" s="1647" t="s">
        <v>1519</v>
      </c>
      <c r="AH65" s="1693" t="s">
        <v>321</v>
      </c>
      <c r="AI65" s="2064" t="s">
        <v>1520</v>
      </c>
      <c r="AJ65" s="1639">
        <v>0.33333333333333331</v>
      </c>
      <c r="AK65" s="1618"/>
      <c r="AL65" s="1618"/>
      <c r="AM65" s="1618"/>
      <c r="AN65" s="1618"/>
      <c r="AO65" s="1618"/>
      <c r="AP65" s="1618"/>
      <c r="AQ65" s="1631"/>
      <c r="AR65" s="1639">
        <v>0.33333333333333331</v>
      </c>
      <c r="AS65" s="2356"/>
      <c r="AT65" s="1625"/>
      <c r="AU65" s="1623">
        <v>0.5</v>
      </c>
      <c r="AV65" s="1623">
        <v>1</v>
      </c>
      <c r="AX65" s="1647" t="s">
        <v>1519</v>
      </c>
      <c r="AY65" s="1693" t="s">
        <v>321</v>
      </c>
      <c r="AZ65" s="2064" t="s">
        <v>1520</v>
      </c>
      <c r="BA65" s="1623">
        <v>0.33333333333333331</v>
      </c>
      <c r="BB65" s="1623"/>
      <c r="BC65" s="1623"/>
      <c r="BD65" s="1623"/>
      <c r="BE65" s="1623"/>
      <c r="BF65" s="1623"/>
      <c r="BG65" s="1623"/>
      <c r="BH65" s="1624"/>
      <c r="BI65" s="1623">
        <v>0.33333333333333331</v>
      </c>
      <c r="BJ65" s="1623"/>
      <c r="BK65" s="1625"/>
      <c r="BL65" s="1623">
        <v>0.5</v>
      </c>
      <c r="BM65" s="1623">
        <v>1</v>
      </c>
      <c r="BO65" s="1647" t="s">
        <v>1519</v>
      </c>
      <c r="BP65" s="1693" t="s">
        <v>321</v>
      </c>
      <c r="BQ65" s="2064" t="s">
        <v>1520</v>
      </c>
      <c r="BR65" s="1623">
        <v>0.33333333333333331</v>
      </c>
      <c r="BS65" s="1623"/>
      <c r="BT65" s="1623"/>
      <c r="BU65" s="1623"/>
      <c r="BV65" s="1623"/>
      <c r="BW65" s="1623"/>
      <c r="BX65" s="1623"/>
      <c r="BY65" s="1624"/>
      <c r="BZ65" s="1623">
        <v>0.33333333333333331</v>
      </c>
      <c r="CA65" s="1623"/>
      <c r="CB65" s="1625"/>
      <c r="CC65" s="1623">
        <v>0.5</v>
      </c>
      <c r="CD65" s="1623">
        <v>1</v>
      </c>
    </row>
    <row r="66" spans="1:94">
      <c r="B66" s="1597" t="str">
        <f t="shared" si="47"/>
        <v>1.1.3</v>
      </c>
      <c r="C66" s="1614" t="str">
        <f t="shared" si="26"/>
        <v>バリアフリー計画</v>
      </c>
      <c r="D66" s="1721">
        <f t="shared" si="50"/>
        <v>0.33333333333333331</v>
      </c>
      <c r="E66" s="1691">
        <f t="shared" si="50"/>
        <v>0</v>
      </c>
      <c r="G66" s="1691">
        <f t="shared" si="27"/>
        <v>0.33333333333333331</v>
      </c>
      <c r="H66" s="1691">
        <f t="shared" si="28"/>
        <v>0</v>
      </c>
      <c r="I66" s="1691"/>
      <c r="J66" s="1691"/>
      <c r="K66" s="1691">
        <f>IF(スコア表示!W66=0,0,1)</f>
        <v>1</v>
      </c>
      <c r="L66" s="1691">
        <f>IF(スコア表示!AA66=0,0,1)</f>
        <v>0</v>
      </c>
      <c r="M66" s="1691">
        <f t="shared" si="29"/>
        <v>0.33333333333333331</v>
      </c>
      <c r="N66" s="1691">
        <f t="shared" si="30"/>
        <v>0</v>
      </c>
      <c r="P66" s="1647" t="str">
        <f t="shared" si="31"/>
        <v>1.1.3</v>
      </c>
      <c r="Q66" s="1647" t="str">
        <f t="shared" si="32"/>
        <v xml:space="preserve"> Q2 1.1</v>
      </c>
      <c r="R66" s="1737" t="str">
        <f t="shared" si="33"/>
        <v>バリアフリー計画</v>
      </c>
      <c r="S66" s="1618">
        <f t="shared" si="34"/>
        <v>0.33333333333333331</v>
      </c>
      <c r="T66" s="1618">
        <f t="shared" si="35"/>
        <v>1</v>
      </c>
      <c r="U66" s="1618">
        <f t="shared" si="36"/>
        <v>1</v>
      </c>
      <c r="V66" s="1618">
        <f t="shared" si="37"/>
        <v>1</v>
      </c>
      <c r="W66" s="1618">
        <f t="shared" si="38"/>
        <v>1</v>
      </c>
      <c r="X66" s="1618">
        <f t="shared" si="39"/>
        <v>1</v>
      </c>
      <c r="Y66" s="1618">
        <f t="shared" si="40"/>
        <v>1</v>
      </c>
      <c r="Z66" s="1631">
        <f t="shared" si="41"/>
        <v>1</v>
      </c>
      <c r="AA66" s="1618">
        <f t="shared" si="42"/>
        <v>0.33333333333333331</v>
      </c>
      <c r="AB66" s="1618">
        <f t="shared" si="43"/>
        <v>0.5</v>
      </c>
      <c r="AC66" s="1619">
        <f t="shared" si="44"/>
        <v>0</v>
      </c>
      <c r="AD66" s="1618">
        <f t="shared" si="45"/>
        <v>0</v>
      </c>
      <c r="AE66" s="1618">
        <f t="shared" si="46"/>
        <v>0</v>
      </c>
      <c r="AG66" s="1647" t="s">
        <v>1521</v>
      </c>
      <c r="AH66" s="1693" t="s">
        <v>321</v>
      </c>
      <c r="AI66" s="2064" t="s">
        <v>323</v>
      </c>
      <c r="AJ66" s="1639">
        <v>0.33333333333333331</v>
      </c>
      <c r="AK66" s="1618">
        <v>1</v>
      </c>
      <c r="AL66" s="1618">
        <v>1</v>
      </c>
      <c r="AM66" s="1618">
        <v>1</v>
      </c>
      <c r="AN66" s="1618">
        <v>1</v>
      </c>
      <c r="AO66" s="1618">
        <v>1</v>
      </c>
      <c r="AP66" s="1618">
        <v>1</v>
      </c>
      <c r="AQ66" s="1631">
        <v>1</v>
      </c>
      <c r="AR66" s="1639">
        <v>0.33333333333333331</v>
      </c>
      <c r="AS66" s="2356">
        <v>0.5</v>
      </c>
      <c r="AT66" s="1625"/>
      <c r="AU66" s="1623"/>
      <c r="AV66" s="1623"/>
      <c r="AX66" s="1647" t="s">
        <v>1521</v>
      </c>
      <c r="AY66" s="1693" t="s">
        <v>321</v>
      </c>
      <c r="AZ66" s="2064" t="s">
        <v>323</v>
      </c>
      <c r="BA66" s="1623">
        <v>0.33333333333333331</v>
      </c>
      <c r="BB66" s="1623">
        <v>1</v>
      </c>
      <c r="BC66" s="1623">
        <v>1</v>
      </c>
      <c r="BD66" s="1623">
        <v>1</v>
      </c>
      <c r="BE66" s="1623">
        <v>1</v>
      </c>
      <c r="BF66" s="1623">
        <v>1</v>
      </c>
      <c r="BG66" s="1623">
        <v>1</v>
      </c>
      <c r="BH66" s="1624">
        <v>1</v>
      </c>
      <c r="BI66" s="1623">
        <v>0.33333333333333331</v>
      </c>
      <c r="BJ66" s="1623">
        <v>1</v>
      </c>
      <c r="BK66" s="1625"/>
      <c r="BL66" s="1623"/>
      <c r="BM66" s="1623"/>
      <c r="BO66" s="1647" t="s">
        <v>1521</v>
      </c>
      <c r="BP66" s="1693" t="s">
        <v>321</v>
      </c>
      <c r="BQ66" s="2064" t="s">
        <v>323</v>
      </c>
      <c r="BR66" s="1623">
        <v>0.33333333333333331</v>
      </c>
      <c r="BS66" s="1623">
        <v>1</v>
      </c>
      <c r="BT66" s="1623">
        <v>1</v>
      </c>
      <c r="BU66" s="1623">
        <v>1</v>
      </c>
      <c r="BV66" s="1623">
        <v>1</v>
      </c>
      <c r="BW66" s="1623">
        <v>1</v>
      </c>
      <c r="BX66" s="1623">
        <v>1</v>
      </c>
      <c r="BY66" s="1624">
        <v>1</v>
      </c>
      <c r="BZ66" s="1623">
        <v>0.33333333333333331</v>
      </c>
      <c r="CA66" s="1623">
        <v>1</v>
      </c>
      <c r="CB66" s="1625"/>
      <c r="CC66" s="1623"/>
      <c r="CD66" s="1623"/>
    </row>
    <row r="67" spans="1:94">
      <c r="B67" s="1597">
        <f t="shared" si="47"/>
        <v>1.2</v>
      </c>
      <c r="C67" s="1614" t="str">
        <f t="shared" si="26"/>
        <v>心理性・快適性</v>
      </c>
      <c r="D67" s="1716">
        <f>IF(I$62=0,0,G67/I$62)</f>
        <v>0.3</v>
      </c>
      <c r="E67" s="1691">
        <f>IF(J$62=0,0,H67/J$62)</f>
        <v>0</v>
      </c>
      <c r="G67" s="1691">
        <f t="shared" si="27"/>
        <v>0.3</v>
      </c>
      <c r="H67" s="1691">
        <f t="shared" si="28"/>
        <v>0</v>
      </c>
      <c r="I67" s="1691">
        <f>G68+G69+G70</f>
        <v>1</v>
      </c>
      <c r="J67" s="1691">
        <f>H68+H69+H70</f>
        <v>0</v>
      </c>
      <c r="K67" s="1691">
        <f>IF(スコア表示!W67=0,0,1)</f>
        <v>1</v>
      </c>
      <c r="L67" s="1691">
        <f>IF(スコア表示!AA67=0,0,1)</f>
        <v>0</v>
      </c>
      <c r="M67" s="1691">
        <f t="shared" si="29"/>
        <v>0.3</v>
      </c>
      <c r="N67" s="1691">
        <f t="shared" si="30"/>
        <v>0</v>
      </c>
      <c r="P67" s="1647">
        <f t="shared" si="31"/>
        <v>1.2</v>
      </c>
      <c r="Q67" s="1647" t="str">
        <f t="shared" si="32"/>
        <v xml:space="preserve"> Q2 1</v>
      </c>
      <c r="R67" s="1737" t="str">
        <f t="shared" si="33"/>
        <v>心理性・快適性</v>
      </c>
      <c r="S67" s="1618">
        <f t="shared" si="34"/>
        <v>0.3</v>
      </c>
      <c r="T67" s="1618">
        <f t="shared" si="35"/>
        <v>0.3</v>
      </c>
      <c r="U67" s="1618">
        <f t="shared" si="36"/>
        <v>0.3</v>
      </c>
      <c r="V67" s="1618">
        <f t="shared" si="37"/>
        <v>0.3</v>
      </c>
      <c r="W67" s="1618">
        <f t="shared" si="38"/>
        <v>0.3</v>
      </c>
      <c r="X67" s="1618">
        <f t="shared" si="39"/>
        <v>0.3</v>
      </c>
      <c r="Y67" s="1618">
        <f t="shared" si="40"/>
        <v>0.3</v>
      </c>
      <c r="Z67" s="1631">
        <f t="shared" si="41"/>
        <v>0.3</v>
      </c>
      <c r="AA67" s="1618">
        <f t="shared" si="42"/>
        <v>0.3</v>
      </c>
      <c r="AB67" s="1618">
        <f t="shared" si="43"/>
        <v>0.3</v>
      </c>
      <c r="AC67" s="1619">
        <f t="shared" si="44"/>
        <v>0.4</v>
      </c>
      <c r="AD67" s="1618">
        <f t="shared" si="45"/>
        <v>0.4</v>
      </c>
      <c r="AE67" s="1618">
        <f t="shared" si="46"/>
        <v>0.4</v>
      </c>
      <c r="AG67" s="1647">
        <v>1.2</v>
      </c>
      <c r="AH67" s="1693" t="s">
        <v>320</v>
      </c>
      <c r="AI67" s="2064" t="s">
        <v>715</v>
      </c>
      <c r="AJ67" s="1618">
        <v>0.3</v>
      </c>
      <c r="AK67" s="1618">
        <v>0.3</v>
      </c>
      <c r="AL67" s="1618">
        <v>0.3</v>
      </c>
      <c r="AM67" s="2353">
        <v>0.3</v>
      </c>
      <c r="AN67" s="2353">
        <v>0.3</v>
      </c>
      <c r="AO67" s="1618">
        <v>0.3</v>
      </c>
      <c r="AP67" s="2353">
        <v>0.3</v>
      </c>
      <c r="AQ67" s="1618">
        <v>0.3</v>
      </c>
      <c r="AR67" s="2353">
        <v>0.3</v>
      </c>
      <c r="AS67" s="1623">
        <v>0.3</v>
      </c>
      <c r="AT67" s="1623">
        <v>0.4</v>
      </c>
      <c r="AU67" s="1623">
        <v>0.4</v>
      </c>
      <c r="AV67" s="1623">
        <v>0.4</v>
      </c>
      <c r="AX67" s="1647">
        <v>1.2</v>
      </c>
      <c r="AY67" s="1693" t="s">
        <v>320</v>
      </c>
      <c r="AZ67" s="2064" t="s">
        <v>715</v>
      </c>
      <c r="BA67" s="1623">
        <v>0.3</v>
      </c>
      <c r="BB67" s="1623">
        <v>0.3</v>
      </c>
      <c r="BC67" s="1623">
        <v>0.3</v>
      </c>
      <c r="BD67" s="1623">
        <v>0.3</v>
      </c>
      <c r="BE67" s="1623">
        <v>0.3</v>
      </c>
      <c r="BF67" s="1623">
        <v>0.3</v>
      </c>
      <c r="BG67" s="1623">
        <v>0.3</v>
      </c>
      <c r="BH67" s="1624">
        <v>0.3</v>
      </c>
      <c r="BI67" s="1623">
        <v>0.3</v>
      </c>
      <c r="BJ67" s="1623">
        <v>0.3</v>
      </c>
      <c r="BK67" s="1623">
        <v>0.4</v>
      </c>
      <c r="BL67" s="1623">
        <v>0.4</v>
      </c>
      <c r="BM67" s="1623">
        <v>0.4</v>
      </c>
      <c r="BO67" s="1647">
        <v>1.2</v>
      </c>
      <c r="BP67" s="1693" t="s">
        <v>320</v>
      </c>
      <c r="BQ67" s="2064" t="s">
        <v>715</v>
      </c>
      <c r="BR67" s="1623">
        <v>0.3</v>
      </c>
      <c r="BS67" s="1623">
        <v>0.3</v>
      </c>
      <c r="BT67" s="1623">
        <v>0.3</v>
      </c>
      <c r="BU67" s="1623">
        <v>0.3</v>
      </c>
      <c r="BV67" s="1623">
        <v>0.3</v>
      </c>
      <c r="BW67" s="1623">
        <v>0.3</v>
      </c>
      <c r="BX67" s="1623">
        <v>0.3</v>
      </c>
      <c r="BY67" s="1624">
        <v>0.3</v>
      </c>
      <c r="BZ67" s="1623">
        <v>0.3</v>
      </c>
      <c r="CA67" s="1623">
        <v>0.3</v>
      </c>
      <c r="CB67" s="1623">
        <v>0.4</v>
      </c>
      <c r="CC67" s="1623">
        <v>0.4</v>
      </c>
      <c r="CD67" s="1623">
        <v>0.4</v>
      </c>
    </row>
    <row r="68" spans="1:94">
      <c r="B68" s="1597" t="str">
        <f t="shared" si="47"/>
        <v>1.2.1</v>
      </c>
      <c r="C68" s="1614" t="str">
        <f t="shared" si="26"/>
        <v>広さ感・景観</v>
      </c>
      <c r="D68" s="1721">
        <f t="shared" ref="D68:E70" si="51">IF(I$67&gt;0,G68/I$67,0)</f>
        <v>0.33333333333333331</v>
      </c>
      <c r="E68" s="1691">
        <f t="shared" si="51"/>
        <v>0</v>
      </c>
      <c r="G68" s="1691">
        <f t="shared" si="27"/>
        <v>0.33333333333333331</v>
      </c>
      <c r="H68" s="1691">
        <f t="shared" si="28"/>
        <v>0</v>
      </c>
      <c r="I68" s="1691"/>
      <c r="J68" s="1691"/>
      <c r="K68" s="1691">
        <f>IF(スコア表示!W68=0,0,1)</f>
        <v>1</v>
      </c>
      <c r="L68" s="1691">
        <f>IF(スコア表示!AA68=0,0,1)</f>
        <v>1</v>
      </c>
      <c r="M68" s="1691">
        <f t="shared" si="29"/>
        <v>0.33333333333333331</v>
      </c>
      <c r="N68" s="1691">
        <f t="shared" si="30"/>
        <v>0</v>
      </c>
      <c r="P68" s="1647" t="str">
        <f t="shared" si="31"/>
        <v>1.2.1</v>
      </c>
      <c r="Q68" s="1647" t="str">
        <f t="shared" si="32"/>
        <v xml:space="preserve"> Q2 1.2</v>
      </c>
      <c r="R68" s="1737" t="str">
        <f t="shared" si="33"/>
        <v>広さ感・景観</v>
      </c>
      <c r="S68" s="1618">
        <f t="shared" si="34"/>
        <v>0.33333333333333331</v>
      </c>
      <c r="T68" s="1618">
        <f t="shared" si="35"/>
        <v>0</v>
      </c>
      <c r="U68" s="1618">
        <f t="shared" si="36"/>
        <v>0</v>
      </c>
      <c r="V68" s="1618">
        <f t="shared" si="37"/>
        <v>0</v>
      </c>
      <c r="W68" s="1618">
        <f t="shared" si="38"/>
        <v>0</v>
      </c>
      <c r="X68" s="1618">
        <f t="shared" si="39"/>
        <v>0</v>
      </c>
      <c r="Y68" s="1618">
        <f t="shared" si="40"/>
        <v>0</v>
      </c>
      <c r="Z68" s="1631">
        <f t="shared" si="41"/>
        <v>0</v>
      </c>
      <c r="AA68" s="1618">
        <f t="shared" si="42"/>
        <v>0</v>
      </c>
      <c r="AB68" s="1618">
        <f t="shared" si="43"/>
        <v>0</v>
      </c>
      <c r="AC68" s="1619">
        <f t="shared" si="44"/>
        <v>0</v>
      </c>
      <c r="AD68" s="1619">
        <f t="shared" si="45"/>
        <v>0</v>
      </c>
      <c r="AE68" s="1619">
        <f t="shared" si="46"/>
        <v>0</v>
      </c>
      <c r="AG68" s="1647" t="s">
        <v>1522</v>
      </c>
      <c r="AH68" s="1693" t="s">
        <v>324</v>
      </c>
      <c r="AI68" s="2064" t="s">
        <v>325</v>
      </c>
      <c r="AJ68" s="1639">
        <v>0.33333333333333331</v>
      </c>
      <c r="AK68" s="1618"/>
      <c r="AL68" s="1618"/>
      <c r="AM68" s="1618"/>
      <c r="AN68" s="1618"/>
      <c r="AO68" s="1618"/>
      <c r="AP68" s="1618"/>
      <c r="AQ68" s="1631"/>
      <c r="AR68" s="1618"/>
      <c r="AS68" s="1623"/>
      <c r="AT68" s="1625"/>
      <c r="AU68" s="1625"/>
      <c r="AV68" s="1625"/>
      <c r="AX68" s="1647" t="s">
        <v>1522</v>
      </c>
      <c r="AY68" s="1693" t="s">
        <v>324</v>
      </c>
      <c r="AZ68" s="2064" t="s">
        <v>325</v>
      </c>
      <c r="BA68" s="1623">
        <v>0.33333333333333331</v>
      </c>
      <c r="BB68" s="1623">
        <v>0.5</v>
      </c>
      <c r="BC68" s="1623">
        <v>0.33333333333333331</v>
      </c>
      <c r="BD68" s="1623">
        <v>0.5</v>
      </c>
      <c r="BE68" s="1623"/>
      <c r="BF68" s="1623"/>
      <c r="BG68" s="1623"/>
      <c r="BH68" s="1624"/>
      <c r="BI68" s="1623">
        <v>0.33333333333333331</v>
      </c>
      <c r="BJ68" s="1623">
        <v>0.5</v>
      </c>
      <c r="BK68" s="1625">
        <v>0.5</v>
      </c>
      <c r="BL68" s="1625">
        <v>0.5</v>
      </c>
      <c r="BM68" s="1625">
        <v>0.5</v>
      </c>
      <c r="BO68" s="1647" t="s">
        <v>1522</v>
      </c>
      <c r="BP68" s="1693" t="s">
        <v>324</v>
      </c>
      <c r="BQ68" s="2064" t="s">
        <v>325</v>
      </c>
      <c r="BR68" s="1623">
        <v>0.33333333333333331</v>
      </c>
      <c r="BS68" s="1623">
        <v>0.5</v>
      </c>
      <c r="BT68" s="1623">
        <v>0.33333333333333331</v>
      </c>
      <c r="BU68" s="1623">
        <v>0.5</v>
      </c>
      <c r="BV68" s="1623"/>
      <c r="BW68" s="1623"/>
      <c r="BX68" s="1623"/>
      <c r="BY68" s="1624"/>
      <c r="BZ68" s="1623">
        <v>0.33333333333333331</v>
      </c>
      <c r="CA68" s="1623">
        <v>0.5</v>
      </c>
      <c r="CB68" s="1625">
        <v>0.5</v>
      </c>
      <c r="CC68" s="1625">
        <v>0.5</v>
      </c>
      <c r="CD68" s="1625">
        <v>0.5</v>
      </c>
    </row>
    <row r="69" spans="1:94">
      <c r="B69" s="1597" t="str">
        <f t="shared" si="47"/>
        <v>1.2.2</v>
      </c>
      <c r="C69" s="1614" t="str">
        <f t="shared" si="26"/>
        <v>リフレッシュスペース</v>
      </c>
      <c r="D69" s="1721">
        <f t="shared" si="51"/>
        <v>0.33333333333333331</v>
      </c>
      <c r="E69" s="1691">
        <f t="shared" si="51"/>
        <v>0</v>
      </c>
      <c r="G69" s="1691">
        <f t="shared" si="27"/>
        <v>0.33333333333333331</v>
      </c>
      <c r="H69" s="1691">
        <f t="shared" si="28"/>
        <v>0</v>
      </c>
      <c r="I69" s="1691"/>
      <c r="J69" s="1691"/>
      <c r="K69" s="1691">
        <f>IF(スコア表示!W69=0,0,1)</f>
        <v>1</v>
      </c>
      <c r="L69" s="1691">
        <f>IF(スコア表示!AA69=0,0,1)</f>
        <v>1</v>
      </c>
      <c r="M69" s="1691">
        <f t="shared" si="29"/>
        <v>0.33333333333333331</v>
      </c>
      <c r="N69" s="1691">
        <f t="shared" si="30"/>
        <v>0</v>
      </c>
      <c r="P69" s="1647" t="str">
        <f t="shared" si="31"/>
        <v>1.2.2</v>
      </c>
      <c r="Q69" s="1647" t="str">
        <f t="shared" si="32"/>
        <v xml:space="preserve"> Q2 1.2</v>
      </c>
      <c r="R69" s="1737" t="str">
        <f t="shared" si="33"/>
        <v>リフレッシュスペース</v>
      </c>
      <c r="S69" s="1618">
        <f t="shared" si="34"/>
        <v>0.33333333333333331</v>
      </c>
      <c r="T69" s="1618">
        <f t="shared" si="35"/>
        <v>0</v>
      </c>
      <c r="U69" s="1618">
        <f t="shared" si="36"/>
        <v>0.5</v>
      </c>
      <c r="V69" s="1618">
        <f t="shared" si="37"/>
        <v>0</v>
      </c>
      <c r="W69" s="1618">
        <f t="shared" si="38"/>
        <v>0</v>
      </c>
      <c r="X69" s="1618">
        <f t="shared" si="39"/>
        <v>0</v>
      </c>
      <c r="Y69" s="1618">
        <f t="shared" si="40"/>
        <v>0</v>
      </c>
      <c r="Z69" s="1631">
        <f t="shared" si="41"/>
        <v>0</v>
      </c>
      <c r="AA69" s="1618">
        <f t="shared" si="42"/>
        <v>0</v>
      </c>
      <c r="AB69" s="1618">
        <f t="shared" si="43"/>
        <v>0</v>
      </c>
      <c r="AC69" s="1619">
        <f t="shared" si="44"/>
        <v>0</v>
      </c>
      <c r="AD69" s="1619">
        <f t="shared" si="45"/>
        <v>0</v>
      </c>
      <c r="AE69" s="1619">
        <f t="shared" si="46"/>
        <v>0</v>
      </c>
      <c r="AG69" s="1647" t="s">
        <v>1523</v>
      </c>
      <c r="AH69" s="1693" t="s">
        <v>324</v>
      </c>
      <c r="AI69" s="2064" t="s">
        <v>326</v>
      </c>
      <c r="AJ69" s="1639">
        <v>0.33333333333333331</v>
      </c>
      <c r="AK69" s="1618"/>
      <c r="AL69" s="1618">
        <v>0.5</v>
      </c>
      <c r="AM69" s="1618"/>
      <c r="AN69" s="1618"/>
      <c r="AO69" s="1618"/>
      <c r="AP69" s="1618"/>
      <c r="AQ69" s="1631"/>
      <c r="AR69" s="1618"/>
      <c r="AS69" s="1623"/>
      <c r="AT69" s="1625"/>
      <c r="AU69" s="1625"/>
      <c r="AV69" s="1625"/>
      <c r="AX69" s="1647" t="s">
        <v>1523</v>
      </c>
      <c r="AY69" s="1693" t="s">
        <v>324</v>
      </c>
      <c r="AZ69" s="2064" t="s">
        <v>326</v>
      </c>
      <c r="BA69" s="1623">
        <v>0.33333333333333331</v>
      </c>
      <c r="BB69" s="1623"/>
      <c r="BC69" s="1623">
        <v>0.33333333333333331</v>
      </c>
      <c r="BD69" s="1623"/>
      <c r="BE69" s="1623"/>
      <c r="BF69" s="1623"/>
      <c r="BG69" s="1623"/>
      <c r="BH69" s="1624"/>
      <c r="BI69" s="1623">
        <v>0.33333333333333331</v>
      </c>
      <c r="BJ69" s="1623"/>
      <c r="BK69" s="1625"/>
      <c r="BL69" s="1625"/>
      <c r="BM69" s="1625"/>
      <c r="BO69" s="1647" t="s">
        <v>1523</v>
      </c>
      <c r="BP69" s="1693" t="s">
        <v>324</v>
      </c>
      <c r="BQ69" s="2064" t="s">
        <v>326</v>
      </c>
      <c r="BR69" s="1623">
        <v>0.33333333333333331</v>
      </c>
      <c r="BS69" s="1623"/>
      <c r="BT69" s="1623">
        <v>0.33333333333333331</v>
      </c>
      <c r="BU69" s="1623"/>
      <c r="BV69" s="1623"/>
      <c r="BW69" s="1623"/>
      <c r="BX69" s="1623"/>
      <c r="BY69" s="1624"/>
      <c r="BZ69" s="1623">
        <v>0.33333333333333331</v>
      </c>
      <c r="CA69" s="1623"/>
      <c r="CB69" s="1625"/>
      <c r="CC69" s="1625"/>
      <c r="CD69" s="1625"/>
    </row>
    <row r="70" spans="1:94">
      <c r="B70" s="1597" t="str">
        <f t="shared" si="47"/>
        <v>1.2.3</v>
      </c>
      <c r="C70" s="1614" t="str">
        <f t="shared" si="26"/>
        <v>内装計画</v>
      </c>
      <c r="D70" s="1721">
        <f t="shared" si="51"/>
        <v>0.33333333333333331</v>
      </c>
      <c r="E70" s="1691">
        <f t="shared" si="51"/>
        <v>0</v>
      </c>
      <c r="G70" s="1691">
        <f t="shared" si="27"/>
        <v>0.33333333333333331</v>
      </c>
      <c r="H70" s="1691">
        <f t="shared" si="28"/>
        <v>0</v>
      </c>
      <c r="I70" s="1691"/>
      <c r="J70" s="1691"/>
      <c r="K70" s="1691">
        <f>IF(スコア表示!W70=0,0,1)</f>
        <v>1</v>
      </c>
      <c r="L70" s="1691">
        <f>IF(スコア表示!AA70=0,0,1)</f>
        <v>1</v>
      </c>
      <c r="M70" s="1691">
        <f t="shared" si="29"/>
        <v>0.33333333333333331</v>
      </c>
      <c r="N70" s="1691">
        <f t="shared" si="30"/>
        <v>0</v>
      </c>
      <c r="P70" s="1647" t="str">
        <f t="shared" si="31"/>
        <v>1.2.3</v>
      </c>
      <c r="Q70" s="1647" t="str">
        <f t="shared" si="32"/>
        <v xml:space="preserve"> Q2 1.2</v>
      </c>
      <c r="R70" s="1737" t="str">
        <f t="shared" si="33"/>
        <v>内装計画</v>
      </c>
      <c r="S70" s="1618">
        <f t="shared" si="34"/>
        <v>0.33333333333333331</v>
      </c>
      <c r="T70" s="1618">
        <f t="shared" si="35"/>
        <v>1</v>
      </c>
      <c r="U70" s="1618">
        <f t="shared" si="36"/>
        <v>0.5</v>
      </c>
      <c r="V70" s="1618">
        <f t="shared" si="37"/>
        <v>1</v>
      </c>
      <c r="W70" s="1618">
        <f t="shared" si="38"/>
        <v>1</v>
      </c>
      <c r="X70" s="1618">
        <f t="shared" si="39"/>
        <v>1</v>
      </c>
      <c r="Y70" s="1618">
        <f t="shared" si="40"/>
        <v>1</v>
      </c>
      <c r="Z70" s="1631">
        <f t="shared" si="41"/>
        <v>1</v>
      </c>
      <c r="AA70" s="1618">
        <f t="shared" si="42"/>
        <v>1</v>
      </c>
      <c r="AB70" s="1618">
        <f t="shared" si="43"/>
        <v>1</v>
      </c>
      <c r="AC70" s="1619">
        <f t="shared" si="44"/>
        <v>1</v>
      </c>
      <c r="AD70" s="1619">
        <f t="shared" si="45"/>
        <v>1</v>
      </c>
      <c r="AE70" s="1619">
        <f t="shared" si="46"/>
        <v>1</v>
      </c>
      <c r="AG70" s="1647" t="s">
        <v>1524</v>
      </c>
      <c r="AH70" s="1693" t="s">
        <v>324</v>
      </c>
      <c r="AI70" s="2064" t="s">
        <v>327</v>
      </c>
      <c r="AJ70" s="1639">
        <v>0.33333333333333331</v>
      </c>
      <c r="AK70" s="1618">
        <v>1</v>
      </c>
      <c r="AL70" s="1618">
        <v>0.5</v>
      </c>
      <c r="AM70" s="1618">
        <v>1</v>
      </c>
      <c r="AN70" s="1618">
        <v>1</v>
      </c>
      <c r="AO70" s="1618">
        <v>1</v>
      </c>
      <c r="AP70" s="1618">
        <v>1</v>
      </c>
      <c r="AQ70" s="1631">
        <v>1</v>
      </c>
      <c r="AR70" s="1618">
        <v>1</v>
      </c>
      <c r="AS70" s="1623">
        <v>1</v>
      </c>
      <c r="AT70" s="1625">
        <v>1</v>
      </c>
      <c r="AU70" s="1625">
        <v>1</v>
      </c>
      <c r="AV70" s="1625">
        <v>1</v>
      </c>
      <c r="AX70" s="1647" t="s">
        <v>1524</v>
      </c>
      <c r="AY70" s="1693" t="s">
        <v>324</v>
      </c>
      <c r="AZ70" s="2064" t="s">
        <v>327</v>
      </c>
      <c r="BA70" s="1623">
        <v>0.33333333333333331</v>
      </c>
      <c r="BB70" s="1623">
        <v>0.5</v>
      </c>
      <c r="BC70" s="1623">
        <v>0.33333333333333331</v>
      </c>
      <c r="BD70" s="1623">
        <v>0.5</v>
      </c>
      <c r="BE70" s="1623">
        <v>1</v>
      </c>
      <c r="BF70" s="1623">
        <v>1</v>
      </c>
      <c r="BG70" s="1623">
        <v>1</v>
      </c>
      <c r="BH70" s="1624">
        <v>1</v>
      </c>
      <c r="BI70" s="1623">
        <v>0.33333333333333331</v>
      </c>
      <c r="BJ70" s="1623">
        <v>0.5</v>
      </c>
      <c r="BK70" s="1625">
        <v>0.5</v>
      </c>
      <c r="BL70" s="1625">
        <v>0.5</v>
      </c>
      <c r="BM70" s="1625">
        <v>0.5</v>
      </c>
      <c r="BO70" s="1647" t="s">
        <v>1524</v>
      </c>
      <c r="BP70" s="1693" t="s">
        <v>324</v>
      </c>
      <c r="BQ70" s="2064" t="s">
        <v>327</v>
      </c>
      <c r="BR70" s="1623">
        <v>0.33333333333333331</v>
      </c>
      <c r="BS70" s="1623">
        <v>0.5</v>
      </c>
      <c r="BT70" s="1623">
        <v>0.33333333333333331</v>
      </c>
      <c r="BU70" s="1623">
        <v>0.5</v>
      </c>
      <c r="BV70" s="1623">
        <v>1</v>
      </c>
      <c r="BW70" s="1623">
        <v>1</v>
      </c>
      <c r="BX70" s="1623">
        <v>1</v>
      </c>
      <c r="BY70" s="1624">
        <v>1</v>
      </c>
      <c r="BZ70" s="1623">
        <v>0.33333333333333331</v>
      </c>
      <c r="CA70" s="1623">
        <v>0.5</v>
      </c>
      <c r="CB70" s="1625">
        <v>0.5</v>
      </c>
      <c r="CC70" s="1625">
        <v>0.5</v>
      </c>
      <c r="CD70" s="1625">
        <v>0.5</v>
      </c>
    </row>
    <row r="71" spans="1:94" s="2082" customFormat="1">
      <c r="A71"/>
      <c r="B71" s="1597">
        <f t="shared" si="47"/>
        <v>1.3</v>
      </c>
      <c r="C71" s="1614" t="str">
        <f t="shared" si="26"/>
        <v>維持管理</v>
      </c>
      <c r="D71" s="1716">
        <f>IF(I$62=0,0,G71/I$62)</f>
        <v>0.3</v>
      </c>
      <c r="E71" s="1691">
        <f>IF(J$62=0,0,H71/J$62)</f>
        <v>0</v>
      </c>
      <c r="F71"/>
      <c r="G71" s="1691">
        <f t="shared" si="27"/>
        <v>0.3</v>
      </c>
      <c r="H71" s="1691">
        <f t="shared" si="28"/>
        <v>0</v>
      </c>
      <c r="I71" s="1691">
        <f>G72+G73+G74</f>
        <v>1</v>
      </c>
      <c r="J71" s="1691">
        <f>H72+H73+H74</f>
        <v>0</v>
      </c>
      <c r="K71" s="1691">
        <f>IF(スコア表示!W71=0,0,1)</f>
        <v>1</v>
      </c>
      <c r="L71" s="1691">
        <f>IF(スコア表示!AA71=0,0,1)</f>
        <v>0</v>
      </c>
      <c r="M71" s="1691">
        <f t="shared" si="29"/>
        <v>0.3</v>
      </c>
      <c r="N71" s="1691">
        <f t="shared" si="30"/>
        <v>0</v>
      </c>
      <c r="O71"/>
      <c r="P71" s="1647">
        <f t="shared" si="31"/>
        <v>1.3</v>
      </c>
      <c r="Q71" s="1647" t="str">
        <f t="shared" si="32"/>
        <v xml:space="preserve"> Q2 1</v>
      </c>
      <c r="R71" s="1737" t="str">
        <f t="shared" si="33"/>
        <v>維持管理</v>
      </c>
      <c r="S71" s="1618">
        <f t="shared" si="34"/>
        <v>0.3</v>
      </c>
      <c r="T71" s="1618">
        <f t="shared" si="35"/>
        <v>0.3</v>
      </c>
      <c r="U71" s="1618">
        <f t="shared" si="36"/>
        <v>0.3</v>
      </c>
      <c r="V71" s="1618">
        <f t="shared" si="37"/>
        <v>0.3</v>
      </c>
      <c r="W71" s="1618">
        <f t="shared" si="38"/>
        <v>0.3</v>
      </c>
      <c r="X71" s="1618">
        <f t="shared" si="39"/>
        <v>0.3</v>
      </c>
      <c r="Y71" s="1618">
        <f t="shared" si="40"/>
        <v>0.3</v>
      </c>
      <c r="Z71" s="1631">
        <f t="shared" si="41"/>
        <v>0.3</v>
      </c>
      <c r="AA71" s="1618">
        <f t="shared" si="42"/>
        <v>0.3</v>
      </c>
      <c r="AB71" s="1618">
        <f t="shared" si="43"/>
        <v>0.3</v>
      </c>
      <c r="AC71" s="1619">
        <f t="shared" si="44"/>
        <v>0</v>
      </c>
      <c r="AD71" s="1619">
        <f t="shared" si="45"/>
        <v>0</v>
      </c>
      <c r="AE71" s="1619">
        <f t="shared" si="46"/>
        <v>0</v>
      </c>
      <c r="AF71"/>
      <c r="AG71" s="1647">
        <v>1.3</v>
      </c>
      <c r="AH71" s="1693" t="s">
        <v>320</v>
      </c>
      <c r="AI71" s="2064" t="s">
        <v>328</v>
      </c>
      <c r="AJ71" s="1639">
        <v>0.3</v>
      </c>
      <c r="AK71" s="1639">
        <v>0.3</v>
      </c>
      <c r="AL71" s="1639">
        <v>0.3</v>
      </c>
      <c r="AM71" s="2353">
        <v>0.3</v>
      </c>
      <c r="AN71" s="2353">
        <v>0.3</v>
      </c>
      <c r="AO71" s="1639">
        <v>0.3</v>
      </c>
      <c r="AP71" s="2353">
        <v>0.3</v>
      </c>
      <c r="AQ71" s="1639">
        <v>0.3</v>
      </c>
      <c r="AR71" s="2353">
        <v>0.3</v>
      </c>
      <c r="AS71" s="1623">
        <v>0.3</v>
      </c>
      <c r="AT71" s="1625">
        <v>0</v>
      </c>
      <c r="AU71" s="1625">
        <v>0</v>
      </c>
      <c r="AV71" s="1625">
        <v>0</v>
      </c>
      <c r="AW71"/>
      <c r="AX71" s="1647">
        <v>1.3</v>
      </c>
      <c r="AY71" s="1693" t="s">
        <v>320</v>
      </c>
      <c r="AZ71" s="2064" t="s">
        <v>328</v>
      </c>
      <c r="BA71" s="1623">
        <v>0.3</v>
      </c>
      <c r="BB71" s="1623">
        <v>0.3</v>
      </c>
      <c r="BC71" s="1623">
        <v>0.3</v>
      </c>
      <c r="BD71" s="1623">
        <v>0.3</v>
      </c>
      <c r="BE71" s="1623">
        <v>0.3</v>
      </c>
      <c r="BF71" s="1623">
        <v>0.3</v>
      </c>
      <c r="BG71" s="1623">
        <v>0.3</v>
      </c>
      <c r="BH71" s="1624">
        <v>0.3</v>
      </c>
      <c r="BI71" s="1623">
        <v>0.3</v>
      </c>
      <c r="BJ71" s="1623">
        <v>0.3</v>
      </c>
      <c r="BK71" s="1625"/>
      <c r="BL71" s="1625"/>
      <c r="BM71" s="1625"/>
      <c r="BN71"/>
      <c r="BO71" s="1647">
        <v>1.3</v>
      </c>
      <c r="BP71" s="1693" t="s">
        <v>320</v>
      </c>
      <c r="BQ71" s="2064" t="s">
        <v>328</v>
      </c>
      <c r="BR71" s="1623">
        <v>0.3</v>
      </c>
      <c r="BS71" s="1623">
        <v>0.3</v>
      </c>
      <c r="BT71" s="1623">
        <v>0.3</v>
      </c>
      <c r="BU71" s="1623">
        <v>0.3</v>
      </c>
      <c r="BV71" s="1623">
        <v>0.3</v>
      </c>
      <c r="BW71" s="1623">
        <v>0.3</v>
      </c>
      <c r="BX71" s="1623">
        <v>0.3</v>
      </c>
      <c r="BY71" s="1624">
        <v>0.3</v>
      </c>
      <c r="BZ71" s="1623">
        <v>0.3</v>
      </c>
      <c r="CA71" s="1623">
        <v>0.3</v>
      </c>
      <c r="CB71" s="1625"/>
      <c r="CC71" s="1625"/>
      <c r="CD71" s="1625"/>
      <c r="CE71"/>
      <c r="CF71" s="1558"/>
      <c r="CG71" s="1558"/>
      <c r="CH71" s="1558"/>
      <c r="CI71" s="1558"/>
      <c r="CJ71" s="1558"/>
      <c r="CK71" s="1558"/>
      <c r="CL71" s="1558"/>
      <c r="CM71" s="1558"/>
      <c r="CN71" s="1558"/>
      <c r="CO71" s="1558"/>
      <c r="CP71" s="1558"/>
    </row>
    <row r="72" spans="1:94" s="2082" customFormat="1">
      <c r="A72"/>
      <c r="B72" s="1597" t="str">
        <f t="shared" si="47"/>
        <v>1.3.1</v>
      </c>
      <c r="C72" s="1614" t="str">
        <f t="shared" si="26"/>
        <v>総合的な取組み</v>
      </c>
      <c r="D72" s="1721">
        <f t="shared" ref="D72:E74" si="52">IF(I$71&gt;0,G72/I$71,0)</f>
        <v>0.5</v>
      </c>
      <c r="E72" s="1721">
        <f t="shared" si="52"/>
        <v>0</v>
      </c>
      <c r="F72"/>
      <c r="G72" s="1691">
        <f t="shared" si="27"/>
        <v>0.5</v>
      </c>
      <c r="H72" s="1691">
        <f t="shared" si="28"/>
        <v>0</v>
      </c>
      <c r="I72" s="1691"/>
      <c r="J72" s="1691"/>
      <c r="K72" s="1691">
        <f>IF(スコア表示!W72=0,0,1)</f>
        <v>1</v>
      </c>
      <c r="L72" s="1691">
        <f>IF(スコア表示!AA72=0,0,1)</f>
        <v>0</v>
      </c>
      <c r="M72" s="1691">
        <f t="shared" si="29"/>
        <v>0.5</v>
      </c>
      <c r="N72" s="1691">
        <f t="shared" si="30"/>
        <v>0</v>
      </c>
      <c r="O72"/>
      <c r="P72" s="1647" t="str">
        <f t="shared" si="31"/>
        <v>1.3.1</v>
      </c>
      <c r="Q72" s="1647" t="str">
        <f t="shared" si="32"/>
        <v xml:space="preserve"> Q2 1.3</v>
      </c>
      <c r="R72" s="1737" t="str">
        <f t="shared" si="33"/>
        <v>総合的な取組み</v>
      </c>
      <c r="S72" s="1618">
        <f t="shared" si="34"/>
        <v>0.5</v>
      </c>
      <c r="T72" s="1618">
        <f t="shared" si="35"/>
        <v>0.5</v>
      </c>
      <c r="U72" s="1618">
        <f t="shared" si="36"/>
        <v>0.5</v>
      </c>
      <c r="V72" s="1618">
        <f t="shared" si="37"/>
        <v>0.5</v>
      </c>
      <c r="W72" s="1618">
        <f t="shared" si="38"/>
        <v>0.5</v>
      </c>
      <c r="X72" s="1618">
        <f t="shared" si="39"/>
        <v>0.5</v>
      </c>
      <c r="Y72" s="1618">
        <f t="shared" si="40"/>
        <v>0.5</v>
      </c>
      <c r="Z72" s="1631">
        <f t="shared" si="41"/>
        <v>0.5</v>
      </c>
      <c r="AA72" s="1618">
        <f t="shared" si="42"/>
        <v>0.5</v>
      </c>
      <c r="AB72" s="1618">
        <f t="shared" si="43"/>
        <v>0.5</v>
      </c>
      <c r="AC72" s="1619">
        <f t="shared" si="44"/>
        <v>0</v>
      </c>
      <c r="AD72" s="1619">
        <f t="shared" si="45"/>
        <v>0</v>
      </c>
      <c r="AE72" s="1619">
        <f t="shared" si="46"/>
        <v>0</v>
      </c>
      <c r="AF72"/>
      <c r="AG72" s="1647" t="s">
        <v>329</v>
      </c>
      <c r="AH72" s="1693" t="s">
        <v>330</v>
      </c>
      <c r="AI72" s="334" t="s">
        <v>950</v>
      </c>
      <c r="AJ72" s="1639">
        <v>0.5</v>
      </c>
      <c r="AK72" s="1639">
        <v>0.5</v>
      </c>
      <c r="AL72" s="1639">
        <v>0.5</v>
      </c>
      <c r="AM72" s="2355">
        <v>0.5</v>
      </c>
      <c r="AN72" s="2355">
        <v>0.5</v>
      </c>
      <c r="AO72" s="1639">
        <v>0.5</v>
      </c>
      <c r="AP72" s="2355">
        <v>0.5</v>
      </c>
      <c r="AQ72" s="1639">
        <v>0.5</v>
      </c>
      <c r="AR72" s="2355">
        <v>0.5</v>
      </c>
      <c r="AS72" s="1623">
        <v>0.5</v>
      </c>
      <c r="AT72" s="1625">
        <v>0</v>
      </c>
      <c r="AU72" s="1625">
        <v>0</v>
      </c>
      <c r="AV72" s="1625">
        <v>0</v>
      </c>
      <c r="AW72"/>
      <c r="AX72" s="1647" t="s">
        <v>329</v>
      </c>
      <c r="AY72" s="1693" t="s">
        <v>330</v>
      </c>
      <c r="AZ72" s="2064" t="s">
        <v>856</v>
      </c>
      <c r="BA72" s="1623">
        <v>0.5</v>
      </c>
      <c r="BB72" s="1623">
        <v>0.5</v>
      </c>
      <c r="BC72" s="1623">
        <v>0.5</v>
      </c>
      <c r="BD72" s="1623">
        <v>0.5</v>
      </c>
      <c r="BE72" s="1623">
        <v>0.5</v>
      </c>
      <c r="BF72" s="1623">
        <v>0.5</v>
      </c>
      <c r="BG72" s="1623">
        <v>0.5</v>
      </c>
      <c r="BH72" s="1624">
        <v>0.5</v>
      </c>
      <c r="BI72" s="1623">
        <v>0.5</v>
      </c>
      <c r="BJ72" s="1623">
        <v>0.5</v>
      </c>
      <c r="BK72" s="1625"/>
      <c r="BL72" s="1625"/>
      <c r="BM72" s="1625"/>
      <c r="BN72"/>
      <c r="BO72" s="1647" t="s">
        <v>329</v>
      </c>
      <c r="BP72" s="1693" t="s">
        <v>330</v>
      </c>
      <c r="BQ72" s="2064" t="s">
        <v>856</v>
      </c>
      <c r="BR72" s="1623">
        <v>0.5</v>
      </c>
      <c r="BS72" s="1623">
        <v>0.5</v>
      </c>
      <c r="BT72" s="1623">
        <v>0.5</v>
      </c>
      <c r="BU72" s="1623">
        <v>0.5</v>
      </c>
      <c r="BV72" s="1623">
        <v>0.5</v>
      </c>
      <c r="BW72" s="1623">
        <v>0.5</v>
      </c>
      <c r="BX72" s="1623">
        <v>0.5</v>
      </c>
      <c r="BY72" s="1624">
        <v>0.5</v>
      </c>
      <c r="BZ72" s="1623">
        <v>0.5</v>
      </c>
      <c r="CA72" s="1623">
        <v>0.5</v>
      </c>
      <c r="CB72" s="1625"/>
      <c r="CC72" s="1625"/>
      <c r="CD72" s="1625"/>
      <c r="CE72"/>
      <c r="CF72" s="1558"/>
      <c r="CG72" s="1558"/>
      <c r="CH72" s="1558"/>
      <c r="CI72" s="1558"/>
      <c r="CJ72" s="1558"/>
      <c r="CK72" s="1558"/>
      <c r="CL72" s="1558"/>
      <c r="CM72" s="1558"/>
      <c r="CN72" s="1558"/>
      <c r="CO72" s="1558"/>
      <c r="CP72" s="1558"/>
    </row>
    <row r="73" spans="1:94" s="2082" customFormat="1">
      <c r="A73"/>
      <c r="B73" s="1597" t="str">
        <f t="shared" si="47"/>
        <v>1.3.2</v>
      </c>
      <c r="C73" s="1614" t="str">
        <f t="shared" ref="C73:C104" si="53">R73</f>
        <v>清掃管理業務</v>
      </c>
      <c r="D73" s="1721">
        <f t="shared" si="52"/>
        <v>0.3</v>
      </c>
      <c r="E73" s="1721">
        <f t="shared" si="52"/>
        <v>0</v>
      </c>
      <c r="F73"/>
      <c r="G73" s="1691">
        <f t="shared" ref="G73:G104" si="54">K73*M73</f>
        <v>0.3</v>
      </c>
      <c r="H73" s="1691">
        <f t="shared" ref="H73:H104" si="55">L73*N73</f>
        <v>0</v>
      </c>
      <c r="I73" s="1691"/>
      <c r="J73" s="1691"/>
      <c r="K73" s="1691">
        <f>IF(スコア表示!W73=0,0,1)</f>
        <v>1</v>
      </c>
      <c r="L73" s="1691">
        <f>IF(スコア表示!AA73=0,0,1)</f>
        <v>0</v>
      </c>
      <c r="M73" s="1691">
        <f t="shared" ref="M73:M104" si="56">SUMPRODUCT($S$7:$AB$7,S73:AB73)</f>
        <v>0.3</v>
      </c>
      <c r="N73" s="1691">
        <f t="shared" ref="N73:N95" si="57">(AC$7*AC73)+(AD$7*AD73)+(AE$7*AE73)</f>
        <v>0</v>
      </c>
      <c r="O73"/>
      <c r="P73" s="1647" t="str">
        <f t="shared" ref="P73:P83" si="58">IF($P$3=1,AX73,BO73)</f>
        <v>1.3.2</v>
      </c>
      <c r="Q73" s="1647" t="str">
        <f t="shared" ref="Q73:Q83" si="59">IF($P$3=1,AY73,BP73)</f>
        <v xml:space="preserve"> Q2 1.3</v>
      </c>
      <c r="R73" s="1737" t="str">
        <f t="shared" ref="R73:R104" si="60">AI73</f>
        <v>清掃管理業務</v>
      </c>
      <c r="S73" s="1618">
        <f t="shared" ref="S73:S104" si="61">IF($P$3=1,BA73,IF($P$3=2,BR73,AJ73))</f>
        <v>0.3</v>
      </c>
      <c r="T73" s="1618">
        <f t="shared" ref="T73:T104" si="62">IF($P$3=1,BB73,IF($P$3=2,BS73,AK73))</f>
        <v>0.3</v>
      </c>
      <c r="U73" s="1618">
        <f t="shared" ref="U73:U104" si="63">IF($P$3=1,BC73,IF($P$3=2,BT73,AL73))</f>
        <v>0.3</v>
      </c>
      <c r="V73" s="1618">
        <f t="shared" ref="V73:V104" si="64">IF($P$3=1,BD73,IF($P$3=2,BU73,AM73))</f>
        <v>0.3</v>
      </c>
      <c r="W73" s="1618">
        <f t="shared" ref="W73:W104" si="65">IF($P$3=1,BE73,IF($P$3=2,BV73,AN73))</f>
        <v>0.3</v>
      </c>
      <c r="X73" s="1618">
        <f t="shared" ref="X73:X104" si="66">IF($P$3=1,BF73,IF($P$3=2,BW73,AO73))</f>
        <v>0.3</v>
      </c>
      <c r="Y73" s="1618">
        <f t="shared" ref="Y73:Y104" si="67">IF($P$3=1,BG73,IF($P$3=2,BX73,AP73))</f>
        <v>0.3</v>
      </c>
      <c r="Z73" s="1631">
        <f t="shared" ref="Z73:Z104" si="68">IF($P$3=1,BH73,IF($P$3=2,BY73,AQ73))</f>
        <v>0.3</v>
      </c>
      <c r="AA73" s="1618">
        <f t="shared" ref="AA73:AA104" si="69">IF($P$3=1,BI73,IF($P$3=2,BZ73,AR73))</f>
        <v>0.3</v>
      </c>
      <c r="AB73" s="1618">
        <f t="shared" ref="AB73:AB104" si="70">IF($P$3=1,BJ73,IF($P$3=2,CA73,AS73))</f>
        <v>0.3</v>
      </c>
      <c r="AC73" s="1619">
        <f t="shared" ref="AC73:AC104" si="71">IF($P$3=1,BK73,IF($P$3=2,CB73,AT73))</f>
        <v>0</v>
      </c>
      <c r="AD73" s="1619">
        <f t="shared" ref="AD73:AD104" si="72">IF($P$3=1,BL73,IF($P$3=2,CC73,AU73))</f>
        <v>0</v>
      </c>
      <c r="AE73" s="1619">
        <f t="shared" ref="AE73:AE104" si="73">IF($P$3=1,BM73,IF($P$3=2,CD73,AV73))</f>
        <v>0</v>
      </c>
      <c r="AF73"/>
      <c r="AG73" s="1647" t="s">
        <v>331</v>
      </c>
      <c r="AH73" s="1693" t="s">
        <v>330</v>
      </c>
      <c r="AI73" s="334" t="s">
        <v>951</v>
      </c>
      <c r="AJ73" s="1639">
        <v>0.3</v>
      </c>
      <c r="AK73" s="1639">
        <v>0.3</v>
      </c>
      <c r="AL73" s="1639">
        <v>0.3</v>
      </c>
      <c r="AM73" s="2355">
        <v>0.3</v>
      </c>
      <c r="AN73" s="2355">
        <v>0.3</v>
      </c>
      <c r="AO73" s="1639">
        <v>0.3</v>
      </c>
      <c r="AP73" s="2355">
        <v>0.3</v>
      </c>
      <c r="AQ73" s="1639">
        <v>0.3</v>
      </c>
      <c r="AR73" s="2355">
        <v>0.3</v>
      </c>
      <c r="AS73" s="1623">
        <v>0.3</v>
      </c>
      <c r="AT73" s="1625">
        <v>0</v>
      </c>
      <c r="AU73" s="1625">
        <v>0</v>
      </c>
      <c r="AV73" s="1625">
        <v>0</v>
      </c>
      <c r="AW73"/>
      <c r="AX73" s="1647" t="s">
        <v>331</v>
      </c>
      <c r="AY73" s="1693" t="s">
        <v>330</v>
      </c>
      <c r="AZ73" s="2064" t="s">
        <v>418</v>
      </c>
      <c r="BA73" s="1623">
        <v>0.5</v>
      </c>
      <c r="BB73" s="1623">
        <v>0.5</v>
      </c>
      <c r="BC73" s="1623">
        <v>0.5</v>
      </c>
      <c r="BD73" s="1623">
        <v>0.5</v>
      </c>
      <c r="BE73" s="1623">
        <v>0.5</v>
      </c>
      <c r="BF73" s="1623">
        <v>0.5</v>
      </c>
      <c r="BG73" s="1623">
        <v>0.5</v>
      </c>
      <c r="BH73" s="1624">
        <v>0.5</v>
      </c>
      <c r="BI73" s="1623">
        <v>0.5</v>
      </c>
      <c r="BJ73" s="1623">
        <v>0.5</v>
      </c>
      <c r="BK73" s="1625"/>
      <c r="BL73" s="1625"/>
      <c r="BM73" s="1625"/>
      <c r="BN73"/>
      <c r="BO73" s="1647" t="s">
        <v>331</v>
      </c>
      <c r="BP73" s="1693" t="s">
        <v>330</v>
      </c>
      <c r="BQ73" s="2064" t="s">
        <v>418</v>
      </c>
      <c r="BR73" s="1623">
        <v>0.5</v>
      </c>
      <c r="BS73" s="1623">
        <v>0.5</v>
      </c>
      <c r="BT73" s="1623">
        <v>0.5</v>
      </c>
      <c r="BU73" s="1623">
        <v>0.5</v>
      </c>
      <c r="BV73" s="1623">
        <v>0.5</v>
      </c>
      <c r="BW73" s="1623">
        <v>0.5</v>
      </c>
      <c r="BX73" s="1623">
        <v>0.5</v>
      </c>
      <c r="BY73" s="1624">
        <v>0.5</v>
      </c>
      <c r="BZ73" s="1623">
        <v>0.5</v>
      </c>
      <c r="CA73" s="1623">
        <v>0.5</v>
      </c>
      <c r="CB73" s="1625"/>
      <c r="CC73" s="1625"/>
      <c r="CD73" s="1625"/>
      <c r="CE73"/>
      <c r="CF73" s="1558"/>
      <c r="CG73" s="1558"/>
      <c r="CH73" s="1558"/>
      <c r="CI73" s="1558"/>
      <c r="CJ73" s="1558"/>
      <c r="CK73" s="1558"/>
      <c r="CL73" s="1558"/>
      <c r="CM73" s="1558"/>
      <c r="CN73" s="1558"/>
      <c r="CO73" s="1558"/>
      <c r="CP73" s="1558"/>
    </row>
    <row r="74" spans="1:94" s="2082" customFormat="1">
      <c r="A74"/>
      <c r="B74" s="1597">
        <f t="shared" si="47"/>
        <v>0</v>
      </c>
      <c r="C74" s="1614" t="str">
        <f t="shared" si="53"/>
        <v>衛生管理業務</v>
      </c>
      <c r="D74" s="1721">
        <f t="shared" si="52"/>
        <v>0.2</v>
      </c>
      <c r="E74" s="1721">
        <f t="shared" si="52"/>
        <v>0</v>
      </c>
      <c r="F74"/>
      <c r="G74" s="1691">
        <f t="shared" si="54"/>
        <v>0.2</v>
      </c>
      <c r="H74" s="1691">
        <f t="shared" si="55"/>
        <v>0</v>
      </c>
      <c r="I74" s="1691"/>
      <c r="J74" s="1691"/>
      <c r="K74" s="1691">
        <f>IF(スコア表示!W74=0,0,1)</f>
        <v>1</v>
      </c>
      <c r="L74" s="1691">
        <f>IF(スコア表示!AA74=0,0,1)</f>
        <v>0</v>
      </c>
      <c r="M74" s="1691">
        <f t="shared" si="56"/>
        <v>0.2</v>
      </c>
      <c r="N74" s="1691">
        <f t="shared" si="57"/>
        <v>0</v>
      </c>
      <c r="O74"/>
      <c r="P74" s="1647">
        <f t="shared" si="58"/>
        <v>0</v>
      </c>
      <c r="Q74" s="1647" t="str">
        <f t="shared" si="59"/>
        <v>0</v>
      </c>
      <c r="R74" s="1737" t="str">
        <f t="shared" si="60"/>
        <v>衛生管理業務</v>
      </c>
      <c r="S74" s="1618">
        <f t="shared" si="61"/>
        <v>0.2</v>
      </c>
      <c r="T74" s="1618">
        <f t="shared" si="62"/>
        <v>0.2</v>
      </c>
      <c r="U74" s="1618">
        <f t="shared" si="63"/>
        <v>0.2</v>
      </c>
      <c r="V74" s="1618">
        <f t="shared" si="64"/>
        <v>0.2</v>
      </c>
      <c r="W74" s="1618">
        <f t="shared" si="65"/>
        <v>0.2</v>
      </c>
      <c r="X74" s="1618">
        <f t="shared" si="66"/>
        <v>0.2</v>
      </c>
      <c r="Y74" s="1618">
        <f t="shared" si="67"/>
        <v>0.2</v>
      </c>
      <c r="Z74" s="1631">
        <f t="shared" si="68"/>
        <v>0.2</v>
      </c>
      <c r="AA74" s="1618">
        <f t="shared" si="69"/>
        <v>0.2</v>
      </c>
      <c r="AB74" s="1618">
        <f t="shared" si="70"/>
        <v>0.2</v>
      </c>
      <c r="AC74" s="1619">
        <f t="shared" si="71"/>
        <v>0</v>
      </c>
      <c r="AD74" s="1619">
        <f t="shared" si="72"/>
        <v>0</v>
      </c>
      <c r="AE74" s="1619">
        <f t="shared" si="73"/>
        <v>0</v>
      </c>
      <c r="AF74"/>
      <c r="AG74" s="1647" t="s">
        <v>332</v>
      </c>
      <c r="AH74" s="1693" t="s">
        <v>1708</v>
      </c>
      <c r="AI74" s="334" t="s">
        <v>724</v>
      </c>
      <c r="AJ74" s="1639">
        <v>0.2</v>
      </c>
      <c r="AK74" s="1639">
        <v>0.2</v>
      </c>
      <c r="AL74" s="1639">
        <v>0.2</v>
      </c>
      <c r="AM74" s="2355">
        <v>0.2</v>
      </c>
      <c r="AN74" s="2355">
        <v>0.2</v>
      </c>
      <c r="AO74" s="1639">
        <v>0.2</v>
      </c>
      <c r="AP74" s="2355">
        <v>0.2</v>
      </c>
      <c r="AQ74" s="1639">
        <v>0.2</v>
      </c>
      <c r="AR74" s="2355">
        <v>0.2</v>
      </c>
      <c r="AS74" s="1623">
        <v>0.2</v>
      </c>
      <c r="AT74" s="1625">
        <v>0</v>
      </c>
      <c r="AU74" s="1625">
        <v>0</v>
      </c>
      <c r="AV74" s="1625">
        <v>0</v>
      </c>
      <c r="AW74"/>
      <c r="AX74" s="1647">
        <v>0</v>
      </c>
      <c r="AY74" s="1693" t="s">
        <v>1525</v>
      </c>
      <c r="AZ74" s="2064"/>
      <c r="BA74" s="1623"/>
      <c r="BB74" s="1623"/>
      <c r="BC74" s="1623"/>
      <c r="BD74" s="1623"/>
      <c r="BE74" s="1623"/>
      <c r="BF74" s="1623"/>
      <c r="BG74" s="1623"/>
      <c r="BH74" s="1821"/>
      <c r="BI74" s="1623"/>
      <c r="BJ74" s="1623"/>
      <c r="BK74" s="1625"/>
      <c r="BL74" s="1625"/>
      <c r="BM74" s="1625"/>
      <c r="BN74"/>
      <c r="BO74" s="1647">
        <v>0</v>
      </c>
      <c r="BP74" s="1693" t="s">
        <v>1525</v>
      </c>
      <c r="BQ74" s="2064"/>
      <c r="BR74" s="1623"/>
      <c r="BS74" s="1623"/>
      <c r="BT74" s="1623"/>
      <c r="BU74" s="1623"/>
      <c r="BV74" s="1623"/>
      <c r="BW74" s="1623"/>
      <c r="BX74" s="1623"/>
      <c r="BY74" s="1821"/>
      <c r="BZ74" s="1623"/>
      <c r="CA74" s="1623"/>
      <c r="CB74" s="1625"/>
      <c r="CC74" s="1625"/>
      <c r="CD74" s="1625"/>
      <c r="CE74"/>
      <c r="CF74" s="1558"/>
      <c r="CG74" s="1558"/>
      <c r="CH74" s="1558"/>
      <c r="CI74" s="1558"/>
      <c r="CJ74" s="1558"/>
      <c r="CK74" s="1558"/>
      <c r="CL74" s="1558"/>
      <c r="CM74" s="1558"/>
      <c r="CN74" s="1558"/>
      <c r="CO74" s="1558"/>
      <c r="CP74" s="1558"/>
    </row>
    <row r="75" spans="1:94" s="1605" customFormat="1">
      <c r="A75"/>
      <c r="B75" s="1597">
        <f t="shared" ref="B75:B106" si="74">P75</f>
        <v>2</v>
      </c>
      <c r="C75" s="1628" t="str">
        <f t="shared" si="53"/>
        <v>耐用性・信頼性</v>
      </c>
      <c r="D75" s="2062">
        <f>IF(I$61=0,0,G75/I$61)</f>
        <v>0.3</v>
      </c>
      <c r="E75" s="1743">
        <f>IF(J$61=0,0,H75/J$61)</f>
        <v>0</v>
      </c>
      <c r="F75"/>
      <c r="G75" s="1743">
        <f t="shared" si="54"/>
        <v>0.3</v>
      </c>
      <c r="H75" s="1743">
        <f t="shared" si="55"/>
        <v>0</v>
      </c>
      <c r="I75" s="1743">
        <f>G76+G79++G86+G90</f>
        <v>1</v>
      </c>
      <c r="J75" s="1743">
        <f>H76+H79++H86+H90</f>
        <v>0</v>
      </c>
      <c r="K75" s="1743">
        <f>IF(スコア表示!W75=0,0,1)</f>
        <v>1</v>
      </c>
      <c r="L75" s="1743">
        <f>IF(スコア表示!AA75=0,0,1)</f>
        <v>0</v>
      </c>
      <c r="M75" s="1743">
        <f t="shared" si="56"/>
        <v>0.3</v>
      </c>
      <c r="N75" s="1743">
        <v>1</v>
      </c>
      <c r="O75"/>
      <c r="P75" s="1641">
        <f t="shared" si="58"/>
        <v>2</v>
      </c>
      <c r="Q75" s="1641" t="str">
        <f t="shared" si="59"/>
        <v xml:space="preserve"> Q2</v>
      </c>
      <c r="R75" s="1780" t="str">
        <f t="shared" si="60"/>
        <v>耐用性・信頼性</v>
      </c>
      <c r="S75" s="1610">
        <f t="shared" si="61"/>
        <v>0.3</v>
      </c>
      <c r="T75" s="1610">
        <f t="shared" si="62"/>
        <v>0.3</v>
      </c>
      <c r="U75" s="1610">
        <f t="shared" si="63"/>
        <v>0.3</v>
      </c>
      <c r="V75" s="1610">
        <f t="shared" si="64"/>
        <v>0.3</v>
      </c>
      <c r="W75" s="1610">
        <f t="shared" si="65"/>
        <v>0.3</v>
      </c>
      <c r="X75" s="1610">
        <f t="shared" si="66"/>
        <v>0.3</v>
      </c>
      <c r="Y75" s="1610">
        <f t="shared" si="67"/>
        <v>0.3</v>
      </c>
      <c r="Z75" s="1646">
        <f t="shared" si="68"/>
        <v>0.3</v>
      </c>
      <c r="AA75" s="1610">
        <f t="shared" si="69"/>
        <v>0.3</v>
      </c>
      <c r="AB75" s="1610">
        <f t="shared" si="70"/>
        <v>0.3</v>
      </c>
      <c r="AC75" s="1659">
        <f t="shared" si="71"/>
        <v>0</v>
      </c>
      <c r="AD75" s="1610">
        <f t="shared" si="72"/>
        <v>0</v>
      </c>
      <c r="AE75" s="1610">
        <f t="shared" si="73"/>
        <v>0</v>
      </c>
      <c r="AF75"/>
      <c r="AG75" s="1641">
        <v>2</v>
      </c>
      <c r="AH75" s="1744" t="s">
        <v>318</v>
      </c>
      <c r="AI75" s="1787" t="s">
        <v>419</v>
      </c>
      <c r="AJ75" s="1610">
        <v>0.3</v>
      </c>
      <c r="AK75" s="1610">
        <v>0.3</v>
      </c>
      <c r="AL75" s="1610">
        <v>0.3</v>
      </c>
      <c r="AM75" s="1610">
        <v>0.3</v>
      </c>
      <c r="AN75" s="1610">
        <v>0.3</v>
      </c>
      <c r="AO75" s="1610">
        <v>0.3</v>
      </c>
      <c r="AP75" s="1610">
        <v>0.3</v>
      </c>
      <c r="AQ75" s="1646">
        <v>0.3</v>
      </c>
      <c r="AR75" s="1610">
        <v>0.3</v>
      </c>
      <c r="AS75" s="1711">
        <v>0.3</v>
      </c>
      <c r="AT75" s="2063">
        <v>0</v>
      </c>
      <c r="AU75" s="1711">
        <v>0</v>
      </c>
      <c r="AV75" s="1711">
        <v>0</v>
      </c>
      <c r="AW75"/>
      <c r="AX75" s="1641">
        <v>2</v>
      </c>
      <c r="AY75" s="1744" t="s">
        <v>318</v>
      </c>
      <c r="AZ75" s="1787" t="s">
        <v>419</v>
      </c>
      <c r="BA75" s="1711">
        <v>0.3</v>
      </c>
      <c r="BB75" s="1711">
        <v>0.3</v>
      </c>
      <c r="BC75" s="1711">
        <v>0.3</v>
      </c>
      <c r="BD75" s="1711">
        <v>0.3</v>
      </c>
      <c r="BE75" s="1711">
        <v>0.3</v>
      </c>
      <c r="BF75" s="1711">
        <v>0.3</v>
      </c>
      <c r="BG75" s="1711">
        <v>0.3</v>
      </c>
      <c r="BH75" s="1711">
        <v>0.3</v>
      </c>
      <c r="BI75" s="1711">
        <v>0.3</v>
      </c>
      <c r="BJ75" s="1711">
        <v>0.3</v>
      </c>
      <c r="BK75" s="2063"/>
      <c r="BL75" s="1711"/>
      <c r="BM75" s="1711"/>
      <c r="BN75"/>
      <c r="BO75" s="1641">
        <v>2</v>
      </c>
      <c r="BP75" s="1744" t="s">
        <v>318</v>
      </c>
      <c r="BQ75" s="1787" t="s">
        <v>419</v>
      </c>
      <c r="BR75" s="1711">
        <v>0.3</v>
      </c>
      <c r="BS75" s="1711">
        <v>0.3</v>
      </c>
      <c r="BT75" s="1711">
        <v>0.3</v>
      </c>
      <c r="BU75" s="1711">
        <v>0.3</v>
      </c>
      <c r="BV75" s="1711">
        <v>0.3</v>
      </c>
      <c r="BW75" s="1711">
        <v>0.3</v>
      </c>
      <c r="BX75" s="1711">
        <v>0.3</v>
      </c>
      <c r="BY75" s="1711">
        <v>0.3</v>
      </c>
      <c r="BZ75" s="1711">
        <v>0.3</v>
      </c>
      <c r="CA75" s="1711">
        <v>0.3</v>
      </c>
      <c r="CB75" s="2063"/>
      <c r="CC75" s="1711"/>
      <c r="CD75" s="1711"/>
      <c r="CE75"/>
    </row>
    <row r="76" spans="1:94">
      <c r="B76" s="1597">
        <f t="shared" si="74"/>
        <v>2.1</v>
      </c>
      <c r="C76" s="1647" t="str">
        <f t="shared" si="53"/>
        <v>耐震･免震</v>
      </c>
      <c r="D76" s="1716">
        <f>IF(I$75=0,0,G76/I$75)</f>
        <v>0.25</v>
      </c>
      <c r="E76" s="1691">
        <f>IF(J$75=0,0,H76/J$75)</f>
        <v>0</v>
      </c>
      <c r="G76" s="1691">
        <f t="shared" si="54"/>
        <v>0.25</v>
      </c>
      <c r="H76" s="1691">
        <f t="shared" si="55"/>
        <v>0</v>
      </c>
      <c r="I76" s="1691">
        <f>SUM(G77:G78)</f>
        <v>1</v>
      </c>
      <c r="J76" s="1691">
        <f>SUM(H77:H78)</f>
        <v>0</v>
      </c>
      <c r="K76" s="1691">
        <f>IF(スコア表示!W76=0,0,1)</f>
        <v>1</v>
      </c>
      <c r="L76" s="1691">
        <f>IF(スコア表示!AA76=0,0,1)</f>
        <v>0</v>
      </c>
      <c r="M76" s="1691">
        <f t="shared" si="56"/>
        <v>0.25</v>
      </c>
      <c r="N76" s="1691">
        <f t="shared" si="57"/>
        <v>0</v>
      </c>
      <c r="P76" s="1647">
        <f t="shared" si="58"/>
        <v>2.1</v>
      </c>
      <c r="Q76" s="1647" t="str">
        <f t="shared" si="59"/>
        <v xml:space="preserve"> Q2 2</v>
      </c>
      <c r="R76" s="1737" t="str">
        <f t="shared" si="60"/>
        <v>耐震･免震</v>
      </c>
      <c r="S76" s="1618">
        <f t="shared" si="61"/>
        <v>0.25</v>
      </c>
      <c r="T76" s="1618">
        <f t="shared" si="62"/>
        <v>0.25</v>
      </c>
      <c r="U76" s="1618">
        <f t="shared" si="63"/>
        <v>0.25</v>
      </c>
      <c r="V76" s="1618">
        <f t="shared" si="64"/>
        <v>0.25</v>
      </c>
      <c r="W76" s="1618">
        <f t="shared" si="65"/>
        <v>0.25</v>
      </c>
      <c r="X76" s="1618">
        <f t="shared" si="66"/>
        <v>0.25</v>
      </c>
      <c r="Y76" s="1618">
        <f t="shared" si="67"/>
        <v>0.25</v>
      </c>
      <c r="Z76" s="1626">
        <f t="shared" si="68"/>
        <v>0.25</v>
      </c>
      <c r="AA76" s="1618">
        <f t="shared" si="69"/>
        <v>0.25</v>
      </c>
      <c r="AB76" s="1618">
        <f t="shared" si="70"/>
        <v>0.25</v>
      </c>
      <c r="AC76" s="1619">
        <f t="shared" si="71"/>
        <v>0</v>
      </c>
      <c r="AD76" s="1618">
        <f t="shared" si="72"/>
        <v>0</v>
      </c>
      <c r="AE76" s="1618">
        <f t="shared" si="73"/>
        <v>0</v>
      </c>
      <c r="AG76" s="1647">
        <v>2.1</v>
      </c>
      <c r="AH76" s="1693" t="s">
        <v>333</v>
      </c>
      <c r="AI76" s="1737" t="s">
        <v>728</v>
      </c>
      <c r="AJ76" s="1618">
        <v>0.25</v>
      </c>
      <c r="AK76" s="1618">
        <v>0.25</v>
      </c>
      <c r="AL76" s="1618">
        <v>0.25</v>
      </c>
      <c r="AM76" s="1618">
        <v>0.25</v>
      </c>
      <c r="AN76" s="1618">
        <v>0.25</v>
      </c>
      <c r="AO76" s="1618">
        <v>0.25</v>
      </c>
      <c r="AP76" s="1618">
        <v>0.25</v>
      </c>
      <c r="AQ76" s="1626">
        <v>0.25</v>
      </c>
      <c r="AR76" s="1618">
        <v>0.25</v>
      </c>
      <c r="AS76" s="1623">
        <v>0.25</v>
      </c>
      <c r="AT76" s="1625">
        <v>0</v>
      </c>
      <c r="AU76" s="1623">
        <v>0</v>
      </c>
      <c r="AV76" s="1623">
        <v>0</v>
      </c>
      <c r="AX76" s="1647">
        <v>2.1</v>
      </c>
      <c r="AY76" s="1693" t="s">
        <v>333</v>
      </c>
      <c r="AZ76" s="1737" t="s">
        <v>728</v>
      </c>
      <c r="BA76" s="1623">
        <v>0.5</v>
      </c>
      <c r="BB76" s="1623">
        <v>0.5</v>
      </c>
      <c r="BC76" s="1623">
        <v>0.5</v>
      </c>
      <c r="BD76" s="1623">
        <v>0.5</v>
      </c>
      <c r="BE76" s="1623">
        <v>0.5</v>
      </c>
      <c r="BF76" s="1623">
        <v>0.5</v>
      </c>
      <c r="BG76" s="1623">
        <v>0.5</v>
      </c>
      <c r="BH76" s="1624">
        <v>0.5</v>
      </c>
      <c r="BI76" s="1623">
        <v>0.5</v>
      </c>
      <c r="BJ76" s="1623">
        <v>0.5</v>
      </c>
      <c r="BK76" s="1625"/>
      <c r="BL76" s="1623"/>
      <c r="BM76" s="1623"/>
      <c r="BO76" s="1647">
        <v>2.1</v>
      </c>
      <c r="BP76" s="1693" t="s">
        <v>333</v>
      </c>
      <c r="BQ76" s="1737" t="s">
        <v>728</v>
      </c>
      <c r="BR76" s="1623">
        <v>0.5</v>
      </c>
      <c r="BS76" s="1623">
        <v>0.5</v>
      </c>
      <c r="BT76" s="1623">
        <v>0.5</v>
      </c>
      <c r="BU76" s="1623">
        <v>0.5</v>
      </c>
      <c r="BV76" s="1623">
        <v>0.5</v>
      </c>
      <c r="BW76" s="1623">
        <v>0.5</v>
      </c>
      <c r="BX76" s="1623">
        <v>0.5</v>
      </c>
      <c r="BY76" s="1624">
        <v>0.5</v>
      </c>
      <c r="BZ76" s="1623">
        <v>0.5</v>
      </c>
      <c r="CA76" s="1623">
        <v>0.5</v>
      </c>
      <c r="CB76" s="1625"/>
      <c r="CC76" s="1623"/>
      <c r="CD76" s="1623"/>
    </row>
    <row r="77" spans="1:94">
      <c r="B77" s="1597" t="str">
        <f t="shared" si="74"/>
        <v>2.1.1</v>
      </c>
      <c r="C77" s="1614" t="str">
        <f t="shared" si="53"/>
        <v>耐震性</v>
      </c>
      <c r="D77" s="1721">
        <f>IF(I$76&gt;0,G77/I$76,0)</f>
        <v>0.8</v>
      </c>
      <c r="E77" s="1691">
        <f>IF(J$76&gt;0,H77/J$76,0)</f>
        <v>0</v>
      </c>
      <c r="G77" s="1691">
        <f t="shared" si="54"/>
        <v>0.8</v>
      </c>
      <c r="H77" s="1691">
        <f t="shared" si="55"/>
        <v>0</v>
      </c>
      <c r="I77" s="1691"/>
      <c r="J77" s="1691"/>
      <c r="K77" s="1691">
        <f>IF(スコア表示!W77=0,0,1)</f>
        <v>1</v>
      </c>
      <c r="L77" s="1691">
        <f>IF(スコア表示!AA77=0,0,1)</f>
        <v>0</v>
      </c>
      <c r="M77" s="1691">
        <f t="shared" si="56"/>
        <v>0.8</v>
      </c>
      <c r="N77" s="1691">
        <f t="shared" si="57"/>
        <v>0</v>
      </c>
      <c r="P77" s="1647" t="str">
        <f t="shared" si="58"/>
        <v>2.1.1</v>
      </c>
      <c r="Q77" s="1647" t="str">
        <f t="shared" si="59"/>
        <v xml:space="preserve"> Q2 2.1</v>
      </c>
      <c r="R77" s="1737" t="str">
        <f t="shared" si="60"/>
        <v>耐震性</v>
      </c>
      <c r="S77" s="1618">
        <f t="shared" si="61"/>
        <v>0.8</v>
      </c>
      <c r="T77" s="1618">
        <f t="shared" si="62"/>
        <v>0.8</v>
      </c>
      <c r="U77" s="1618">
        <f t="shared" si="63"/>
        <v>0.8</v>
      </c>
      <c r="V77" s="1618">
        <f t="shared" si="64"/>
        <v>0.8</v>
      </c>
      <c r="W77" s="1618">
        <f t="shared" si="65"/>
        <v>0.8</v>
      </c>
      <c r="X77" s="1618">
        <f t="shared" si="66"/>
        <v>0.8</v>
      </c>
      <c r="Y77" s="1618">
        <f t="shared" si="67"/>
        <v>0.8</v>
      </c>
      <c r="Z77" s="1626">
        <f t="shared" si="68"/>
        <v>0.8</v>
      </c>
      <c r="AA77" s="1618">
        <f t="shared" si="69"/>
        <v>0.8</v>
      </c>
      <c r="AB77" s="1618">
        <f t="shared" si="70"/>
        <v>0.8</v>
      </c>
      <c r="AC77" s="1619">
        <f t="shared" si="71"/>
        <v>0</v>
      </c>
      <c r="AD77" s="1618">
        <f t="shared" si="72"/>
        <v>0</v>
      </c>
      <c r="AE77" s="1618">
        <f t="shared" si="73"/>
        <v>0</v>
      </c>
      <c r="AG77" s="1647" t="s">
        <v>1526</v>
      </c>
      <c r="AH77" s="1693" t="s">
        <v>334</v>
      </c>
      <c r="AI77" s="2064" t="s">
        <v>335</v>
      </c>
      <c r="AJ77" s="1618">
        <v>0.8</v>
      </c>
      <c r="AK77" s="1618">
        <v>0.8</v>
      </c>
      <c r="AL77" s="1618">
        <v>0.8</v>
      </c>
      <c r="AM77" s="1618">
        <v>0.8</v>
      </c>
      <c r="AN77" s="1618">
        <v>0.8</v>
      </c>
      <c r="AO77" s="1618">
        <v>0.8</v>
      </c>
      <c r="AP77" s="1618">
        <v>0.8</v>
      </c>
      <c r="AQ77" s="1626">
        <v>0.8</v>
      </c>
      <c r="AR77" s="1618">
        <v>0.8</v>
      </c>
      <c r="AS77" s="1623">
        <v>0.8</v>
      </c>
      <c r="AT77" s="1625">
        <v>0</v>
      </c>
      <c r="AU77" s="1623">
        <v>0</v>
      </c>
      <c r="AV77" s="1623">
        <v>0</v>
      </c>
      <c r="AX77" s="1647" t="s">
        <v>1526</v>
      </c>
      <c r="AY77" s="1693" t="s">
        <v>334</v>
      </c>
      <c r="AZ77" s="2064" t="s">
        <v>335</v>
      </c>
      <c r="BA77" s="1623">
        <v>0.8</v>
      </c>
      <c r="BB77" s="1623">
        <v>0.8</v>
      </c>
      <c r="BC77" s="1623">
        <v>0.8</v>
      </c>
      <c r="BD77" s="1623">
        <v>0.8</v>
      </c>
      <c r="BE77" s="1623">
        <v>0.8</v>
      </c>
      <c r="BF77" s="1623">
        <v>0.8</v>
      </c>
      <c r="BG77" s="1623">
        <v>0.8</v>
      </c>
      <c r="BH77" s="1624">
        <v>0.8</v>
      </c>
      <c r="BI77" s="1623">
        <v>0.8</v>
      </c>
      <c r="BJ77" s="1623">
        <v>0.8</v>
      </c>
      <c r="BK77" s="1625"/>
      <c r="BL77" s="1623"/>
      <c r="BM77" s="1623"/>
      <c r="BO77" s="1647" t="s">
        <v>1526</v>
      </c>
      <c r="BP77" s="1693" t="s">
        <v>334</v>
      </c>
      <c r="BQ77" s="2064" t="s">
        <v>335</v>
      </c>
      <c r="BR77" s="1623">
        <v>0.8</v>
      </c>
      <c r="BS77" s="1623">
        <v>0.8</v>
      </c>
      <c r="BT77" s="1623">
        <v>0.8</v>
      </c>
      <c r="BU77" s="1623">
        <v>0.8</v>
      </c>
      <c r="BV77" s="1623">
        <v>0.8</v>
      </c>
      <c r="BW77" s="1623">
        <v>0.8</v>
      </c>
      <c r="BX77" s="1623">
        <v>0.8</v>
      </c>
      <c r="BY77" s="1624">
        <v>0.8</v>
      </c>
      <c r="BZ77" s="1623">
        <v>0.8</v>
      </c>
      <c r="CA77" s="1623">
        <v>0.8</v>
      </c>
      <c r="CB77" s="1625"/>
      <c r="CC77" s="1623"/>
      <c r="CD77" s="1623"/>
    </row>
    <row r="78" spans="1:94">
      <c r="B78" s="1597" t="str">
        <f t="shared" si="74"/>
        <v>2.1.2</v>
      </c>
      <c r="C78" s="1614" t="str">
        <f t="shared" si="53"/>
        <v>免震・制振性能</v>
      </c>
      <c r="D78" s="1721">
        <f>IF(I$76&gt;0,G78/I$76,0)</f>
        <v>0.2</v>
      </c>
      <c r="E78" s="1691">
        <f>IF(J$76&gt;0,H78/J$76,0)</f>
        <v>0</v>
      </c>
      <c r="G78" s="1691">
        <f t="shared" si="54"/>
        <v>0.2</v>
      </c>
      <c r="H78" s="1691">
        <f t="shared" si="55"/>
        <v>0</v>
      </c>
      <c r="I78" s="1691"/>
      <c r="J78" s="1691"/>
      <c r="K78" s="1691">
        <f>IF(スコア表示!W78=0,0,1)</f>
        <v>1</v>
      </c>
      <c r="L78" s="1691">
        <f>IF(スコア表示!AA78=0,0,1)</f>
        <v>0</v>
      </c>
      <c r="M78" s="1691">
        <f t="shared" si="56"/>
        <v>0.2</v>
      </c>
      <c r="N78" s="1691">
        <f t="shared" si="57"/>
        <v>0</v>
      </c>
      <c r="P78" s="1647" t="str">
        <f t="shared" si="58"/>
        <v>2.1.2</v>
      </c>
      <c r="Q78" s="1647" t="str">
        <f t="shared" si="59"/>
        <v xml:space="preserve"> Q2 2.1</v>
      </c>
      <c r="R78" s="1737" t="str">
        <f t="shared" si="60"/>
        <v>免震・制振性能</v>
      </c>
      <c r="S78" s="1618">
        <f t="shared" si="61"/>
        <v>0.2</v>
      </c>
      <c r="T78" s="1618">
        <f t="shared" si="62"/>
        <v>0.2</v>
      </c>
      <c r="U78" s="1618">
        <f t="shared" si="63"/>
        <v>0.2</v>
      </c>
      <c r="V78" s="1618">
        <f t="shared" si="64"/>
        <v>0.2</v>
      </c>
      <c r="W78" s="1618">
        <f t="shared" si="65"/>
        <v>0.2</v>
      </c>
      <c r="X78" s="1618">
        <f t="shared" si="66"/>
        <v>0.2</v>
      </c>
      <c r="Y78" s="1618">
        <f t="shared" si="67"/>
        <v>0.2</v>
      </c>
      <c r="Z78" s="1626">
        <f t="shared" si="68"/>
        <v>0.2</v>
      </c>
      <c r="AA78" s="1618">
        <f t="shared" si="69"/>
        <v>0.2</v>
      </c>
      <c r="AB78" s="1618">
        <f t="shared" si="70"/>
        <v>0.2</v>
      </c>
      <c r="AC78" s="1619">
        <f t="shared" si="71"/>
        <v>0</v>
      </c>
      <c r="AD78" s="1618">
        <f t="shared" si="72"/>
        <v>0</v>
      </c>
      <c r="AE78" s="1618">
        <f t="shared" si="73"/>
        <v>0</v>
      </c>
      <c r="AG78" s="1647" t="s">
        <v>1527</v>
      </c>
      <c r="AH78" s="1693" t="s">
        <v>334</v>
      </c>
      <c r="AI78" s="2064" t="s">
        <v>420</v>
      </c>
      <c r="AJ78" s="1618">
        <v>0.2</v>
      </c>
      <c r="AK78" s="1618">
        <v>0.2</v>
      </c>
      <c r="AL78" s="1618">
        <v>0.2</v>
      </c>
      <c r="AM78" s="1618">
        <v>0.2</v>
      </c>
      <c r="AN78" s="1618">
        <v>0.2</v>
      </c>
      <c r="AO78" s="1618">
        <v>0.2</v>
      </c>
      <c r="AP78" s="1618">
        <v>0.2</v>
      </c>
      <c r="AQ78" s="1626">
        <v>0.2</v>
      </c>
      <c r="AR78" s="1618">
        <v>0.2</v>
      </c>
      <c r="AS78" s="1623">
        <v>0.2</v>
      </c>
      <c r="AT78" s="1625">
        <v>0</v>
      </c>
      <c r="AU78" s="1623">
        <v>0</v>
      </c>
      <c r="AV78" s="1623">
        <v>0</v>
      </c>
      <c r="AX78" s="1647" t="s">
        <v>1527</v>
      </c>
      <c r="AY78" s="1693" t="s">
        <v>334</v>
      </c>
      <c r="AZ78" s="2064" t="s">
        <v>420</v>
      </c>
      <c r="BA78" s="1623">
        <v>0.2</v>
      </c>
      <c r="BB78" s="1623">
        <v>0.2</v>
      </c>
      <c r="BC78" s="1623">
        <v>0.2</v>
      </c>
      <c r="BD78" s="1623">
        <v>0.2</v>
      </c>
      <c r="BE78" s="1623">
        <v>0.2</v>
      </c>
      <c r="BF78" s="1623">
        <v>0.2</v>
      </c>
      <c r="BG78" s="1623">
        <v>0.2</v>
      </c>
      <c r="BH78" s="1624">
        <v>0.2</v>
      </c>
      <c r="BI78" s="1623">
        <v>0.2</v>
      </c>
      <c r="BJ78" s="1623">
        <v>0.2</v>
      </c>
      <c r="BK78" s="1625"/>
      <c r="BL78" s="1623"/>
      <c r="BM78" s="1623"/>
      <c r="BO78" s="1647" t="s">
        <v>1527</v>
      </c>
      <c r="BP78" s="1693" t="s">
        <v>334</v>
      </c>
      <c r="BQ78" s="2064" t="s">
        <v>420</v>
      </c>
      <c r="BR78" s="1623">
        <v>0.2</v>
      </c>
      <c r="BS78" s="1623">
        <v>0.2</v>
      </c>
      <c r="BT78" s="1623">
        <v>0.2</v>
      </c>
      <c r="BU78" s="1623">
        <v>0.2</v>
      </c>
      <c r="BV78" s="1623">
        <v>0.2</v>
      </c>
      <c r="BW78" s="1623">
        <v>0.2</v>
      </c>
      <c r="BX78" s="1623">
        <v>0.2</v>
      </c>
      <c r="BY78" s="1624">
        <v>0.2</v>
      </c>
      <c r="BZ78" s="1623">
        <v>0.2</v>
      </c>
      <c r="CA78" s="1623">
        <v>0.2</v>
      </c>
      <c r="CB78" s="1625"/>
      <c r="CC78" s="1623"/>
      <c r="CD78" s="1623"/>
    </row>
    <row r="79" spans="1:94">
      <c r="B79" s="1597">
        <f t="shared" si="74"/>
        <v>2.2000000000000002</v>
      </c>
      <c r="C79" s="1647" t="str">
        <f t="shared" si="53"/>
        <v>部品・部材の耐用年数</v>
      </c>
      <c r="D79" s="1716">
        <f>IF(I$75=0,0,G79/I$75)</f>
        <v>0.25</v>
      </c>
      <c r="E79" s="1691">
        <f>IF(J$75=0,0,H79/J$75)</f>
        <v>0</v>
      </c>
      <c r="G79" s="1691">
        <f t="shared" si="54"/>
        <v>0.25</v>
      </c>
      <c r="H79" s="1691">
        <f t="shared" si="55"/>
        <v>0</v>
      </c>
      <c r="I79" s="1691">
        <f>SUM(G80:G85)</f>
        <v>0.8</v>
      </c>
      <c r="J79" s="1691">
        <f>SUM(H80:H85)</f>
        <v>0</v>
      </c>
      <c r="K79" s="1691">
        <f>IF(スコア表示!W79=0,0,1)</f>
        <v>1</v>
      </c>
      <c r="L79" s="1691">
        <f>IF(スコア表示!AA79=0,0,1)</f>
        <v>0</v>
      </c>
      <c r="M79" s="1691">
        <f t="shared" si="56"/>
        <v>0.25</v>
      </c>
      <c r="N79" s="1691">
        <f t="shared" si="57"/>
        <v>0</v>
      </c>
      <c r="P79" s="1647">
        <f t="shared" si="58"/>
        <v>2.2000000000000002</v>
      </c>
      <c r="Q79" s="1647" t="str">
        <f t="shared" si="59"/>
        <v xml:space="preserve"> Q2 2</v>
      </c>
      <c r="R79" s="1737" t="str">
        <f t="shared" si="60"/>
        <v>部品・部材の耐用年数</v>
      </c>
      <c r="S79" s="1618">
        <f t="shared" si="61"/>
        <v>0.25</v>
      </c>
      <c r="T79" s="1618">
        <f t="shared" si="62"/>
        <v>0.25</v>
      </c>
      <c r="U79" s="1618">
        <f t="shared" si="63"/>
        <v>0.25</v>
      </c>
      <c r="V79" s="1618">
        <f t="shared" si="64"/>
        <v>0.25</v>
      </c>
      <c r="W79" s="1618">
        <f t="shared" si="65"/>
        <v>0.25</v>
      </c>
      <c r="X79" s="1618">
        <f t="shared" si="66"/>
        <v>0.25</v>
      </c>
      <c r="Y79" s="1618">
        <f t="shared" si="67"/>
        <v>0.25</v>
      </c>
      <c r="Z79" s="1626">
        <f t="shared" si="68"/>
        <v>0.25</v>
      </c>
      <c r="AA79" s="1618">
        <f t="shared" si="69"/>
        <v>0.25</v>
      </c>
      <c r="AB79" s="1618">
        <f t="shared" si="70"/>
        <v>0.25</v>
      </c>
      <c r="AC79" s="1619">
        <f t="shared" si="71"/>
        <v>0</v>
      </c>
      <c r="AD79" s="1618">
        <f t="shared" si="72"/>
        <v>0</v>
      </c>
      <c r="AE79" s="1618">
        <f t="shared" si="73"/>
        <v>0</v>
      </c>
      <c r="AG79" s="1647">
        <v>2.2000000000000002</v>
      </c>
      <c r="AH79" s="1693" t="s">
        <v>333</v>
      </c>
      <c r="AI79" s="1737" t="s">
        <v>734</v>
      </c>
      <c r="AJ79" s="1618">
        <v>0.25</v>
      </c>
      <c r="AK79" s="1618">
        <v>0.25</v>
      </c>
      <c r="AL79" s="1618">
        <v>0.25</v>
      </c>
      <c r="AM79" s="1618">
        <v>0.25</v>
      </c>
      <c r="AN79" s="1618">
        <v>0.25</v>
      </c>
      <c r="AO79" s="1618">
        <v>0.25</v>
      </c>
      <c r="AP79" s="1618">
        <v>0.25</v>
      </c>
      <c r="AQ79" s="1626">
        <v>0.25</v>
      </c>
      <c r="AR79" s="1618">
        <v>0.25</v>
      </c>
      <c r="AS79" s="1623">
        <v>0.25</v>
      </c>
      <c r="AT79" s="1625">
        <v>0</v>
      </c>
      <c r="AU79" s="1623">
        <v>0</v>
      </c>
      <c r="AV79" s="1623">
        <v>0</v>
      </c>
      <c r="AX79" s="1647">
        <v>2.2000000000000002</v>
      </c>
      <c r="AY79" s="1693" t="s">
        <v>333</v>
      </c>
      <c r="AZ79" s="1737" t="s">
        <v>734</v>
      </c>
      <c r="BA79" s="1623">
        <v>0.3</v>
      </c>
      <c r="BB79" s="1623">
        <v>0.3</v>
      </c>
      <c r="BC79" s="1623">
        <v>0.3</v>
      </c>
      <c r="BD79" s="1623">
        <v>0.3</v>
      </c>
      <c r="BE79" s="1623">
        <v>0.3</v>
      </c>
      <c r="BF79" s="1623">
        <v>0.3</v>
      </c>
      <c r="BG79" s="1623">
        <v>0.3</v>
      </c>
      <c r="BH79" s="1624">
        <v>0.3</v>
      </c>
      <c r="BI79" s="1623">
        <v>0.3</v>
      </c>
      <c r="BJ79" s="1623">
        <v>0.3</v>
      </c>
      <c r="BK79" s="1625"/>
      <c r="BL79" s="1623"/>
      <c r="BM79" s="1623"/>
      <c r="BO79" s="1647">
        <v>2.2000000000000002</v>
      </c>
      <c r="BP79" s="1693" t="s">
        <v>333</v>
      </c>
      <c r="BQ79" s="1737" t="s">
        <v>734</v>
      </c>
      <c r="BR79" s="1623">
        <v>0.3</v>
      </c>
      <c r="BS79" s="1623">
        <v>0.3</v>
      </c>
      <c r="BT79" s="1623">
        <v>0.3</v>
      </c>
      <c r="BU79" s="1623">
        <v>0.3</v>
      </c>
      <c r="BV79" s="1623">
        <v>0.3</v>
      </c>
      <c r="BW79" s="1623">
        <v>0.3</v>
      </c>
      <c r="BX79" s="1623">
        <v>0.3</v>
      </c>
      <c r="BY79" s="1624">
        <v>0.3</v>
      </c>
      <c r="BZ79" s="1623">
        <v>0.3</v>
      </c>
      <c r="CA79" s="1623">
        <v>0.3</v>
      </c>
      <c r="CB79" s="1625"/>
      <c r="CC79" s="1623"/>
      <c r="CD79" s="1623"/>
    </row>
    <row r="80" spans="1:94">
      <c r="B80" s="1597" t="str">
        <f t="shared" si="74"/>
        <v>2.2.1</v>
      </c>
      <c r="C80" s="1614" t="str">
        <f t="shared" si="53"/>
        <v>躯体材料の耐用年数</v>
      </c>
      <c r="D80" s="1721">
        <f t="shared" ref="D80:E85" si="75">IF(I$79&gt;0,G80/I$79,0)</f>
        <v>0.25</v>
      </c>
      <c r="E80" s="1691">
        <f t="shared" si="75"/>
        <v>0</v>
      </c>
      <c r="G80" s="1691">
        <f t="shared" si="54"/>
        <v>0.2</v>
      </c>
      <c r="H80" s="1691">
        <f t="shared" si="55"/>
        <v>0</v>
      </c>
      <c r="I80" s="1691"/>
      <c r="J80" s="1691"/>
      <c r="K80" s="1691">
        <f>IF(スコア表示!W80=0,0,1)</f>
        <v>1</v>
      </c>
      <c r="L80" s="1691">
        <f>IF(スコア表示!AA80=0,0,1)</f>
        <v>0</v>
      </c>
      <c r="M80" s="1691">
        <f t="shared" si="56"/>
        <v>0.2</v>
      </c>
      <c r="N80" s="1691">
        <f t="shared" si="57"/>
        <v>0</v>
      </c>
      <c r="P80" s="1647" t="str">
        <f t="shared" si="58"/>
        <v>2.2.1</v>
      </c>
      <c r="Q80" s="1647" t="str">
        <f t="shared" si="59"/>
        <v xml:space="preserve"> Q2 2.2</v>
      </c>
      <c r="R80" s="1737" t="str">
        <f t="shared" si="60"/>
        <v>躯体材料の耐用年数</v>
      </c>
      <c r="S80" s="1618">
        <f t="shared" si="61"/>
        <v>0.2</v>
      </c>
      <c r="T80" s="1618">
        <f t="shared" si="62"/>
        <v>0.2</v>
      </c>
      <c r="U80" s="1618">
        <f t="shared" si="63"/>
        <v>0.2</v>
      </c>
      <c r="V80" s="1618">
        <f t="shared" si="64"/>
        <v>0.2</v>
      </c>
      <c r="W80" s="1618">
        <f t="shared" si="65"/>
        <v>0.2</v>
      </c>
      <c r="X80" s="1618">
        <f t="shared" si="66"/>
        <v>0.2</v>
      </c>
      <c r="Y80" s="1618">
        <f t="shared" si="67"/>
        <v>0.2</v>
      </c>
      <c r="Z80" s="1626">
        <f t="shared" si="68"/>
        <v>0.2</v>
      </c>
      <c r="AA80" s="1618">
        <f t="shared" si="69"/>
        <v>0.2</v>
      </c>
      <c r="AB80" s="1618">
        <f t="shared" si="70"/>
        <v>0.25</v>
      </c>
      <c r="AC80" s="1619">
        <f t="shared" si="71"/>
        <v>0</v>
      </c>
      <c r="AD80" s="1618">
        <f t="shared" si="72"/>
        <v>0</v>
      </c>
      <c r="AE80" s="1618">
        <f t="shared" si="73"/>
        <v>0</v>
      </c>
      <c r="AG80" s="1647" t="s">
        <v>1528</v>
      </c>
      <c r="AH80" s="1693" t="s">
        <v>336</v>
      </c>
      <c r="AI80" s="2064" t="s">
        <v>736</v>
      </c>
      <c r="AJ80" s="1619">
        <v>0.2</v>
      </c>
      <c r="AK80" s="1619">
        <v>0.2</v>
      </c>
      <c r="AL80" s="1619">
        <v>0.2</v>
      </c>
      <c r="AM80" s="1619">
        <v>0.2</v>
      </c>
      <c r="AN80" s="1619">
        <v>0.2</v>
      </c>
      <c r="AO80" s="1619">
        <v>0.2</v>
      </c>
      <c r="AP80" s="1619">
        <v>0.2</v>
      </c>
      <c r="AQ80" s="1619">
        <v>0.2</v>
      </c>
      <c r="AR80" s="1619">
        <v>0.2</v>
      </c>
      <c r="AS80" s="1623">
        <v>0.25</v>
      </c>
      <c r="AT80" s="1625">
        <v>0</v>
      </c>
      <c r="AU80" s="1623">
        <v>0</v>
      </c>
      <c r="AV80" s="1623">
        <v>0</v>
      </c>
      <c r="AX80" s="1647" t="s">
        <v>1528</v>
      </c>
      <c r="AY80" s="1693" t="s">
        <v>336</v>
      </c>
      <c r="AZ80" s="2064" t="s">
        <v>736</v>
      </c>
      <c r="BA80" s="1623">
        <v>0.2</v>
      </c>
      <c r="BB80" s="1623">
        <v>0.2</v>
      </c>
      <c r="BC80" s="1623">
        <v>0.2</v>
      </c>
      <c r="BD80" s="1623">
        <v>0.2</v>
      </c>
      <c r="BE80" s="1623">
        <v>0.2</v>
      </c>
      <c r="BF80" s="1623">
        <v>0.2</v>
      </c>
      <c r="BG80" s="1623">
        <v>0.2</v>
      </c>
      <c r="BH80" s="1623">
        <v>0.2</v>
      </c>
      <c r="BI80" s="1623">
        <v>0.2</v>
      </c>
      <c r="BJ80" s="1623">
        <v>0.2</v>
      </c>
      <c r="BK80" s="1625"/>
      <c r="BL80" s="1623"/>
      <c r="BM80" s="1623"/>
      <c r="BO80" s="1647" t="s">
        <v>1528</v>
      </c>
      <c r="BP80" s="1693" t="s">
        <v>336</v>
      </c>
      <c r="BQ80" s="2064" t="s">
        <v>736</v>
      </c>
      <c r="BR80" s="1623">
        <v>0.2</v>
      </c>
      <c r="BS80" s="1623">
        <v>0.2</v>
      </c>
      <c r="BT80" s="1623">
        <v>0.2</v>
      </c>
      <c r="BU80" s="1623">
        <v>0.2</v>
      </c>
      <c r="BV80" s="1623">
        <v>0.2</v>
      </c>
      <c r="BW80" s="1623">
        <v>0.2</v>
      </c>
      <c r="BX80" s="1623">
        <v>0.2</v>
      </c>
      <c r="BY80" s="1623">
        <v>0.2</v>
      </c>
      <c r="BZ80" s="1623">
        <v>0.2</v>
      </c>
      <c r="CA80" s="1623">
        <v>0.2</v>
      </c>
      <c r="CB80" s="1625"/>
      <c r="CC80" s="1623"/>
      <c r="CD80" s="1623"/>
    </row>
    <row r="81" spans="1:94">
      <c r="B81" s="1597" t="str">
        <f t="shared" si="74"/>
        <v>2.2.2</v>
      </c>
      <c r="C81" s="1614" t="str">
        <f t="shared" si="53"/>
        <v>外壁仕上げ材の補修必要間隔</v>
      </c>
      <c r="D81" s="1721">
        <f t="shared" si="75"/>
        <v>0.25</v>
      </c>
      <c r="E81" s="1691">
        <f t="shared" si="75"/>
        <v>0</v>
      </c>
      <c r="G81" s="1691">
        <f t="shared" si="54"/>
        <v>0.2</v>
      </c>
      <c r="H81" s="1691">
        <f t="shared" si="55"/>
        <v>0</v>
      </c>
      <c r="I81" s="1691"/>
      <c r="J81" s="1691"/>
      <c r="K81" s="1691">
        <f>IF(スコア表示!W81=0,0,1)</f>
        <v>1</v>
      </c>
      <c r="L81" s="1691">
        <f>IF(スコア表示!AA81=0,0,1)</f>
        <v>0</v>
      </c>
      <c r="M81" s="1691">
        <f t="shared" si="56"/>
        <v>0.2</v>
      </c>
      <c r="N81" s="1691">
        <f t="shared" si="57"/>
        <v>0</v>
      </c>
      <c r="P81" s="1647" t="str">
        <f t="shared" si="58"/>
        <v>2.2.2</v>
      </c>
      <c r="Q81" s="1647" t="str">
        <f t="shared" si="59"/>
        <v xml:space="preserve"> Q2 2.2</v>
      </c>
      <c r="R81" s="1737" t="str">
        <f t="shared" si="60"/>
        <v>外壁仕上げ材の補修必要間隔</v>
      </c>
      <c r="S81" s="1618">
        <f t="shared" si="61"/>
        <v>0.2</v>
      </c>
      <c r="T81" s="1618">
        <f t="shared" si="62"/>
        <v>0.2</v>
      </c>
      <c r="U81" s="1618">
        <f t="shared" si="63"/>
        <v>0.2</v>
      </c>
      <c r="V81" s="1618">
        <f t="shared" si="64"/>
        <v>0.2</v>
      </c>
      <c r="W81" s="1618">
        <f t="shared" si="65"/>
        <v>0.2</v>
      </c>
      <c r="X81" s="1618">
        <f t="shared" si="66"/>
        <v>0.2</v>
      </c>
      <c r="Y81" s="1618">
        <f t="shared" si="67"/>
        <v>0.2</v>
      </c>
      <c r="Z81" s="1626">
        <f t="shared" si="68"/>
        <v>0.2</v>
      </c>
      <c r="AA81" s="1618">
        <f t="shared" si="69"/>
        <v>0.2</v>
      </c>
      <c r="AB81" s="1618">
        <f t="shared" si="70"/>
        <v>0.25</v>
      </c>
      <c r="AC81" s="1619">
        <f t="shared" si="71"/>
        <v>0</v>
      </c>
      <c r="AD81" s="1618">
        <f t="shared" si="72"/>
        <v>0</v>
      </c>
      <c r="AE81" s="1618">
        <f t="shared" si="73"/>
        <v>0</v>
      </c>
      <c r="AG81" s="1647" t="s">
        <v>1529</v>
      </c>
      <c r="AH81" s="1693" t="s">
        <v>336</v>
      </c>
      <c r="AI81" s="2064" t="s">
        <v>337</v>
      </c>
      <c r="AJ81" s="1619">
        <v>0.2</v>
      </c>
      <c r="AK81" s="1619">
        <v>0.2</v>
      </c>
      <c r="AL81" s="1619">
        <v>0.2</v>
      </c>
      <c r="AM81" s="1619">
        <v>0.2</v>
      </c>
      <c r="AN81" s="1619">
        <v>0.2</v>
      </c>
      <c r="AO81" s="1619">
        <v>0.2</v>
      </c>
      <c r="AP81" s="1619">
        <v>0.2</v>
      </c>
      <c r="AQ81" s="1619">
        <v>0.2</v>
      </c>
      <c r="AR81" s="1619">
        <v>0.2</v>
      </c>
      <c r="AS81" s="1623">
        <v>0.25</v>
      </c>
      <c r="AT81" s="1625">
        <v>0</v>
      </c>
      <c r="AU81" s="1623">
        <v>0</v>
      </c>
      <c r="AV81" s="1623">
        <v>0</v>
      </c>
      <c r="AX81" s="1647" t="s">
        <v>1529</v>
      </c>
      <c r="AY81" s="1693" t="s">
        <v>336</v>
      </c>
      <c r="AZ81" s="2064" t="s">
        <v>337</v>
      </c>
      <c r="BA81" s="1623">
        <v>0.2</v>
      </c>
      <c r="BB81" s="1623">
        <v>0.2</v>
      </c>
      <c r="BC81" s="1623">
        <v>0.2</v>
      </c>
      <c r="BD81" s="1623">
        <v>0.2</v>
      </c>
      <c r="BE81" s="1623">
        <v>0.2</v>
      </c>
      <c r="BF81" s="1623">
        <v>0.2</v>
      </c>
      <c r="BG81" s="1623">
        <v>0.2</v>
      </c>
      <c r="BH81" s="1623">
        <v>0.2</v>
      </c>
      <c r="BI81" s="1623">
        <v>0.2</v>
      </c>
      <c r="BJ81" s="1623">
        <v>0.2</v>
      </c>
      <c r="BK81" s="1625"/>
      <c r="BL81" s="1623"/>
      <c r="BM81" s="1623"/>
      <c r="BO81" s="1647" t="s">
        <v>1529</v>
      </c>
      <c r="BP81" s="1693" t="s">
        <v>336</v>
      </c>
      <c r="BQ81" s="2064" t="s">
        <v>337</v>
      </c>
      <c r="BR81" s="1623">
        <v>0.2</v>
      </c>
      <c r="BS81" s="1623">
        <v>0.2</v>
      </c>
      <c r="BT81" s="1623">
        <v>0.2</v>
      </c>
      <c r="BU81" s="1623">
        <v>0.2</v>
      </c>
      <c r="BV81" s="1623">
        <v>0.2</v>
      </c>
      <c r="BW81" s="1623">
        <v>0.2</v>
      </c>
      <c r="BX81" s="1623">
        <v>0.2</v>
      </c>
      <c r="BY81" s="1623">
        <v>0.2</v>
      </c>
      <c r="BZ81" s="1623">
        <v>0.2</v>
      </c>
      <c r="CA81" s="1623">
        <v>0.2</v>
      </c>
      <c r="CB81" s="1625"/>
      <c r="CC81" s="1623"/>
      <c r="CD81" s="1623"/>
    </row>
    <row r="82" spans="1:94">
      <c r="B82" s="1597" t="str">
        <f t="shared" si="74"/>
        <v>2.2.3</v>
      </c>
      <c r="C82" s="1614" t="str">
        <f t="shared" si="53"/>
        <v>主要内装仕上げ材の更新必要間隔</v>
      </c>
      <c r="D82" s="1721">
        <f t="shared" si="75"/>
        <v>0</v>
      </c>
      <c r="E82" s="1691">
        <f t="shared" si="75"/>
        <v>0</v>
      </c>
      <c r="G82" s="1691">
        <f t="shared" si="54"/>
        <v>0</v>
      </c>
      <c r="H82" s="1691">
        <f t="shared" si="55"/>
        <v>0</v>
      </c>
      <c r="I82" s="1691"/>
      <c r="J82" s="1691"/>
      <c r="K82" s="2066">
        <f>IF(スコア表示!W82=0,0,1)</f>
        <v>0</v>
      </c>
      <c r="L82" s="2066">
        <f>IF(スコア表示!AA82=0,0,1)</f>
        <v>0</v>
      </c>
      <c r="M82" s="2066">
        <f t="shared" si="56"/>
        <v>0</v>
      </c>
      <c r="N82" s="2066">
        <f t="shared" si="57"/>
        <v>0</v>
      </c>
      <c r="P82" s="2067" t="str">
        <f t="shared" si="58"/>
        <v>2.2.3</v>
      </c>
      <c r="Q82" s="2067" t="str">
        <f t="shared" si="59"/>
        <v xml:space="preserve"> Q2 2.2</v>
      </c>
      <c r="R82" s="2068" t="str">
        <f t="shared" si="60"/>
        <v>主要内装仕上げ材の更新必要間隔</v>
      </c>
      <c r="S82" s="1654">
        <f t="shared" si="61"/>
        <v>0</v>
      </c>
      <c r="T82" s="1654">
        <f t="shared" si="62"/>
        <v>0</v>
      </c>
      <c r="U82" s="1654">
        <f t="shared" si="63"/>
        <v>0</v>
      </c>
      <c r="V82" s="1654">
        <f t="shared" si="64"/>
        <v>0</v>
      </c>
      <c r="W82" s="1654">
        <f t="shared" si="65"/>
        <v>0</v>
      </c>
      <c r="X82" s="1654">
        <f t="shared" si="66"/>
        <v>0</v>
      </c>
      <c r="Y82" s="1654">
        <f t="shared" si="67"/>
        <v>0</v>
      </c>
      <c r="Z82" s="1655">
        <f t="shared" si="68"/>
        <v>0</v>
      </c>
      <c r="AA82" s="1654">
        <f t="shared" si="69"/>
        <v>0</v>
      </c>
      <c r="AB82" s="1654">
        <f t="shared" si="70"/>
        <v>0</v>
      </c>
      <c r="AC82" s="1656">
        <f t="shared" si="71"/>
        <v>0</v>
      </c>
      <c r="AD82" s="1654">
        <f t="shared" si="72"/>
        <v>0</v>
      </c>
      <c r="AE82" s="1654">
        <f t="shared" si="73"/>
        <v>0</v>
      </c>
      <c r="AG82" s="1647" t="s">
        <v>1530</v>
      </c>
      <c r="AH82" s="1693" t="s">
        <v>336</v>
      </c>
      <c r="AI82" s="2064" t="s">
        <v>338</v>
      </c>
      <c r="AJ82" s="1654">
        <v>0</v>
      </c>
      <c r="AK82" s="1654">
        <v>0</v>
      </c>
      <c r="AL82" s="1654">
        <v>0</v>
      </c>
      <c r="AM82" s="1654">
        <v>0</v>
      </c>
      <c r="AN82" s="1654">
        <v>0</v>
      </c>
      <c r="AO82" s="1654">
        <v>0</v>
      </c>
      <c r="AP82" s="1654">
        <v>0</v>
      </c>
      <c r="AQ82" s="1654">
        <v>0</v>
      </c>
      <c r="AR82" s="1654">
        <v>0</v>
      </c>
      <c r="AS82" s="1623">
        <v>0</v>
      </c>
      <c r="AT82" s="1625">
        <v>0</v>
      </c>
      <c r="AU82" s="1623">
        <v>0</v>
      </c>
      <c r="AV82" s="1623">
        <v>0</v>
      </c>
      <c r="AX82" s="1647" t="s">
        <v>1530</v>
      </c>
      <c r="AY82" s="1693" t="s">
        <v>336</v>
      </c>
      <c r="AZ82" s="2064" t="s">
        <v>338</v>
      </c>
      <c r="BA82" s="1623">
        <v>0.1</v>
      </c>
      <c r="BB82" s="1623">
        <v>0.1</v>
      </c>
      <c r="BC82" s="1623">
        <v>0.1</v>
      </c>
      <c r="BD82" s="1623">
        <v>0.1</v>
      </c>
      <c r="BE82" s="1623">
        <v>0.1</v>
      </c>
      <c r="BF82" s="1623">
        <v>0.1</v>
      </c>
      <c r="BG82" s="1623">
        <v>0.1</v>
      </c>
      <c r="BH82" s="1623">
        <v>0.1</v>
      </c>
      <c r="BI82" s="1623">
        <v>0.1</v>
      </c>
      <c r="BJ82" s="1623">
        <v>0.1</v>
      </c>
      <c r="BK82" s="1625"/>
      <c r="BL82" s="1623"/>
      <c r="BM82" s="1623"/>
      <c r="BO82" s="1647" t="s">
        <v>1530</v>
      </c>
      <c r="BP82" s="1693" t="s">
        <v>336</v>
      </c>
      <c r="BQ82" s="2064" t="s">
        <v>338</v>
      </c>
      <c r="BR82" s="1623">
        <v>0.1</v>
      </c>
      <c r="BS82" s="1623">
        <v>0.1</v>
      </c>
      <c r="BT82" s="1623">
        <v>0.1</v>
      </c>
      <c r="BU82" s="1623">
        <v>0.1</v>
      </c>
      <c r="BV82" s="1623">
        <v>0.1</v>
      </c>
      <c r="BW82" s="1623">
        <v>0.1</v>
      </c>
      <c r="BX82" s="1623">
        <v>0.1</v>
      </c>
      <c r="BY82" s="1623">
        <v>0.1</v>
      </c>
      <c r="BZ82" s="1623">
        <v>0.1</v>
      </c>
      <c r="CA82" s="1623">
        <v>0.1</v>
      </c>
      <c r="CB82" s="1625"/>
      <c r="CC82" s="1623"/>
      <c r="CD82" s="1623"/>
    </row>
    <row r="83" spans="1:94" s="2082" customFormat="1">
      <c r="A83"/>
      <c r="B83" s="1597" t="str">
        <f t="shared" si="74"/>
        <v>2.2.4</v>
      </c>
      <c r="C83" s="1614" t="str">
        <f t="shared" si="53"/>
        <v>空調換気ダクトの更新必要間隔</v>
      </c>
      <c r="D83" s="1721">
        <f t="shared" si="75"/>
        <v>0.125</v>
      </c>
      <c r="E83" s="1691">
        <f t="shared" si="75"/>
        <v>0</v>
      </c>
      <c r="F83"/>
      <c r="G83" s="1691">
        <f t="shared" si="54"/>
        <v>0.1</v>
      </c>
      <c r="H83" s="1691">
        <f t="shared" si="55"/>
        <v>0</v>
      </c>
      <c r="I83" s="1691"/>
      <c r="J83" s="1691"/>
      <c r="K83" s="1691">
        <f>IF(スコア表示!W83=0,0,1)</f>
        <v>1</v>
      </c>
      <c r="L83" s="1691">
        <f>IF(スコア表示!AA83=0,0,1)</f>
        <v>0</v>
      </c>
      <c r="M83" s="1691">
        <f t="shared" si="56"/>
        <v>0.1</v>
      </c>
      <c r="N83" s="1691">
        <f t="shared" si="57"/>
        <v>0</v>
      </c>
      <c r="O83"/>
      <c r="P83" s="1647" t="str">
        <f t="shared" si="58"/>
        <v>2.2.4</v>
      </c>
      <c r="Q83" s="1647" t="str">
        <f t="shared" si="59"/>
        <v xml:space="preserve"> Q2 2.2</v>
      </c>
      <c r="R83" s="1737" t="str">
        <f t="shared" si="60"/>
        <v>空調換気ダクトの更新必要間隔</v>
      </c>
      <c r="S83" s="1618">
        <f t="shared" si="61"/>
        <v>0.1</v>
      </c>
      <c r="T83" s="1618">
        <f t="shared" si="62"/>
        <v>0.1</v>
      </c>
      <c r="U83" s="1618">
        <f t="shared" si="63"/>
        <v>0.1</v>
      </c>
      <c r="V83" s="1618">
        <f t="shared" si="64"/>
        <v>0.1</v>
      </c>
      <c r="W83" s="1618">
        <f t="shared" si="65"/>
        <v>0.1</v>
      </c>
      <c r="X83" s="1618">
        <f t="shared" si="66"/>
        <v>0.1</v>
      </c>
      <c r="Y83" s="1618">
        <f t="shared" si="67"/>
        <v>0.1</v>
      </c>
      <c r="Z83" s="1626">
        <f t="shared" si="68"/>
        <v>0.1</v>
      </c>
      <c r="AA83" s="1618">
        <f t="shared" si="69"/>
        <v>0.1</v>
      </c>
      <c r="AB83" s="1618">
        <f t="shared" si="70"/>
        <v>0.1</v>
      </c>
      <c r="AC83" s="1619">
        <f t="shared" si="71"/>
        <v>0</v>
      </c>
      <c r="AD83" s="1618">
        <f t="shared" si="72"/>
        <v>0</v>
      </c>
      <c r="AE83" s="1618">
        <f t="shared" si="73"/>
        <v>0</v>
      </c>
      <c r="AF83"/>
      <c r="AG83" s="1647" t="s">
        <v>1531</v>
      </c>
      <c r="AH83" s="1693" t="s">
        <v>336</v>
      </c>
      <c r="AI83" s="2064" t="s">
        <v>341</v>
      </c>
      <c r="AJ83" s="1619">
        <v>0.1</v>
      </c>
      <c r="AK83" s="1619">
        <v>0.1</v>
      </c>
      <c r="AL83" s="1619">
        <v>0.1</v>
      </c>
      <c r="AM83" s="1619">
        <v>0.1</v>
      </c>
      <c r="AN83" s="1619">
        <v>0.1</v>
      </c>
      <c r="AO83" s="1619">
        <v>0.1</v>
      </c>
      <c r="AP83" s="1619">
        <v>0.1</v>
      </c>
      <c r="AQ83" s="1619">
        <v>0.1</v>
      </c>
      <c r="AR83" s="1619">
        <v>0.1</v>
      </c>
      <c r="AS83" s="1623">
        <v>0.1</v>
      </c>
      <c r="AT83" s="1625">
        <v>0</v>
      </c>
      <c r="AU83" s="1623">
        <v>0</v>
      </c>
      <c r="AV83" s="1623">
        <v>0</v>
      </c>
      <c r="AW83"/>
      <c r="AX83" s="1647" t="s">
        <v>1531</v>
      </c>
      <c r="AY83" s="1693" t="s">
        <v>336</v>
      </c>
      <c r="AZ83" s="2064" t="s">
        <v>341</v>
      </c>
      <c r="BA83" s="1623">
        <v>0.1</v>
      </c>
      <c r="BB83" s="1623">
        <v>0.1</v>
      </c>
      <c r="BC83" s="1623">
        <v>0.1</v>
      </c>
      <c r="BD83" s="1623">
        <v>0.1</v>
      </c>
      <c r="BE83" s="1623">
        <v>0.1</v>
      </c>
      <c r="BF83" s="1623">
        <v>0.1</v>
      </c>
      <c r="BG83" s="1623">
        <v>0.1</v>
      </c>
      <c r="BH83" s="1623">
        <v>0.1</v>
      </c>
      <c r="BI83" s="1623">
        <v>0.1</v>
      </c>
      <c r="BJ83" s="1623">
        <v>0.1</v>
      </c>
      <c r="BK83" s="1625"/>
      <c r="BL83" s="1623"/>
      <c r="BM83" s="1623"/>
      <c r="BN83"/>
      <c r="BO83" s="1647" t="s">
        <v>1531</v>
      </c>
      <c r="BP83" s="1693" t="s">
        <v>336</v>
      </c>
      <c r="BQ83" s="2064" t="s">
        <v>341</v>
      </c>
      <c r="BR83" s="1623">
        <v>0.1</v>
      </c>
      <c r="BS83" s="1623">
        <v>0.1</v>
      </c>
      <c r="BT83" s="1623">
        <v>0.1</v>
      </c>
      <c r="BU83" s="1623">
        <v>0.1</v>
      </c>
      <c r="BV83" s="1623">
        <v>0.1</v>
      </c>
      <c r="BW83" s="1623">
        <v>0.1</v>
      </c>
      <c r="BX83" s="1623">
        <v>0.1</v>
      </c>
      <c r="BY83" s="1623">
        <v>0.1</v>
      </c>
      <c r="BZ83" s="1623">
        <v>0.1</v>
      </c>
      <c r="CA83" s="1623">
        <v>0.1</v>
      </c>
      <c r="CB83" s="1625"/>
      <c r="CC83" s="1623"/>
      <c r="CD83" s="1623"/>
      <c r="CE83"/>
      <c r="CF83" s="1558"/>
      <c r="CG83" s="1558"/>
      <c r="CH83" s="1558"/>
      <c r="CI83" s="1558"/>
      <c r="CJ83" s="1558"/>
      <c r="CK83" s="1558"/>
      <c r="CL83" s="1558"/>
      <c r="CM83" s="1558"/>
      <c r="CN83" s="1558"/>
      <c r="CO83" s="1558"/>
      <c r="CP83" s="1558"/>
    </row>
    <row r="84" spans="1:94" s="2082" customFormat="1">
      <c r="A84"/>
      <c r="B84" s="1597" t="str">
        <f t="shared" si="74"/>
        <v>2.2.5</v>
      </c>
      <c r="C84" s="1614" t="str">
        <f t="shared" si="53"/>
        <v>空調・給排水配管の更新必要間隔</v>
      </c>
      <c r="D84" s="1721">
        <f t="shared" si="75"/>
        <v>0.125</v>
      </c>
      <c r="E84" s="1691">
        <f t="shared" si="75"/>
        <v>0</v>
      </c>
      <c r="F84"/>
      <c r="G84" s="1691">
        <f t="shared" si="54"/>
        <v>0.1</v>
      </c>
      <c r="H84" s="1691">
        <f t="shared" si="55"/>
        <v>0</v>
      </c>
      <c r="I84" s="1691"/>
      <c r="J84" s="1691"/>
      <c r="K84" s="1691">
        <f>IF(スコア表示!W84=0,0,1)</f>
        <v>1</v>
      </c>
      <c r="L84" s="1691">
        <f>IF(スコア表示!AA84=0,0,1)</f>
        <v>0</v>
      </c>
      <c r="M84" s="1691">
        <f t="shared" si="56"/>
        <v>0.1</v>
      </c>
      <c r="N84" s="1691">
        <f t="shared" si="57"/>
        <v>0</v>
      </c>
      <c r="O84"/>
      <c r="P84" s="1647" t="str">
        <f t="shared" ref="P84:P115" si="76">IF($P$3=1,AX84,BO84)</f>
        <v>2.2.5</v>
      </c>
      <c r="Q84" s="1647" t="s">
        <v>336</v>
      </c>
      <c r="R84" s="1737" t="str">
        <f t="shared" si="60"/>
        <v>空調・給排水配管の更新必要間隔</v>
      </c>
      <c r="S84" s="1618">
        <f t="shared" si="61"/>
        <v>0.1</v>
      </c>
      <c r="T84" s="1618">
        <f t="shared" si="62"/>
        <v>0.1</v>
      </c>
      <c r="U84" s="1618">
        <f t="shared" si="63"/>
        <v>0.1</v>
      </c>
      <c r="V84" s="1618">
        <f t="shared" si="64"/>
        <v>0.1</v>
      </c>
      <c r="W84" s="1618">
        <f t="shared" si="65"/>
        <v>0.1</v>
      </c>
      <c r="X84" s="1618">
        <f t="shared" si="66"/>
        <v>0.1</v>
      </c>
      <c r="Y84" s="1618">
        <f t="shared" si="67"/>
        <v>0.1</v>
      </c>
      <c r="Z84" s="1626">
        <f t="shared" si="68"/>
        <v>0.1</v>
      </c>
      <c r="AA84" s="1618">
        <f t="shared" si="69"/>
        <v>0.1</v>
      </c>
      <c r="AB84" s="1618">
        <f t="shared" si="70"/>
        <v>0.1</v>
      </c>
      <c r="AC84" s="1619">
        <f t="shared" si="71"/>
        <v>0</v>
      </c>
      <c r="AD84" s="1618">
        <f t="shared" si="72"/>
        <v>0</v>
      </c>
      <c r="AE84" s="1618">
        <f t="shared" si="73"/>
        <v>0</v>
      </c>
      <c r="AF84"/>
      <c r="AG84" s="1647" t="s">
        <v>1532</v>
      </c>
      <c r="AH84" s="1693" t="s">
        <v>336</v>
      </c>
      <c r="AI84" s="2064" t="s">
        <v>342</v>
      </c>
      <c r="AJ84" s="1619">
        <v>0.1</v>
      </c>
      <c r="AK84" s="1619">
        <v>0.1</v>
      </c>
      <c r="AL84" s="1619">
        <v>0.1</v>
      </c>
      <c r="AM84" s="1619">
        <v>0.1</v>
      </c>
      <c r="AN84" s="1619">
        <v>0.1</v>
      </c>
      <c r="AO84" s="1619">
        <v>0.1</v>
      </c>
      <c r="AP84" s="1619">
        <v>0.1</v>
      </c>
      <c r="AQ84" s="1619">
        <v>0.1</v>
      </c>
      <c r="AR84" s="1619">
        <v>0.1</v>
      </c>
      <c r="AS84" s="1623">
        <v>0.1</v>
      </c>
      <c r="AT84" s="1625"/>
      <c r="AU84" s="1623"/>
      <c r="AV84" s="1623"/>
      <c r="AW84"/>
      <c r="AX84" s="1647" t="s">
        <v>1532</v>
      </c>
      <c r="AY84" s="1693" t="s">
        <v>336</v>
      </c>
      <c r="AZ84" s="2064" t="s">
        <v>342</v>
      </c>
      <c r="BA84" s="1623">
        <v>0.2</v>
      </c>
      <c r="BB84" s="1623">
        <v>0.2</v>
      </c>
      <c r="BC84" s="1623">
        <v>0.2</v>
      </c>
      <c r="BD84" s="1623">
        <v>0.2</v>
      </c>
      <c r="BE84" s="1623">
        <v>0.2</v>
      </c>
      <c r="BF84" s="1623">
        <v>0.2</v>
      </c>
      <c r="BG84" s="1623">
        <v>0.2</v>
      </c>
      <c r="BH84" s="1623">
        <v>0.2</v>
      </c>
      <c r="BI84" s="1623">
        <v>0.2</v>
      </c>
      <c r="BJ84" s="1623">
        <v>0.2</v>
      </c>
      <c r="BK84" s="1625"/>
      <c r="BL84" s="1623"/>
      <c r="BM84" s="1623"/>
      <c r="BN84"/>
      <c r="BO84" s="1647" t="s">
        <v>1532</v>
      </c>
      <c r="BP84" s="1693" t="s">
        <v>336</v>
      </c>
      <c r="BQ84" s="2064" t="s">
        <v>342</v>
      </c>
      <c r="BR84" s="1623">
        <v>0.2</v>
      </c>
      <c r="BS84" s="1623">
        <v>0.2</v>
      </c>
      <c r="BT84" s="1623">
        <v>0.2</v>
      </c>
      <c r="BU84" s="1623">
        <v>0.2</v>
      </c>
      <c r="BV84" s="1623">
        <v>0.2</v>
      </c>
      <c r="BW84" s="1623">
        <v>0.2</v>
      </c>
      <c r="BX84" s="1623">
        <v>0.2</v>
      </c>
      <c r="BY84" s="1623">
        <v>0.2</v>
      </c>
      <c r="BZ84" s="1623">
        <v>0.2</v>
      </c>
      <c r="CA84" s="1623">
        <v>0.2</v>
      </c>
      <c r="CB84" s="1625"/>
      <c r="CC84" s="1623"/>
      <c r="CD84" s="1623"/>
      <c r="CE84"/>
      <c r="CF84" s="1558"/>
      <c r="CG84" s="1558"/>
      <c r="CH84" s="1558"/>
      <c r="CI84" s="1558"/>
      <c r="CJ84" s="1558"/>
      <c r="CK84" s="1558"/>
      <c r="CL84" s="1558"/>
      <c r="CM84" s="1558"/>
      <c r="CN84" s="1558"/>
      <c r="CO84" s="1558"/>
      <c r="CP84" s="1558"/>
    </row>
    <row r="85" spans="1:94">
      <c r="B85" s="1597" t="str">
        <f t="shared" si="74"/>
        <v>2.2.6</v>
      </c>
      <c r="C85" s="1614" t="str">
        <f t="shared" si="53"/>
        <v>主要設備機器の更新必要間隔</v>
      </c>
      <c r="D85" s="1721">
        <f t="shared" si="75"/>
        <v>0.25</v>
      </c>
      <c r="E85" s="1691">
        <f t="shared" si="75"/>
        <v>0</v>
      </c>
      <c r="G85" s="1691">
        <f t="shared" si="54"/>
        <v>0.2</v>
      </c>
      <c r="H85" s="1691">
        <f t="shared" si="55"/>
        <v>0</v>
      </c>
      <c r="I85" s="1691"/>
      <c r="J85" s="1691"/>
      <c r="K85" s="1691">
        <f>IF(スコア表示!W85=0,0,1)</f>
        <v>1</v>
      </c>
      <c r="L85" s="1691">
        <f>IF(スコア表示!AA85=0,0,1)</f>
        <v>0</v>
      </c>
      <c r="M85" s="1691">
        <f t="shared" si="56"/>
        <v>0.2</v>
      </c>
      <c r="N85" s="1691">
        <f t="shared" si="57"/>
        <v>0</v>
      </c>
      <c r="P85" s="1647" t="str">
        <f t="shared" si="76"/>
        <v>2.2.6</v>
      </c>
      <c r="Q85" s="1647" t="str">
        <f t="shared" ref="Q85:Q116" si="77">IF($P$3=1,AY85,BP85)</f>
        <v xml:space="preserve"> Q2 2.2</v>
      </c>
      <c r="R85" s="1737" t="str">
        <f t="shared" si="60"/>
        <v>主要設備機器の更新必要間隔</v>
      </c>
      <c r="S85" s="1618">
        <f t="shared" si="61"/>
        <v>0.2</v>
      </c>
      <c r="T85" s="1618">
        <f t="shared" si="62"/>
        <v>0.2</v>
      </c>
      <c r="U85" s="1618">
        <f t="shared" si="63"/>
        <v>0.2</v>
      </c>
      <c r="V85" s="1618">
        <f t="shared" si="64"/>
        <v>0.2</v>
      </c>
      <c r="W85" s="1618">
        <f t="shared" si="65"/>
        <v>0.2</v>
      </c>
      <c r="X85" s="1618">
        <f t="shared" si="66"/>
        <v>0.2</v>
      </c>
      <c r="Y85" s="1618">
        <f t="shared" si="67"/>
        <v>0.2</v>
      </c>
      <c r="Z85" s="1626">
        <f t="shared" si="68"/>
        <v>0.2</v>
      </c>
      <c r="AA85" s="1618">
        <f t="shared" si="69"/>
        <v>0.2</v>
      </c>
      <c r="AB85" s="1618">
        <f t="shared" si="70"/>
        <v>0.25</v>
      </c>
      <c r="AC85" s="1619">
        <f t="shared" si="71"/>
        <v>0</v>
      </c>
      <c r="AD85" s="1618">
        <f t="shared" si="72"/>
        <v>0</v>
      </c>
      <c r="AE85" s="1618">
        <f t="shared" si="73"/>
        <v>0</v>
      </c>
      <c r="AG85" s="1647" t="s">
        <v>1533</v>
      </c>
      <c r="AH85" s="1693" t="s">
        <v>336</v>
      </c>
      <c r="AI85" s="2064" t="s">
        <v>343</v>
      </c>
      <c r="AJ85" s="1619">
        <v>0.2</v>
      </c>
      <c r="AK85" s="1619">
        <v>0.2</v>
      </c>
      <c r="AL85" s="1619">
        <v>0.2</v>
      </c>
      <c r="AM85" s="1619">
        <v>0.2</v>
      </c>
      <c r="AN85" s="1619">
        <v>0.2</v>
      </c>
      <c r="AO85" s="1619">
        <v>0.2</v>
      </c>
      <c r="AP85" s="1619">
        <v>0.2</v>
      </c>
      <c r="AQ85" s="1619">
        <v>0.2</v>
      </c>
      <c r="AR85" s="1619">
        <v>0.2</v>
      </c>
      <c r="AS85" s="1623">
        <v>0.25</v>
      </c>
      <c r="AT85" s="1625">
        <v>0</v>
      </c>
      <c r="AU85" s="1623">
        <v>0</v>
      </c>
      <c r="AV85" s="1623">
        <v>0</v>
      </c>
      <c r="AX85" s="1647" t="s">
        <v>1533</v>
      </c>
      <c r="AY85" s="1693" t="s">
        <v>336</v>
      </c>
      <c r="AZ85" s="2064" t="s">
        <v>343</v>
      </c>
      <c r="BA85" s="1623">
        <v>0.2</v>
      </c>
      <c r="BB85" s="1623">
        <v>0.2</v>
      </c>
      <c r="BC85" s="1623">
        <v>0.2</v>
      </c>
      <c r="BD85" s="1623">
        <v>0.2</v>
      </c>
      <c r="BE85" s="1623">
        <v>0.2</v>
      </c>
      <c r="BF85" s="1623">
        <v>0.2</v>
      </c>
      <c r="BG85" s="1623">
        <v>0.2</v>
      </c>
      <c r="BH85" s="1623">
        <v>0.2</v>
      </c>
      <c r="BI85" s="1623">
        <v>0.2</v>
      </c>
      <c r="BJ85" s="1623">
        <v>0.2</v>
      </c>
      <c r="BK85" s="1625"/>
      <c r="BL85" s="1623"/>
      <c r="BM85" s="1623"/>
      <c r="BO85" s="1647" t="s">
        <v>1533</v>
      </c>
      <c r="BP85" s="1693" t="s">
        <v>336</v>
      </c>
      <c r="BQ85" s="2064" t="s">
        <v>343</v>
      </c>
      <c r="BR85" s="1623">
        <v>0.2</v>
      </c>
      <c r="BS85" s="1623">
        <v>0.2</v>
      </c>
      <c r="BT85" s="1623">
        <v>0.2</v>
      </c>
      <c r="BU85" s="1623">
        <v>0.2</v>
      </c>
      <c r="BV85" s="1623">
        <v>0.2</v>
      </c>
      <c r="BW85" s="1623">
        <v>0.2</v>
      </c>
      <c r="BX85" s="1623">
        <v>0.2</v>
      </c>
      <c r="BY85" s="1623">
        <v>0.2</v>
      </c>
      <c r="BZ85" s="1623">
        <v>0.2</v>
      </c>
      <c r="CA85" s="1623">
        <v>0.2</v>
      </c>
      <c r="CB85" s="1625"/>
      <c r="CC85" s="1623"/>
      <c r="CD85" s="1623"/>
    </row>
    <row r="86" spans="1:94">
      <c r="B86" s="1597">
        <f t="shared" si="74"/>
        <v>2.2999999999999998</v>
      </c>
      <c r="C86" s="1741" t="str">
        <f t="shared" si="53"/>
        <v>適切な更新</v>
      </c>
      <c r="D86" s="1716">
        <f>IF(I$75=0,0,G86/I$75)</f>
        <v>0.25</v>
      </c>
      <c r="E86" s="1691">
        <f>IF(J$75=0,0,H86/J$75)</f>
        <v>0</v>
      </c>
      <c r="G86" s="1691">
        <f t="shared" si="54"/>
        <v>0.25</v>
      </c>
      <c r="H86" s="1691">
        <f t="shared" si="55"/>
        <v>0</v>
      </c>
      <c r="I86" s="1691">
        <f>G87+G88+G89</f>
        <v>1</v>
      </c>
      <c r="J86" s="1691">
        <f>H87+H88+H89</f>
        <v>0</v>
      </c>
      <c r="K86" s="1691">
        <f>IF(スコア表示!W86=0,0,1)</f>
        <v>1</v>
      </c>
      <c r="L86" s="1691">
        <f>IF(スコア表示!AA86=0,0,1)</f>
        <v>0</v>
      </c>
      <c r="M86" s="1691">
        <f t="shared" si="56"/>
        <v>0.25</v>
      </c>
      <c r="N86" s="1691">
        <f t="shared" si="57"/>
        <v>0</v>
      </c>
      <c r="P86" s="1647">
        <f t="shared" si="76"/>
        <v>2.2999999999999998</v>
      </c>
      <c r="Q86" s="1647" t="str">
        <f t="shared" si="77"/>
        <v xml:space="preserve"> Q2 2</v>
      </c>
      <c r="R86" s="1737" t="str">
        <f t="shared" si="60"/>
        <v>適切な更新</v>
      </c>
      <c r="S86" s="1618">
        <f t="shared" si="61"/>
        <v>0.25</v>
      </c>
      <c r="T86" s="1618">
        <f t="shared" si="62"/>
        <v>0.25</v>
      </c>
      <c r="U86" s="1618">
        <f t="shared" si="63"/>
        <v>0.25</v>
      </c>
      <c r="V86" s="1618">
        <f t="shared" si="64"/>
        <v>0.25</v>
      </c>
      <c r="W86" s="1618">
        <f t="shared" si="65"/>
        <v>0.25</v>
      </c>
      <c r="X86" s="1618">
        <f t="shared" si="66"/>
        <v>0.25</v>
      </c>
      <c r="Y86" s="1618">
        <f t="shared" si="67"/>
        <v>0.25</v>
      </c>
      <c r="Z86" s="1626">
        <f t="shared" si="68"/>
        <v>0.25</v>
      </c>
      <c r="AA86" s="1618">
        <f t="shared" si="69"/>
        <v>0.25</v>
      </c>
      <c r="AB86" s="1618">
        <f t="shared" si="70"/>
        <v>0.25</v>
      </c>
      <c r="AC86" s="1619">
        <f t="shared" si="71"/>
        <v>0</v>
      </c>
      <c r="AD86" s="1618">
        <f t="shared" si="72"/>
        <v>0</v>
      </c>
      <c r="AE86" s="1618">
        <f t="shared" si="73"/>
        <v>0</v>
      </c>
      <c r="AG86" s="1647">
        <v>2.2999999999999998</v>
      </c>
      <c r="AH86" s="1647" t="s">
        <v>1709</v>
      </c>
      <c r="AI86" s="1693" t="s">
        <v>421</v>
      </c>
      <c r="AJ86" s="1618">
        <v>0.25</v>
      </c>
      <c r="AK86" s="1618">
        <v>0.25</v>
      </c>
      <c r="AL86" s="1618">
        <v>0.25</v>
      </c>
      <c r="AM86" s="1618">
        <v>0.25</v>
      </c>
      <c r="AN86" s="1618">
        <v>0.25</v>
      </c>
      <c r="AO86" s="1618">
        <v>0.25</v>
      </c>
      <c r="AP86" s="1618">
        <v>0.25</v>
      </c>
      <c r="AQ86" s="1626">
        <v>0.25</v>
      </c>
      <c r="AR86" s="1618">
        <v>0.25</v>
      </c>
      <c r="AS86" s="1623">
        <v>0.25</v>
      </c>
      <c r="AT86" s="1623"/>
      <c r="AU86" s="1625"/>
      <c r="AV86" s="1623"/>
      <c r="AX86" s="2067">
        <v>2.2999999999999998</v>
      </c>
      <c r="AY86" s="2084" t="s">
        <v>333</v>
      </c>
      <c r="AZ86" s="2070" t="s">
        <v>421</v>
      </c>
      <c r="BA86" s="2072">
        <v>0</v>
      </c>
      <c r="BB86" s="2072">
        <v>0</v>
      </c>
      <c r="BC86" s="2072">
        <v>0</v>
      </c>
      <c r="BD86" s="2072">
        <v>0</v>
      </c>
      <c r="BE86" s="2072">
        <v>0</v>
      </c>
      <c r="BF86" s="2072">
        <v>0</v>
      </c>
      <c r="BG86" s="2072">
        <v>0</v>
      </c>
      <c r="BH86" s="2072">
        <v>0</v>
      </c>
      <c r="BI86" s="2072">
        <v>0</v>
      </c>
      <c r="BJ86" s="2072">
        <v>0</v>
      </c>
      <c r="BK86" s="2072"/>
      <c r="BL86" s="2072"/>
      <c r="BM86" s="2072"/>
      <c r="BO86" s="2067">
        <v>2.2999999999999998</v>
      </c>
      <c r="BP86" s="2084" t="s">
        <v>333</v>
      </c>
      <c r="BQ86" s="2070" t="s">
        <v>421</v>
      </c>
      <c r="BR86" s="2072">
        <v>0</v>
      </c>
      <c r="BS86" s="2072">
        <v>0</v>
      </c>
      <c r="BT86" s="2072">
        <v>0</v>
      </c>
      <c r="BU86" s="2072">
        <v>0</v>
      </c>
      <c r="BV86" s="2072">
        <v>0</v>
      </c>
      <c r="BW86" s="2072">
        <v>0</v>
      </c>
      <c r="BX86" s="2072">
        <v>0</v>
      </c>
      <c r="BY86" s="2072">
        <v>0</v>
      </c>
      <c r="BZ86" s="2072">
        <v>0</v>
      </c>
      <c r="CA86" s="2072">
        <v>0</v>
      </c>
      <c r="CB86" s="2072"/>
      <c r="CC86" s="2072"/>
      <c r="CD86" s="2072"/>
    </row>
    <row r="87" spans="1:94">
      <c r="B87" s="1597" t="str">
        <f t="shared" si="74"/>
        <v>2.3.1</v>
      </c>
      <c r="C87" s="1742" t="str">
        <f t="shared" si="53"/>
        <v>屋上（屋根）・外壁仕上げ材の更新</v>
      </c>
      <c r="D87" s="1721">
        <f t="shared" ref="D87:E89" si="78">IF(I$79&gt;0,G87/I$79,0)</f>
        <v>0.41666666666666663</v>
      </c>
      <c r="E87" s="1691">
        <f t="shared" si="78"/>
        <v>0</v>
      </c>
      <c r="G87" s="1691">
        <f t="shared" si="54"/>
        <v>0.33333333333333331</v>
      </c>
      <c r="H87" s="1691">
        <f t="shared" si="55"/>
        <v>0</v>
      </c>
      <c r="I87" s="1691"/>
      <c r="J87" s="1691"/>
      <c r="K87" s="1691">
        <f>IF(スコア表示!W87=0,0,1)</f>
        <v>1</v>
      </c>
      <c r="L87" s="1691">
        <f>IF(スコア表示!AA87=0,0,1)</f>
        <v>0</v>
      </c>
      <c r="M87" s="1691">
        <f t="shared" si="56"/>
        <v>0.33333333333333331</v>
      </c>
      <c r="N87" s="1691">
        <f t="shared" si="57"/>
        <v>0</v>
      </c>
      <c r="P87" s="1647" t="str">
        <f t="shared" si="76"/>
        <v>2.3.1</v>
      </c>
      <c r="Q87" s="1647" t="str">
        <f t="shared" si="77"/>
        <v xml:space="preserve"> Q2 2.3</v>
      </c>
      <c r="R87" s="1737" t="str">
        <f t="shared" si="60"/>
        <v>屋上（屋根）・外壁仕上げ材の更新</v>
      </c>
      <c r="S87" s="1618">
        <f t="shared" si="61"/>
        <v>0.33333333333333331</v>
      </c>
      <c r="T87" s="1618">
        <f t="shared" si="62"/>
        <v>0.33333333333333331</v>
      </c>
      <c r="U87" s="1618">
        <f t="shared" si="63"/>
        <v>0.33333333333333331</v>
      </c>
      <c r="V87" s="1618">
        <f t="shared" si="64"/>
        <v>0.33333333333333331</v>
      </c>
      <c r="W87" s="1618">
        <f t="shared" si="65"/>
        <v>0.33333333333333331</v>
      </c>
      <c r="X87" s="1618">
        <f t="shared" si="66"/>
        <v>0.33333333333333331</v>
      </c>
      <c r="Y87" s="1618">
        <f t="shared" si="67"/>
        <v>0.33333333333333331</v>
      </c>
      <c r="Z87" s="1626">
        <f t="shared" si="68"/>
        <v>0.33333333333333331</v>
      </c>
      <c r="AA87" s="1618">
        <f t="shared" si="69"/>
        <v>0.33333333333333331</v>
      </c>
      <c r="AB87" s="1618">
        <f t="shared" si="70"/>
        <v>0.33333333333333331</v>
      </c>
      <c r="AC87" s="1619">
        <f t="shared" si="71"/>
        <v>0</v>
      </c>
      <c r="AD87" s="1618">
        <f t="shared" si="72"/>
        <v>0</v>
      </c>
      <c r="AE87" s="1618">
        <f t="shared" si="73"/>
        <v>0</v>
      </c>
      <c r="AG87" s="1647" t="s">
        <v>1534</v>
      </c>
      <c r="AH87" s="1647" t="s">
        <v>1710</v>
      </c>
      <c r="AI87" s="1693" t="s">
        <v>422</v>
      </c>
      <c r="AJ87" s="1639">
        <v>0.33333333333333331</v>
      </c>
      <c r="AK87" s="1639">
        <v>0.33333333333333331</v>
      </c>
      <c r="AL87" s="1639">
        <v>0.33333333333333331</v>
      </c>
      <c r="AM87" s="1639">
        <v>0.33333333333333331</v>
      </c>
      <c r="AN87" s="1639">
        <v>0.33333333333333331</v>
      </c>
      <c r="AO87" s="1639">
        <v>0.33333333333333331</v>
      </c>
      <c r="AP87" s="1639">
        <v>0.33333333333333331</v>
      </c>
      <c r="AQ87" s="1639">
        <v>0.33333333333333331</v>
      </c>
      <c r="AR87" s="1639">
        <v>0.33333333333333331</v>
      </c>
      <c r="AS87" s="1623">
        <v>0.33333333333333331</v>
      </c>
      <c r="AT87" s="1623"/>
      <c r="AU87" s="1625"/>
      <c r="AV87" s="1623"/>
      <c r="AX87" s="2067" t="s">
        <v>1534</v>
      </c>
      <c r="AY87" s="2085" t="s">
        <v>344</v>
      </c>
      <c r="AZ87" s="2070" t="s">
        <v>422</v>
      </c>
      <c r="BA87" s="2072">
        <v>0</v>
      </c>
      <c r="BB87" s="2072">
        <v>0</v>
      </c>
      <c r="BC87" s="2072">
        <v>0</v>
      </c>
      <c r="BD87" s="2072">
        <v>0</v>
      </c>
      <c r="BE87" s="2072">
        <v>0</v>
      </c>
      <c r="BF87" s="2072">
        <v>0</v>
      </c>
      <c r="BG87" s="2072">
        <v>0</v>
      </c>
      <c r="BH87" s="2072">
        <v>0</v>
      </c>
      <c r="BI87" s="2072">
        <v>0</v>
      </c>
      <c r="BJ87" s="2072">
        <v>0</v>
      </c>
      <c r="BK87" s="2072"/>
      <c r="BL87" s="2072"/>
      <c r="BM87" s="2072"/>
      <c r="BO87" s="2067" t="s">
        <v>1534</v>
      </c>
      <c r="BP87" s="2085" t="s">
        <v>344</v>
      </c>
      <c r="BQ87" s="2070" t="s">
        <v>422</v>
      </c>
      <c r="BR87" s="2072">
        <v>0</v>
      </c>
      <c r="BS87" s="2072">
        <v>0</v>
      </c>
      <c r="BT87" s="2072">
        <v>0</v>
      </c>
      <c r="BU87" s="2072">
        <v>0</v>
      </c>
      <c r="BV87" s="2072">
        <v>0</v>
      </c>
      <c r="BW87" s="2072">
        <v>0</v>
      </c>
      <c r="BX87" s="2072">
        <v>0</v>
      </c>
      <c r="BY87" s="2072">
        <v>0</v>
      </c>
      <c r="BZ87" s="2072">
        <v>0</v>
      </c>
      <c r="CA87" s="2072">
        <v>0</v>
      </c>
      <c r="CB87" s="2072"/>
      <c r="CC87" s="2072"/>
      <c r="CD87" s="2072"/>
    </row>
    <row r="88" spans="1:94">
      <c r="B88" s="1597" t="str">
        <f t="shared" si="74"/>
        <v>2.3.2</v>
      </c>
      <c r="C88" s="1742" t="str">
        <f t="shared" si="53"/>
        <v>配管・配線材の更新</v>
      </c>
      <c r="D88" s="1721">
        <f t="shared" si="78"/>
        <v>0.41666666666666663</v>
      </c>
      <c r="E88" s="1691">
        <f t="shared" si="78"/>
        <v>0</v>
      </c>
      <c r="G88" s="1691">
        <f t="shared" si="54"/>
        <v>0.33333333333333331</v>
      </c>
      <c r="H88" s="1691">
        <f t="shared" si="55"/>
        <v>0</v>
      </c>
      <c r="I88" s="1691"/>
      <c r="J88" s="1691"/>
      <c r="K88" s="1691">
        <f>IF(スコア表示!W88=0,0,1)</f>
        <v>1</v>
      </c>
      <c r="L88" s="1691">
        <f>IF(スコア表示!AA88=0,0,1)</f>
        <v>0</v>
      </c>
      <c r="M88" s="1691">
        <f t="shared" si="56"/>
        <v>0.33333333333333331</v>
      </c>
      <c r="N88" s="1691">
        <f t="shared" si="57"/>
        <v>0</v>
      </c>
      <c r="P88" s="1647" t="str">
        <f t="shared" si="76"/>
        <v>2.3.2</v>
      </c>
      <c r="Q88" s="1647" t="str">
        <f t="shared" si="77"/>
        <v xml:space="preserve"> Q2 2.3</v>
      </c>
      <c r="R88" s="1737" t="str">
        <f t="shared" si="60"/>
        <v>配管・配線材の更新</v>
      </c>
      <c r="S88" s="1618">
        <f t="shared" si="61"/>
        <v>0.33333333333333331</v>
      </c>
      <c r="T88" s="1618">
        <f t="shared" si="62"/>
        <v>0.33333333333333331</v>
      </c>
      <c r="U88" s="1618">
        <f t="shared" si="63"/>
        <v>0.33333333333333331</v>
      </c>
      <c r="V88" s="1618">
        <f t="shared" si="64"/>
        <v>0.33333333333333331</v>
      </c>
      <c r="W88" s="1618">
        <f t="shared" si="65"/>
        <v>0.33333333333333331</v>
      </c>
      <c r="X88" s="1618">
        <f t="shared" si="66"/>
        <v>0.33333333333333331</v>
      </c>
      <c r="Y88" s="1618">
        <f t="shared" si="67"/>
        <v>0.33333333333333331</v>
      </c>
      <c r="Z88" s="1626">
        <f t="shared" si="68"/>
        <v>0.33333333333333331</v>
      </c>
      <c r="AA88" s="1618">
        <f t="shared" si="69"/>
        <v>0.33333333333333331</v>
      </c>
      <c r="AB88" s="1618">
        <f t="shared" si="70"/>
        <v>0.33333333333333331</v>
      </c>
      <c r="AC88" s="1619">
        <f t="shared" si="71"/>
        <v>0</v>
      </c>
      <c r="AD88" s="1618">
        <f t="shared" si="72"/>
        <v>0</v>
      </c>
      <c r="AE88" s="1618">
        <f t="shared" si="73"/>
        <v>0</v>
      </c>
      <c r="AG88" s="1647" t="s">
        <v>1535</v>
      </c>
      <c r="AH88" s="1647" t="s">
        <v>1710</v>
      </c>
      <c r="AI88" s="1693" t="s">
        <v>423</v>
      </c>
      <c r="AJ88" s="1639">
        <v>0.33333333333333331</v>
      </c>
      <c r="AK88" s="1639">
        <v>0.33333333333333331</v>
      </c>
      <c r="AL88" s="1639">
        <v>0.33333333333333331</v>
      </c>
      <c r="AM88" s="1639">
        <v>0.33333333333333331</v>
      </c>
      <c r="AN88" s="1639">
        <v>0.33333333333333331</v>
      </c>
      <c r="AO88" s="1639">
        <v>0.33333333333333331</v>
      </c>
      <c r="AP88" s="1639">
        <v>0.33333333333333331</v>
      </c>
      <c r="AQ88" s="1639">
        <v>0.33333333333333331</v>
      </c>
      <c r="AR88" s="1639">
        <v>0.33333333333333331</v>
      </c>
      <c r="AS88" s="1623">
        <v>0.33333333333333331</v>
      </c>
      <c r="AT88" s="1623"/>
      <c r="AU88" s="1625"/>
      <c r="AV88" s="1623"/>
      <c r="AX88" s="2067" t="s">
        <v>1535</v>
      </c>
      <c r="AY88" s="2085" t="s">
        <v>344</v>
      </c>
      <c r="AZ88" s="2070" t="s">
        <v>423</v>
      </c>
      <c r="BA88" s="2072">
        <v>0</v>
      </c>
      <c r="BB88" s="2072">
        <v>0</v>
      </c>
      <c r="BC88" s="2072">
        <v>0</v>
      </c>
      <c r="BD88" s="2072">
        <v>0</v>
      </c>
      <c r="BE88" s="2072">
        <v>0</v>
      </c>
      <c r="BF88" s="2072">
        <v>0</v>
      </c>
      <c r="BG88" s="2072">
        <v>0</v>
      </c>
      <c r="BH88" s="2072">
        <v>0</v>
      </c>
      <c r="BI88" s="2072">
        <v>0</v>
      </c>
      <c r="BJ88" s="2072">
        <v>0</v>
      </c>
      <c r="BK88" s="2072"/>
      <c r="BL88" s="2072"/>
      <c r="BM88" s="2072"/>
      <c r="BO88" s="2067" t="s">
        <v>1535</v>
      </c>
      <c r="BP88" s="2085" t="s">
        <v>344</v>
      </c>
      <c r="BQ88" s="2070" t="s">
        <v>423</v>
      </c>
      <c r="BR88" s="2072">
        <v>0</v>
      </c>
      <c r="BS88" s="2072">
        <v>0</v>
      </c>
      <c r="BT88" s="2072">
        <v>0</v>
      </c>
      <c r="BU88" s="2072">
        <v>0</v>
      </c>
      <c r="BV88" s="2072">
        <v>0</v>
      </c>
      <c r="BW88" s="2072">
        <v>0</v>
      </c>
      <c r="BX88" s="2072">
        <v>0</v>
      </c>
      <c r="BY88" s="2072">
        <v>0</v>
      </c>
      <c r="BZ88" s="2072">
        <v>0</v>
      </c>
      <c r="CA88" s="2072">
        <v>0</v>
      </c>
      <c r="CB88" s="2072"/>
      <c r="CC88" s="2072"/>
      <c r="CD88" s="2072"/>
    </row>
    <row r="89" spans="1:94">
      <c r="B89" s="1597" t="str">
        <f t="shared" si="74"/>
        <v>2.3.3</v>
      </c>
      <c r="C89" s="1742" t="str">
        <f t="shared" si="53"/>
        <v>主要設備機器の更新</v>
      </c>
      <c r="D89" s="1721">
        <f t="shared" si="78"/>
        <v>0.41666666666666663</v>
      </c>
      <c r="E89" s="1691">
        <f t="shared" si="78"/>
        <v>0</v>
      </c>
      <c r="G89" s="1691">
        <f t="shared" si="54"/>
        <v>0.33333333333333331</v>
      </c>
      <c r="H89" s="1691">
        <f t="shared" si="55"/>
        <v>0</v>
      </c>
      <c r="I89" s="1691"/>
      <c r="J89" s="1691"/>
      <c r="K89" s="1691">
        <f>IF(スコア表示!W89=0,0,1)</f>
        <v>1</v>
      </c>
      <c r="L89" s="1691">
        <f>IF(スコア表示!AA89=0,0,1)</f>
        <v>0</v>
      </c>
      <c r="M89" s="1691">
        <f t="shared" si="56"/>
        <v>0.33333333333333331</v>
      </c>
      <c r="N89" s="1691">
        <f t="shared" si="57"/>
        <v>0</v>
      </c>
      <c r="P89" s="1647" t="str">
        <f t="shared" si="76"/>
        <v>2.3.3</v>
      </c>
      <c r="Q89" s="1647" t="str">
        <f t="shared" si="77"/>
        <v xml:space="preserve"> Q2 2.3</v>
      </c>
      <c r="R89" s="1737" t="str">
        <f t="shared" si="60"/>
        <v>主要設備機器の更新</v>
      </c>
      <c r="S89" s="1618">
        <f t="shared" si="61"/>
        <v>0.33333333333333331</v>
      </c>
      <c r="T89" s="1618">
        <f t="shared" si="62"/>
        <v>0.33333333333333331</v>
      </c>
      <c r="U89" s="1618">
        <f t="shared" si="63"/>
        <v>0.33333333333333331</v>
      </c>
      <c r="V89" s="1618">
        <f t="shared" si="64"/>
        <v>0.33333333333333331</v>
      </c>
      <c r="W89" s="1618">
        <f t="shared" si="65"/>
        <v>0.33333333333333331</v>
      </c>
      <c r="X89" s="1618">
        <f t="shared" si="66"/>
        <v>0.33333333333333331</v>
      </c>
      <c r="Y89" s="1618">
        <f t="shared" si="67"/>
        <v>0.33333333333333331</v>
      </c>
      <c r="Z89" s="1626">
        <f t="shared" si="68"/>
        <v>0.33333333333333331</v>
      </c>
      <c r="AA89" s="1618">
        <f t="shared" si="69"/>
        <v>0.33333333333333331</v>
      </c>
      <c r="AB89" s="1618">
        <f t="shared" si="70"/>
        <v>0.33333333333333331</v>
      </c>
      <c r="AC89" s="1619">
        <f t="shared" si="71"/>
        <v>0</v>
      </c>
      <c r="AD89" s="1618">
        <f t="shared" si="72"/>
        <v>0</v>
      </c>
      <c r="AE89" s="1618">
        <f t="shared" si="73"/>
        <v>0</v>
      </c>
      <c r="AG89" s="1647" t="s">
        <v>1536</v>
      </c>
      <c r="AH89" s="1647" t="s">
        <v>1710</v>
      </c>
      <c r="AI89" s="1693" t="s">
        <v>424</v>
      </c>
      <c r="AJ89" s="1639">
        <v>0.33333333333333331</v>
      </c>
      <c r="AK89" s="1639">
        <v>0.33333333333333331</v>
      </c>
      <c r="AL89" s="1639">
        <v>0.33333333333333331</v>
      </c>
      <c r="AM89" s="1639">
        <v>0.33333333333333331</v>
      </c>
      <c r="AN89" s="1639">
        <v>0.33333333333333331</v>
      </c>
      <c r="AO89" s="1639">
        <v>0.33333333333333331</v>
      </c>
      <c r="AP89" s="1639">
        <v>0.33333333333333331</v>
      </c>
      <c r="AQ89" s="1639">
        <v>0.33333333333333331</v>
      </c>
      <c r="AR89" s="1639">
        <v>0.33333333333333331</v>
      </c>
      <c r="AS89" s="1623">
        <v>0.33333333333333331</v>
      </c>
      <c r="AT89" s="1623"/>
      <c r="AU89" s="1625"/>
      <c r="AV89" s="1623"/>
      <c r="AX89" s="2067" t="s">
        <v>1536</v>
      </c>
      <c r="AY89" s="2085" t="s">
        <v>344</v>
      </c>
      <c r="AZ89" s="2070" t="s">
        <v>424</v>
      </c>
      <c r="BA89" s="2072">
        <v>0</v>
      </c>
      <c r="BB89" s="2072">
        <v>0</v>
      </c>
      <c r="BC89" s="2072">
        <v>0</v>
      </c>
      <c r="BD89" s="2072">
        <v>0</v>
      </c>
      <c r="BE89" s="2072">
        <v>0</v>
      </c>
      <c r="BF89" s="2072">
        <v>0</v>
      </c>
      <c r="BG89" s="2072">
        <v>0</v>
      </c>
      <c r="BH89" s="2072">
        <v>0</v>
      </c>
      <c r="BI89" s="2072">
        <v>0</v>
      </c>
      <c r="BJ89" s="2072">
        <v>0</v>
      </c>
      <c r="BK89" s="2072"/>
      <c r="BL89" s="2072"/>
      <c r="BM89" s="2072"/>
      <c r="BO89" s="2067" t="s">
        <v>1536</v>
      </c>
      <c r="BP89" s="2085" t="s">
        <v>344</v>
      </c>
      <c r="BQ89" s="2070" t="s">
        <v>424</v>
      </c>
      <c r="BR89" s="2072">
        <v>0</v>
      </c>
      <c r="BS89" s="2072">
        <v>0</v>
      </c>
      <c r="BT89" s="2072">
        <v>0</v>
      </c>
      <c r="BU89" s="2072">
        <v>0</v>
      </c>
      <c r="BV89" s="2072">
        <v>0</v>
      </c>
      <c r="BW89" s="2072">
        <v>0</v>
      </c>
      <c r="BX89" s="2072">
        <v>0</v>
      </c>
      <c r="BY89" s="2072">
        <v>0</v>
      </c>
      <c r="BZ89" s="2072">
        <v>0</v>
      </c>
      <c r="CA89" s="2072">
        <v>0</v>
      </c>
      <c r="CB89" s="2072"/>
      <c r="CC89" s="2072"/>
      <c r="CD89" s="2072"/>
    </row>
    <row r="90" spans="1:94">
      <c r="B90" s="1597">
        <f t="shared" si="74"/>
        <v>2.4</v>
      </c>
      <c r="C90" s="1647" t="str">
        <f t="shared" si="53"/>
        <v>信頼性</v>
      </c>
      <c r="D90" s="1716">
        <f>IF(I$75=0,0,G90/I$75)</f>
        <v>0.25</v>
      </c>
      <c r="E90" s="1691">
        <f>IF(J$75=0,0,H90/J$75)</f>
        <v>0</v>
      </c>
      <c r="G90" s="1691">
        <f t="shared" si="54"/>
        <v>0.25</v>
      </c>
      <c r="H90" s="1691">
        <f t="shared" si="55"/>
        <v>0</v>
      </c>
      <c r="I90" s="1691">
        <f>SUM(G91:G95)</f>
        <v>1</v>
      </c>
      <c r="J90" s="1691">
        <f>SUM(H91:H95)</f>
        <v>0</v>
      </c>
      <c r="K90" s="1691">
        <f>IF(スコア表示!W90=0,0,1)</f>
        <v>1</v>
      </c>
      <c r="L90" s="1691">
        <f>IF(スコア表示!AA90=0,0,1)</f>
        <v>0</v>
      </c>
      <c r="M90" s="1691">
        <f t="shared" si="56"/>
        <v>0.25</v>
      </c>
      <c r="N90" s="1691">
        <f t="shared" si="57"/>
        <v>0</v>
      </c>
      <c r="P90" s="1647">
        <f t="shared" si="76"/>
        <v>2.4</v>
      </c>
      <c r="Q90" s="1647" t="str">
        <f t="shared" si="77"/>
        <v xml:space="preserve"> Q2 2</v>
      </c>
      <c r="R90" s="1737" t="str">
        <f t="shared" si="60"/>
        <v>信頼性</v>
      </c>
      <c r="S90" s="1618">
        <f t="shared" si="61"/>
        <v>0.25</v>
      </c>
      <c r="T90" s="1618">
        <f t="shared" si="62"/>
        <v>0.25</v>
      </c>
      <c r="U90" s="1618">
        <f t="shared" si="63"/>
        <v>0.25</v>
      </c>
      <c r="V90" s="1618">
        <f t="shared" si="64"/>
        <v>0.25</v>
      </c>
      <c r="W90" s="1618">
        <f t="shared" si="65"/>
        <v>0.25</v>
      </c>
      <c r="X90" s="1618">
        <f t="shared" si="66"/>
        <v>0.25</v>
      </c>
      <c r="Y90" s="1618">
        <f t="shared" si="67"/>
        <v>0.25</v>
      </c>
      <c r="Z90" s="1626">
        <f t="shared" si="68"/>
        <v>0.25</v>
      </c>
      <c r="AA90" s="1618">
        <f t="shared" si="69"/>
        <v>0.25</v>
      </c>
      <c r="AB90" s="1618">
        <f t="shared" si="70"/>
        <v>0.25</v>
      </c>
      <c r="AC90" s="1619">
        <f t="shared" si="71"/>
        <v>0</v>
      </c>
      <c r="AD90" s="1618">
        <f t="shared" si="72"/>
        <v>0</v>
      </c>
      <c r="AE90" s="1618">
        <f t="shared" si="73"/>
        <v>0</v>
      </c>
      <c r="AG90" s="1647">
        <v>2.4</v>
      </c>
      <c r="AH90" s="1693" t="s">
        <v>333</v>
      </c>
      <c r="AI90" s="1737" t="s">
        <v>748</v>
      </c>
      <c r="AJ90" s="1618">
        <v>0.25</v>
      </c>
      <c r="AK90" s="1618">
        <v>0.25</v>
      </c>
      <c r="AL90" s="1618">
        <v>0.25</v>
      </c>
      <c r="AM90" s="1618">
        <v>0.25</v>
      </c>
      <c r="AN90" s="1618">
        <v>0.25</v>
      </c>
      <c r="AO90" s="1618">
        <v>0.25</v>
      </c>
      <c r="AP90" s="1618">
        <v>0.25</v>
      </c>
      <c r="AQ90" s="1626">
        <v>0.25</v>
      </c>
      <c r="AR90" s="1618">
        <v>0.25</v>
      </c>
      <c r="AS90" s="1623">
        <v>0.25</v>
      </c>
      <c r="AT90" s="1625">
        <v>0</v>
      </c>
      <c r="AU90" s="1623">
        <v>0</v>
      </c>
      <c r="AV90" s="1623">
        <v>0</v>
      </c>
      <c r="AX90" s="1647">
        <v>2.4</v>
      </c>
      <c r="AY90" s="1693" t="s">
        <v>333</v>
      </c>
      <c r="AZ90" s="1737" t="s">
        <v>748</v>
      </c>
      <c r="BA90" s="1623">
        <v>0.2</v>
      </c>
      <c r="BB90" s="1623">
        <v>0.2</v>
      </c>
      <c r="BC90" s="1623">
        <v>0.2</v>
      </c>
      <c r="BD90" s="1623">
        <v>0.2</v>
      </c>
      <c r="BE90" s="1623">
        <v>0.2</v>
      </c>
      <c r="BF90" s="1623">
        <v>0.2</v>
      </c>
      <c r="BG90" s="1623">
        <v>0.2</v>
      </c>
      <c r="BH90" s="1624">
        <v>0.2</v>
      </c>
      <c r="BI90" s="1623">
        <v>0.2</v>
      </c>
      <c r="BJ90" s="1623">
        <v>0.2</v>
      </c>
      <c r="BK90" s="1625"/>
      <c r="BL90" s="1623"/>
      <c r="BM90" s="1623"/>
      <c r="BO90" s="1647">
        <v>2.4</v>
      </c>
      <c r="BP90" s="1693" t="s">
        <v>333</v>
      </c>
      <c r="BQ90" s="1737" t="s">
        <v>748</v>
      </c>
      <c r="BR90" s="1623">
        <v>0.2</v>
      </c>
      <c r="BS90" s="1623">
        <v>0.2</v>
      </c>
      <c r="BT90" s="1623">
        <v>0.2</v>
      </c>
      <c r="BU90" s="1623">
        <v>0.2</v>
      </c>
      <c r="BV90" s="1623">
        <v>0.2</v>
      </c>
      <c r="BW90" s="1623">
        <v>0.2</v>
      </c>
      <c r="BX90" s="1623">
        <v>0.2</v>
      </c>
      <c r="BY90" s="1624">
        <v>0.2</v>
      </c>
      <c r="BZ90" s="1623">
        <v>0.2</v>
      </c>
      <c r="CA90" s="1623">
        <v>0.2</v>
      </c>
      <c r="CB90" s="1625"/>
      <c r="CC90" s="1623"/>
      <c r="CD90" s="1623"/>
    </row>
    <row r="91" spans="1:94">
      <c r="B91" s="1597" t="str">
        <f t="shared" si="74"/>
        <v>2.4.1</v>
      </c>
      <c r="C91" s="1614" t="str">
        <f t="shared" si="53"/>
        <v>空調・換気設備</v>
      </c>
      <c r="D91" s="1721">
        <f t="shared" ref="D91:E95" si="79">IF(I$90&gt;0,G91/I$90,0)</f>
        <v>0.2</v>
      </c>
      <c r="E91" s="1691">
        <f t="shared" si="79"/>
        <v>0</v>
      </c>
      <c r="G91" s="1691">
        <f t="shared" si="54"/>
        <v>0.2</v>
      </c>
      <c r="H91" s="1691">
        <f t="shared" si="55"/>
        <v>0</v>
      </c>
      <c r="I91" s="1691"/>
      <c r="J91" s="1691"/>
      <c r="K91" s="1691">
        <f>IF(スコア表示!W91=0,0,1)</f>
        <v>1</v>
      </c>
      <c r="L91" s="1691">
        <f>IF(スコア表示!AA91=0,0,1)</f>
        <v>0</v>
      </c>
      <c r="M91" s="1691">
        <f t="shared" si="56"/>
        <v>0.2</v>
      </c>
      <c r="N91" s="1691">
        <f t="shared" si="57"/>
        <v>0</v>
      </c>
      <c r="P91" s="1647" t="str">
        <f t="shared" si="76"/>
        <v>2.4.1</v>
      </c>
      <c r="Q91" s="1647" t="str">
        <f t="shared" si="77"/>
        <v xml:space="preserve"> Q2 2.4</v>
      </c>
      <c r="R91" s="1737" t="str">
        <f t="shared" si="60"/>
        <v>空調・換気設備</v>
      </c>
      <c r="S91" s="1618">
        <f t="shared" si="61"/>
        <v>0.2</v>
      </c>
      <c r="T91" s="1618">
        <f t="shared" si="62"/>
        <v>0.2</v>
      </c>
      <c r="U91" s="1618">
        <f t="shared" si="63"/>
        <v>0.2</v>
      </c>
      <c r="V91" s="1618">
        <f t="shared" si="64"/>
        <v>0.2</v>
      </c>
      <c r="W91" s="1618">
        <f t="shared" si="65"/>
        <v>0.2</v>
      </c>
      <c r="X91" s="1618">
        <f t="shared" si="66"/>
        <v>0.2</v>
      </c>
      <c r="Y91" s="1618">
        <f t="shared" si="67"/>
        <v>0.2</v>
      </c>
      <c r="Z91" s="1626">
        <f t="shared" si="68"/>
        <v>0.2</v>
      </c>
      <c r="AA91" s="1618">
        <f t="shared" si="69"/>
        <v>0.2</v>
      </c>
      <c r="AB91" s="1618">
        <f t="shared" si="70"/>
        <v>0.2</v>
      </c>
      <c r="AC91" s="1619">
        <f t="shared" si="71"/>
        <v>0</v>
      </c>
      <c r="AD91" s="1618">
        <f t="shared" si="72"/>
        <v>0</v>
      </c>
      <c r="AE91" s="1618">
        <f t="shared" si="73"/>
        <v>0</v>
      </c>
      <c r="AG91" s="1647" t="s">
        <v>1537</v>
      </c>
      <c r="AH91" s="1693" t="s">
        <v>345</v>
      </c>
      <c r="AI91" s="2064" t="s">
        <v>346</v>
      </c>
      <c r="AJ91" s="1618">
        <v>0.2</v>
      </c>
      <c r="AK91" s="1618">
        <v>0.2</v>
      </c>
      <c r="AL91" s="1618">
        <v>0.2</v>
      </c>
      <c r="AM91" s="1618">
        <v>0.2</v>
      </c>
      <c r="AN91" s="1618">
        <v>0.2</v>
      </c>
      <c r="AO91" s="1618">
        <v>0.2</v>
      </c>
      <c r="AP91" s="1618">
        <v>0.2</v>
      </c>
      <c r="AQ91" s="1626">
        <v>0.2</v>
      </c>
      <c r="AR91" s="1618">
        <v>0.2</v>
      </c>
      <c r="AS91" s="1623">
        <v>0.2</v>
      </c>
      <c r="AT91" s="1625">
        <v>0</v>
      </c>
      <c r="AU91" s="1623">
        <v>0</v>
      </c>
      <c r="AV91" s="1623">
        <v>0</v>
      </c>
      <c r="AX91" s="1647" t="s">
        <v>1537</v>
      </c>
      <c r="AY91" s="1693" t="s">
        <v>345</v>
      </c>
      <c r="AZ91" s="2064" t="s">
        <v>346</v>
      </c>
      <c r="BA91" s="1623">
        <v>0.2</v>
      </c>
      <c r="BB91" s="1623">
        <v>0.2</v>
      </c>
      <c r="BC91" s="1623">
        <v>0.2</v>
      </c>
      <c r="BD91" s="1623">
        <v>0.2</v>
      </c>
      <c r="BE91" s="1623">
        <v>0.2</v>
      </c>
      <c r="BF91" s="1623">
        <v>0.2</v>
      </c>
      <c r="BG91" s="1623">
        <v>0.2</v>
      </c>
      <c r="BH91" s="1624">
        <v>0.2</v>
      </c>
      <c r="BI91" s="1623">
        <v>0.2</v>
      </c>
      <c r="BJ91" s="1623">
        <v>0.2</v>
      </c>
      <c r="BK91" s="1625"/>
      <c r="BL91" s="1623"/>
      <c r="BM91" s="1623"/>
      <c r="BO91" s="1647" t="s">
        <v>1537</v>
      </c>
      <c r="BP91" s="1693" t="s">
        <v>345</v>
      </c>
      <c r="BQ91" s="2064" t="s">
        <v>346</v>
      </c>
      <c r="BR91" s="1623">
        <v>0.2</v>
      </c>
      <c r="BS91" s="1623">
        <v>0.2</v>
      </c>
      <c r="BT91" s="1623">
        <v>0.2</v>
      </c>
      <c r="BU91" s="1623">
        <v>0.2</v>
      </c>
      <c r="BV91" s="1623">
        <v>0.2</v>
      </c>
      <c r="BW91" s="1623">
        <v>0.2</v>
      </c>
      <c r="BX91" s="1623">
        <v>0.2</v>
      </c>
      <c r="BY91" s="1624">
        <v>0.2</v>
      </c>
      <c r="BZ91" s="1623">
        <v>0.2</v>
      </c>
      <c r="CA91" s="1623">
        <v>0.2</v>
      </c>
      <c r="CB91" s="1625"/>
      <c r="CC91" s="1623"/>
      <c r="CD91" s="1623"/>
    </row>
    <row r="92" spans="1:94">
      <c r="B92" s="1597" t="str">
        <f t="shared" si="74"/>
        <v>2.4.2</v>
      </c>
      <c r="C92" s="1614" t="str">
        <f t="shared" si="53"/>
        <v>給排水・衛生設備</v>
      </c>
      <c r="D92" s="1721">
        <f t="shared" si="79"/>
        <v>0.2</v>
      </c>
      <c r="E92" s="1691">
        <f t="shared" si="79"/>
        <v>0</v>
      </c>
      <c r="G92" s="1691">
        <f t="shared" si="54"/>
        <v>0.2</v>
      </c>
      <c r="H92" s="1691">
        <f t="shared" si="55"/>
        <v>0</v>
      </c>
      <c r="I92" s="1691"/>
      <c r="J92" s="1691"/>
      <c r="K92" s="1691">
        <f>IF(スコア表示!W92=0,0,1)</f>
        <v>1</v>
      </c>
      <c r="L92" s="1691">
        <f>IF(スコア表示!AA92=0,0,1)</f>
        <v>0</v>
      </c>
      <c r="M92" s="1691">
        <f t="shared" si="56"/>
        <v>0.2</v>
      </c>
      <c r="N92" s="1691">
        <f t="shared" si="57"/>
        <v>0</v>
      </c>
      <c r="P92" s="1647" t="str">
        <f t="shared" si="76"/>
        <v>2.4.2</v>
      </c>
      <c r="Q92" s="1647" t="str">
        <f t="shared" si="77"/>
        <v xml:space="preserve"> Q2 2.4</v>
      </c>
      <c r="R92" s="1737" t="str">
        <f t="shared" si="60"/>
        <v>給排水・衛生設備</v>
      </c>
      <c r="S92" s="1618">
        <f t="shared" si="61"/>
        <v>0.2</v>
      </c>
      <c r="T92" s="1618">
        <f t="shared" si="62"/>
        <v>0.2</v>
      </c>
      <c r="U92" s="1618">
        <f t="shared" si="63"/>
        <v>0.2</v>
      </c>
      <c r="V92" s="1618">
        <f t="shared" si="64"/>
        <v>0.2</v>
      </c>
      <c r="W92" s="1618">
        <f t="shared" si="65"/>
        <v>0.2</v>
      </c>
      <c r="X92" s="1618">
        <f t="shared" si="66"/>
        <v>0.2</v>
      </c>
      <c r="Y92" s="1618">
        <f t="shared" si="67"/>
        <v>0.2</v>
      </c>
      <c r="Z92" s="1626">
        <f t="shared" si="68"/>
        <v>0.2</v>
      </c>
      <c r="AA92" s="1618">
        <f t="shared" si="69"/>
        <v>0.2</v>
      </c>
      <c r="AB92" s="1618">
        <f t="shared" si="70"/>
        <v>0.2</v>
      </c>
      <c r="AC92" s="1619">
        <f t="shared" si="71"/>
        <v>0</v>
      </c>
      <c r="AD92" s="1618">
        <f t="shared" si="72"/>
        <v>0</v>
      </c>
      <c r="AE92" s="1618">
        <f t="shared" si="73"/>
        <v>0</v>
      </c>
      <c r="AG92" s="1647" t="s">
        <v>347</v>
      </c>
      <c r="AH92" s="1693" t="s">
        <v>345</v>
      </c>
      <c r="AI92" s="2064" t="s">
        <v>348</v>
      </c>
      <c r="AJ92" s="1618">
        <v>0.2</v>
      </c>
      <c r="AK92" s="1618">
        <v>0.2</v>
      </c>
      <c r="AL92" s="1618">
        <v>0.2</v>
      </c>
      <c r="AM92" s="1618">
        <v>0.2</v>
      </c>
      <c r="AN92" s="1618">
        <v>0.2</v>
      </c>
      <c r="AO92" s="1618">
        <v>0.2</v>
      </c>
      <c r="AP92" s="1618">
        <v>0.2</v>
      </c>
      <c r="AQ92" s="1626">
        <v>0.2</v>
      </c>
      <c r="AR92" s="1618">
        <v>0.2</v>
      </c>
      <c r="AS92" s="1623">
        <v>0.2</v>
      </c>
      <c r="AT92" s="1625">
        <v>0</v>
      </c>
      <c r="AU92" s="1623">
        <v>0</v>
      </c>
      <c r="AV92" s="1623">
        <v>0</v>
      </c>
      <c r="AX92" s="1647" t="s">
        <v>347</v>
      </c>
      <c r="AY92" s="1693" t="s">
        <v>345</v>
      </c>
      <c r="AZ92" s="2064" t="s">
        <v>348</v>
      </c>
      <c r="BA92" s="1623">
        <v>0.2</v>
      </c>
      <c r="BB92" s="1623">
        <v>0.2</v>
      </c>
      <c r="BC92" s="1623">
        <v>0.2</v>
      </c>
      <c r="BD92" s="1623">
        <v>0.2</v>
      </c>
      <c r="BE92" s="1623">
        <v>0.2</v>
      </c>
      <c r="BF92" s="1623">
        <v>0.2</v>
      </c>
      <c r="BG92" s="1623">
        <v>0.2</v>
      </c>
      <c r="BH92" s="1624">
        <v>0.2</v>
      </c>
      <c r="BI92" s="1623">
        <v>0.2</v>
      </c>
      <c r="BJ92" s="1623">
        <v>0.2</v>
      </c>
      <c r="BK92" s="1625"/>
      <c r="BL92" s="1623"/>
      <c r="BM92" s="1623"/>
      <c r="BO92" s="1647" t="s">
        <v>347</v>
      </c>
      <c r="BP92" s="1693" t="s">
        <v>345</v>
      </c>
      <c r="BQ92" s="2064" t="s">
        <v>348</v>
      </c>
      <c r="BR92" s="1623">
        <v>0.2</v>
      </c>
      <c r="BS92" s="1623">
        <v>0.2</v>
      </c>
      <c r="BT92" s="1623">
        <v>0.2</v>
      </c>
      <c r="BU92" s="1623">
        <v>0.2</v>
      </c>
      <c r="BV92" s="1623">
        <v>0.2</v>
      </c>
      <c r="BW92" s="1623">
        <v>0.2</v>
      </c>
      <c r="BX92" s="1623">
        <v>0.2</v>
      </c>
      <c r="BY92" s="1624">
        <v>0.2</v>
      </c>
      <c r="BZ92" s="1623">
        <v>0.2</v>
      </c>
      <c r="CA92" s="1623">
        <v>0.2</v>
      </c>
      <c r="CB92" s="1625"/>
      <c r="CC92" s="1623"/>
      <c r="CD92" s="1623"/>
    </row>
    <row r="93" spans="1:94">
      <c r="B93" s="1597" t="str">
        <f t="shared" si="74"/>
        <v>2.4.3</v>
      </c>
      <c r="C93" s="1614" t="str">
        <f t="shared" si="53"/>
        <v>電気設備</v>
      </c>
      <c r="D93" s="1721">
        <f t="shared" si="79"/>
        <v>0.2</v>
      </c>
      <c r="E93" s="1691">
        <f t="shared" si="79"/>
        <v>0</v>
      </c>
      <c r="G93" s="1691">
        <f t="shared" si="54"/>
        <v>0.2</v>
      </c>
      <c r="H93" s="1691">
        <f t="shared" si="55"/>
        <v>0</v>
      </c>
      <c r="I93" s="1691"/>
      <c r="J93" s="1691"/>
      <c r="K93" s="1691">
        <f>IF(スコア表示!W93=0,0,1)</f>
        <v>1</v>
      </c>
      <c r="L93" s="1691">
        <f>IF(スコア表示!AA93=0,0,1)</f>
        <v>0</v>
      </c>
      <c r="M93" s="1691">
        <f t="shared" si="56"/>
        <v>0.2</v>
      </c>
      <c r="N93" s="1691">
        <f t="shared" si="57"/>
        <v>0</v>
      </c>
      <c r="P93" s="1647" t="str">
        <f t="shared" si="76"/>
        <v>2.4.3</v>
      </c>
      <c r="Q93" s="1647" t="str">
        <f t="shared" si="77"/>
        <v xml:space="preserve"> Q2 2.4</v>
      </c>
      <c r="R93" s="1737" t="str">
        <f t="shared" si="60"/>
        <v>電気設備</v>
      </c>
      <c r="S93" s="1618">
        <f t="shared" si="61"/>
        <v>0.2</v>
      </c>
      <c r="T93" s="1618">
        <f t="shared" si="62"/>
        <v>0.2</v>
      </c>
      <c r="U93" s="1618">
        <f t="shared" si="63"/>
        <v>0.2</v>
      </c>
      <c r="V93" s="1618">
        <f t="shared" si="64"/>
        <v>0.2</v>
      </c>
      <c r="W93" s="1618">
        <f t="shared" si="65"/>
        <v>0.2</v>
      </c>
      <c r="X93" s="1618">
        <f t="shared" si="66"/>
        <v>0.2</v>
      </c>
      <c r="Y93" s="1618">
        <f t="shared" si="67"/>
        <v>0.2</v>
      </c>
      <c r="Z93" s="1626">
        <f t="shared" si="68"/>
        <v>0.2</v>
      </c>
      <c r="AA93" s="1618">
        <f t="shared" si="69"/>
        <v>0.2</v>
      </c>
      <c r="AB93" s="1618">
        <f t="shared" si="70"/>
        <v>0.2</v>
      </c>
      <c r="AC93" s="1619">
        <f t="shared" si="71"/>
        <v>0</v>
      </c>
      <c r="AD93" s="1618">
        <f t="shared" si="72"/>
        <v>0</v>
      </c>
      <c r="AE93" s="1618">
        <f t="shared" si="73"/>
        <v>0</v>
      </c>
      <c r="AG93" s="1647" t="s">
        <v>349</v>
      </c>
      <c r="AH93" s="1693" t="s">
        <v>345</v>
      </c>
      <c r="AI93" s="2064" t="s">
        <v>350</v>
      </c>
      <c r="AJ93" s="1618">
        <v>0.2</v>
      </c>
      <c r="AK93" s="1618">
        <v>0.2</v>
      </c>
      <c r="AL93" s="1618">
        <v>0.2</v>
      </c>
      <c r="AM93" s="1618">
        <v>0.2</v>
      </c>
      <c r="AN93" s="1618">
        <v>0.2</v>
      </c>
      <c r="AO93" s="1618">
        <v>0.2</v>
      </c>
      <c r="AP93" s="1618">
        <v>0.2</v>
      </c>
      <c r="AQ93" s="1626">
        <v>0.2</v>
      </c>
      <c r="AR93" s="1618">
        <v>0.2</v>
      </c>
      <c r="AS93" s="1623">
        <v>0.2</v>
      </c>
      <c r="AT93" s="1625">
        <v>0</v>
      </c>
      <c r="AU93" s="1623">
        <v>0</v>
      </c>
      <c r="AV93" s="1623">
        <v>0</v>
      </c>
      <c r="AX93" s="1647" t="s">
        <v>349</v>
      </c>
      <c r="AY93" s="1693" t="s">
        <v>345</v>
      </c>
      <c r="AZ93" s="2064" t="s">
        <v>350</v>
      </c>
      <c r="BA93" s="1623">
        <v>0.2</v>
      </c>
      <c r="BB93" s="1623">
        <v>0.2</v>
      </c>
      <c r="BC93" s="1623">
        <v>0.2</v>
      </c>
      <c r="BD93" s="1623">
        <v>0.2</v>
      </c>
      <c r="BE93" s="1623">
        <v>0.2</v>
      </c>
      <c r="BF93" s="1623">
        <v>0.2</v>
      </c>
      <c r="BG93" s="1623">
        <v>0.2</v>
      </c>
      <c r="BH93" s="1624">
        <v>0.2</v>
      </c>
      <c r="BI93" s="1623">
        <v>0.2</v>
      </c>
      <c r="BJ93" s="1623">
        <v>0.2</v>
      </c>
      <c r="BK93" s="1625"/>
      <c r="BL93" s="1623"/>
      <c r="BM93" s="1623"/>
      <c r="BO93" s="1647" t="s">
        <v>349</v>
      </c>
      <c r="BP93" s="1693" t="s">
        <v>345</v>
      </c>
      <c r="BQ93" s="2064" t="s">
        <v>350</v>
      </c>
      <c r="BR93" s="1623">
        <v>0.2</v>
      </c>
      <c r="BS93" s="1623">
        <v>0.2</v>
      </c>
      <c r="BT93" s="1623">
        <v>0.2</v>
      </c>
      <c r="BU93" s="1623">
        <v>0.2</v>
      </c>
      <c r="BV93" s="1623">
        <v>0.2</v>
      </c>
      <c r="BW93" s="1623">
        <v>0.2</v>
      </c>
      <c r="BX93" s="1623">
        <v>0.2</v>
      </c>
      <c r="BY93" s="1624">
        <v>0.2</v>
      </c>
      <c r="BZ93" s="1623">
        <v>0.2</v>
      </c>
      <c r="CA93" s="1623">
        <v>0.2</v>
      </c>
      <c r="CB93" s="1625"/>
      <c r="CC93" s="1623"/>
      <c r="CD93" s="1623"/>
    </row>
    <row r="94" spans="1:94">
      <c r="B94" s="1597" t="str">
        <f t="shared" si="74"/>
        <v>2.4.4</v>
      </c>
      <c r="C94" s="1614" t="str">
        <f t="shared" si="53"/>
        <v>機械・配管支持方法</v>
      </c>
      <c r="D94" s="1721">
        <f t="shared" si="79"/>
        <v>0.2</v>
      </c>
      <c r="E94" s="1691">
        <f t="shared" si="79"/>
        <v>0</v>
      </c>
      <c r="G94" s="1691">
        <f t="shared" si="54"/>
        <v>0.2</v>
      </c>
      <c r="H94" s="1691">
        <f t="shared" si="55"/>
        <v>0</v>
      </c>
      <c r="I94" s="1691"/>
      <c r="J94" s="1691"/>
      <c r="K94" s="1691">
        <f>IF(スコア表示!W94=0,0,1)</f>
        <v>1</v>
      </c>
      <c r="L94" s="1691">
        <f>IF(スコア表示!AA94=0,0,1)</f>
        <v>0</v>
      </c>
      <c r="M94" s="1691">
        <f t="shared" si="56"/>
        <v>0.2</v>
      </c>
      <c r="N94" s="1691">
        <f t="shared" si="57"/>
        <v>0</v>
      </c>
      <c r="P94" s="1647" t="str">
        <f t="shared" si="76"/>
        <v>2.4.4</v>
      </c>
      <c r="Q94" s="1647" t="str">
        <f t="shared" si="77"/>
        <v xml:space="preserve"> Q2 2.4</v>
      </c>
      <c r="R94" s="1737" t="str">
        <f t="shared" si="60"/>
        <v>機械・配管支持方法</v>
      </c>
      <c r="S94" s="1618">
        <f t="shared" si="61"/>
        <v>0.2</v>
      </c>
      <c r="T94" s="1618">
        <f t="shared" si="62"/>
        <v>0.2</v>
      </c>
      <c r="U94" s="1618">
        <f t="shared" si="63"/>
        <v>0.2</v>
      </c>
      <c r="V94" s="1618">
        <f t="shared" si="64"/>
        <v>0.2</v>
      </c>
      <c r="W94" s="1618">
        <f t="shared" si="65"/>
        <v>0.2</v>
      </c>
      <c r="X94" s="1618">
        <f t="shared" si="66"/>
        <v>0.2</v>
      </c>
      <c r="Y94" s="1618">
        <f t="shared" si="67"/>
        <v>0.2</v>
      </c>
      <c r="Z94" s="1626">
        <f t="shared" si="68"/>
        <v>0.2</v>
      </c>
      <c r="AA94" s="1618">
        <f t="shared" si="69"/>
        <v>0.2</v>
      </c>
      <c r="AB94" s="1618">
        <f t="shared" si="70"/>
        <v>0.2</v>
      </c>
      <c r="AC94" s="1619">
        <f t="shared" si="71"/>
        <v>0</v>
      </c>
      <c r="AD94" s="1618">
        <f t="shared" si="72"/>
        <v>0</v>
      </c>
      <c r="AE94" s="1618">
        <f t="shared" si="73"/>
        <v>0</v>
      </c>
      <c r="AG94" s="1647" t="s">
        <v>351</v>
      </c>
      <c r="AH94" s="1693" t="s">
        <v>345</v>
      </c>
      <c r="AI94" s="2064" t="s">
        <v>352</v>
      </c>
      <c r="AJ94" s="1618">
        <v>0.2</v>
      </c>
      <c r="AK94" s="1618">
        <v>0.2</v>
      </c>
      <c r="AL94" s="1618">
        <v>0.2</v>
      </c>
      <c r="AM94" s="1618">
        <v>0.2</v>
      </c>
      <c r="AN94" s="1618">
        <v>0.2</v>
      </c>
      <c r="AO94" s="1618">
        <v>0.2</v>
      </c>
      <c r="AP94" s="1618">
        <v>0.2</v>
      </c>
      <c r="AQ94" s="1626">
        <v>0.2</v>
      </c>
      <c r="AR94" s="1618">
        <v>0.2</v>
      </c>
      <c r="AS94" s="1623">
        <v>0.2</v>
      </c>
      <c r="AT94" s="1625">
        <v>0</v>
      </c>
      <c r="AU94" s="1623">
        <v>0</v>
      </c>
      <c r="AV94" s="1623">
        <v>0</v>
      </c>
      <c r="AX94" s="1647" t="s">
        <v>351</v>
      </c>
      <c r="AY94" s="1693" t="s">
        <v>345</v>
      </c>
      <c r="AZ94" s="2064" t="s">
        <v>352</v>
      </c>
      <c r="BA94" s="1623">
        <v>0.2</v>
      </c>
      <c r="BB94" s="1623">
        <v>0.2</v>
      </c>
      <c r="BC94" s="1623">
        <v>0.2</v>
      </c>
      <c r="BD94" s="1623">
        <v>0.2</v>
      </c>
      <c r="BE94" s="1623">
        <v>0.2</v>
      </c>
      <c r="BF94" s="1623">
        <v>0.2</v>
      </c>
      <c r="BG94" s="1623">
        <v>0.2</v>
      </c>
      <c r="BH94" s="1624">
        <v>0.2</v>
      </c>
      <c r="BI94" s="1623">
        <v>0.2</v>
      </c>
      <c r="BJ94" s="1623">
        <v>0.2</v>
      </c>
      <c r="BK94" s="1625"/>
      <c r="BL94" s="1623"/>
      <c r="BM94" s="1623"/>
      <c r="BO94" s="1647" t="s">
        <v>351</v>
      </c>
      <c r="BP94" s="1693" t="s">
        <v>345</v>
      </c>
      <c r="BQ94" s="2064" t="s">
        <v>352</v>
      </c>
      <c r="BR94" s="1623">
        <v>0.2</v>
      </c>
      <c r="BS94" s="1623">
        <v>0.2</v>
      </c>
      <c r="BT94" s="1623">
        <v>0.2</v>
      </c>
      <c r="BU94" s="1623">
        <v>0.2</v>
      </c>
      <c r="BV94" s="1623">
        <v>0.2</v>
      </c>
      <c r="BW94" s="1623">
        <v>0.2</v>
      </c>
      <c r="BX94" s="1623">
        <v>0.2</v>
      </c>
      <c r="BY94" s="1624">
        <v>0.2</v>
      </c>
      <c r="BZ94" s="1623">
        <v>0.2</v>
      </c>
      <c r="CA94" s="1623">
        <v>0.2</v>
      </c>
      <c r="CB94" s="1625"/>
      <c r="CC94" s="1623"/>
      <c r="CD94" s="1623"/>
    </row>
    <row r="95" spans="1:94">
      <c r="B95" s="1597" t="str">
        <f t="shared" si="74"/>
        <v>2.4.5</v>
      </c>
      <c r="C95" s="1614" t="str">
        <f t="shared" si="53"/>
        <v>通信・情報設備</v>
      </c>
      <c r="D95" s="1721">
        <f t="shared" si="79"/>
        <v>0.2</v>
      </c>
      <c r="E95" s="1691">
        <f t="shared" si="79"/>
        <v>0</v>
      </c>
      <c r="G95" s="1691">
        <f t="shared" si="54"/>
        <v>0.2</v>
      </c>
      <c r="H95" s="1691">
        <f t="shared" si="55"/>
        <v>0</v>
      </c>
      <c r="I95" s="1691"/>
      <c r="J95" s="1691"/>
      <c r="K95" s="1691">
        <f>IF(スコア表示!W95=0,0,1)</f>
        <v>1</v>
      </c>
      <c r="L95" s="1691">
        <f>IF(スコア表示!AA95=0,0,1)</f>
        <v>0</v>
      </c>
      <c r="M95" s="1691">
        <f t="shared" si="56"/>
        <v>0.2</v>
      </c>
      <c r="N95" s="1691">
        <f t="shared" si="57"/>
        <v>0</v>
      </c>
      <c r="P95" s="1647" t="str">
        <f t="shared" si="76"/>
        <v>2.4.5</v>
      </c>
      <c r="Q95" s="1647" t="str">
        <f t="shared" si="77"/>
        <v xml:space="preserve"> Q2 2.4</v>
      </c>
      <c r="R95" s="1737" t="str">
        <f t="shared" si="60"/>
        <v>通信・情報設備</v>
      </c>
      <c r="S95" s="1618">
        <f t="shared" si="61"/>
        <v>0.2</v>
      </c>
      <c r="T95" s="1618">
        <f t="shared" si="62"/>
        <v>0.2</v>
      </c>
      <c r="U95" s="1618">
        <f t="shared" si="63"/>
        <v>0.2</v>
      </c>
      <c r="V95" s="1618">
        <f t="shared" si="64"/>
        <v>0.2</v>
      </c>
      <c r="W95" s="1618">
        <f t="shared" si="65"/>
        <v>0.2</v>
      </c>
      <c r="X95" s="1618">
        <f t="shared" si="66"/>
        <v>0.2</v>
      </c>
      <c r="Y95" s="1618">
        <f t="shared" si="67"/>
        <v>0.2</v>
      </c>
      <c r="Z95" s="1626">
        <f t="shared" si="68"/>
        <v>0.2</v>
      </c>
      <c r="AA95" s="1618">
        <f t="shared" si="69"/>
        <v>0.2</v>
      </c>
      <c r="AB95" s="1618">
        <f t="shared" si="70"/>
        <v>0.2</v>
      </c>
      <c r="AC95" s="1619">
        <f t="shared" si="71"/>
        <v>0</v>
      </c>
      <c r="AD95" s="1618">
        <f t="shared" si="72"/>
        <v>0</v>
      </c>
      <c r="AE95" s="1618">
        <f t="shared" si="73"/>
        <v>0</v>
      </c>
      <c r="AG95" s="1647" t="s">
        <v>353</v>
      </c>
      <c r="AH95" s="1693" t="s">
        <v>345</v>
      </c>
      <c r="AI95" s="2064" t="s">
        <v>354</v>
      </c>
      <c r="AJ95" s="1618">
        <v>0.2</v>
      </c>
      <c r="AK95" s="1618">
        <v>0.2</v>
      </c>
      <c r="AL95" s="1618">
        <v>0.2</v>
      </c>
      <c r="AM95" s="1618">
        <v>0.2</v>
      </c>
      <c r="AN95" s="1618">
        <v>0.2</v>
      </c>
      <c r="AO95" s="1618">
        <v>0.2</v>
      </c>
      <c r="AP95" s="1618">
        <v>0.2</v>
      </c>
      <c r="AQ95" s="1626">
        <v>0.2</v>
      </c>
      <c r="AR95" s="1618">
        <v>0.2</v>
      </c>
      <c r="AS95" s="1623">
        <v>0.2</v>
      </c>
      <c r="AT95" s="1625">
        <v>0</v>
      </c>
      <c r="AU95" s="1623">
        <v>0</v>
      </c>
      <c r="AV95" s="1623">
        <v>0</v>
      </c>
      <c r="AX95" s="1647" t="s">
        <v>353</v>
      </c>
      <c r="AY95" s="1693" t="s">
        <v>345</v>
      </c>
      <c r="AZ95" s="2064" t="s">
        <v>354</v>
      </c>
      <c r="BA95" s="1623">
        <v>0.2</v>
      </c>
      <c r="BB95" s="1623">
        <v>0.2</v>
      </c>
      <c r="BC95" s="1623">
        <v>0.2</v>
      </c>
      <c r="BD95" s="1623">
        <v>0.2</v>
      </c>
      <c r="BE95" s="1623">
        <v>0.2</v>
      </c>
      <c r="BF95" s="1623">
        <v>0.2</v>
      </c>
      <c r="BG95" s="1623">
        <v>0.2</v>
      </c>
      <c r="BH95" s="1624">
        <v>0.2</v>
      </c>
      <c r="BI95" s="1623">
        <v>0.2</v>
      </c>
      <c r="BJ95" s="1623">
        <v>0.2</v>
      </c>
      <c r="BK95" s="1625"/>
      <c r="BL95" s="1623"/>
      <c r="BM95" s="1623"/>
      <c r="BO95" s="1647" t="s">
        <v>353</v>
      </c>
      <c r="BP95" s="1693" t="s">
        <v>345</v>
      </c>
      <c r="BQ95" s="2064" t="s">
        <v>354</v>
      </c>
      <c r="BR95" s="1623">
        <v>0.2</v>
      </c>
      <c r="BS95" s="1623">
        <v>0.2</v>
      </c>
      <c r="BT95" s="1623">
        <v>0.2</v>
      </c>
      <c r="BU95" s="1623">
        <v>0.2</v>
      </c>
      <c r="BV95" s="1623">
        <v>0.2</v>
      </c>
      <c r="BW95" s="1623">
        <v>0.2</v>
      </c>
      <c r="BX95" s="1623">
        <v>0.2</v>
      </c>
      <c r="BY95" s="1624">
        <v>0.2</v>
      </c>
      <c r="BZ95" s="1623">
        <v>0.2</v>
      </c>
      <c r="CA95" s="1623">
        <v>0.2</v>
      </c>
      <c r="CB95" s="1625"/>
      <c r="CC95" s="1623"/>
      <c r="CD95" s="1623"/>
    </row>
    <row r="96" spans="1:94" hidden="1">
      <c r="B96" s="1597">
        <f t="shared" si="74"/>
        <v>0</v>
      </c>
      <c r="C96" s="1650">
        <f t="shared" si="53"/>
        <v>0</v>
      </c>
      <c r="D96" s="1721"/>
      <c r="E96" s="1691"/>
      <c r="G96" s="1691">
        <f t="shared" si="54"/>
        <v>0</v>
      </c>
      <c r="H96" s="1691">
        <f t="shared" si="55"/>
        <v>0</v>
      </c>
      <c r="I96" s="1691"/>
      <c r="J96" s="1691"/>
      <c r="K96" s="1691">
        <f>IF(スコア表示!W96=0,0,1)</f>
        <v>0</v>
      </c>
      <c r="L96" s="1691">
        <f>IF(スコア表示!AA96=0,0,1)</f>
        <v>0</v>
      </c>
      <c r="M96" s="1691">
        <f t="shared" si="56"/>
        <v>0</v>
      </c>
      <c r="N96" s="1691"/>
      <c r="P96" s="1647">
        <f t="shared" si="76"/>
        <v>0</v>
      </c>
      <c r="Q96" s="1647" t="str">
        <f t="shared" si="77"/>
        <v xml:space="preserve"> Q</v>
      </c>
      <c r="R96" s="1737">
        <f t="shared" si="60"/>
        <v>0</v>
      </c>
      <c r="S96" s="1618">
        <f t="shared" si="61"/>
        <v>0</v>
      </c>
      <c r="T96" s="1618">
        <f t="shared" si="62"/>
        <v>0</v>
      </c>
      <c r="U96" s="1618">
        <f t="shared" si="63"/>
        <v>0</v>
      </c>
      <c r="V96" s="1618">
        <f t="shared" si="64"/>
        <v>0</v>
      </c>
      <c r="W96" s="1618">
        <f t="shared" si="65"/>
        <v>0</v>
      </c>
      <c r="X96" s="1618">
        <f t="shared" si="66"/>
        <v>0</v>
      </c>
      <c r="Y96" s="1618">
        <f t="shared" si="67"/>
        <v>0</v>
      </c>
      <c r="Z96" s="1626">
        <f t="shared" si="68"/>
        <v>0</v>
      </c>
      <c r="AA96" s="1618">
        <f t="shared" si="69"/>
        <v>0</v>
      </c>
      <c r="AB96" s="1618">
        <f t="shared" si="70"/>
        <v>0</v>
      </c>
      <c r="AC96" s="1619">
        <f t="shared" si="71"/>
        <v>0</v>
      </c>
      <c r="AD96" s="1618">
        <f t="shared" si="72"/>
        <v>0</v>
      </c>
      <c r="AE96" s="1618">
        <f t="shared" si="73"/>
        <v>0</v>
      </c>
      <c r="AG96" s="1647"/>
      <c r="AH96" s="1693" t="s">
        <v>276</v>
      </c>
      <c r="AI96" s="2064"/>
      <c r="AJ96" s="1654">
        <v>0</v>
      </c>
      <c r="AK96" s="1654">
        <v>0</v>
      </c>
      <c r="AL96" s="1654">
        <v>0</v>
      </c>
      <c r="AM96" s="1654">
        <v>0</v>
      </c>
      <c r="AN96" s="1654">
        <v>0</v>
      </c>
      <c r="AO96" s="1654">
        <v>0</v>
      </c>
      <c r="AP96" s="1654">
        <v>0</v>
      </c>
      <c r="AQ96" s="1655">
        <v>0</v>
      </c>
      <c r="AR96" s="1654">
        <v>0</v>
      </c>
      <c r="AS96" s="1623"/>
      <c r="AT96" s="1625">
        <v>0</v>
      </c>
      <c r="AU96" s="1623">
        <v>0</v>
      </c>
      <c r="AV96" s="1623">
        <v>0</v>
      </c>
      <c r="AX96" s="1647"/>
      <c r="AY96" s="1693" t="s">
        <v>276</v>
      </c>
      <c r="AZ96" s="2064"/>
      <c r="BA96" s="1623"/>
      <c r="BB96" s="1623"/>
      <c r="BC96" s="1623"/>
      <c r="BD96" s="1623"/>
      <c r="BE96" s="1623"/>
      <c r="BF96" s="1623"/>
      <c r="BG96" s="1623"/>
      <c r="BH96" s="1624"/>
      <c r="BI96" s="1623"/>
      <c r="BJ96" s="1623"/>
      <c r="BK96" s="1625"/>
      <c r="BL96" s="1623"/>
      <c r="BM96" s="1623"/>
      <c r="BO96" s="1647"/>
      <c r="BP96" s="1693" t="s">
        <v>276</v>
      </c>
      <c r="BQ96" s="2064"/>
      <c r="BR96" s="1623"/>
      <c r="BS96" s="1623"/>
      <c r="BT96" s="1623"/>
      <c r="BU96" s="1623"/>
      <c r="BV96" s="1623"/>
      <c r="BW96" s="1623"/>
      <c r="BX96" s="1623"/>
      <c r="BY96" s="1624"/>
      <c r="BZ96" s="1623"/>
      <c r="CA96" s="1623"/>
      <c r="CB96" s="1625"/>
      <c r="CC96" s="1623"/>
      <c r="CD96" s="1623"/>
    </row>
    <row r="97" spans="1:83" s="1605" customFormat="1">
      <c r="A97"/>
      <c r="B97" s="1597">
        <f t="shared" si="74"/>
        <v>3</v>
      </c>
      <c r="C97" s="1657" t="str">
        <f t="shared" si="53"/>
        <v>対応性・更新性</v>
      </c>
      <c r="D97" s="2062">
        <f>IF(I$61=0,0,G97/I$61)</f>
        <v>0.3</v>
      </c>
      <c r="E97" s="1743">
        <f>IF(J$61=0,0,H97/J$61)</f>
        <v>0</v>
      </c>
      <c r="F97"/>
      <c r="G97" s="1743">
        <f t="shared" si="54"/>
        <v>0.3</v>
      </c>
      <c r="H97" s="1743">
        <f t="shared" si="55"/>
        <v>0</v>
      </c>
      <c r="I97" s="1743">
        <f>G98+G101+G102</f>
        <v>1</v>
      </c>
      <c r="J97" s="1743">
        <f>H98+H101+H102</f>
        <v>0</v>
      </c>
      <c r="K97" s="1743">
        <f>IF(スコア表示!W97=0,0,1)</f>
        <v>1</v>
      </c>
      <c r="L97" s="1743">
        <f>IF(スコア表示!AA97=0,0,1)</f>
        <v>0</v>
      </c>
      <c r="M97" s="1743">
        <f t="shared" si="56"/>
        <v>0.3</v>
      </c>
      <c r="N97" s="1743">
        <v>1</v>
      </c>
      <c r="O97"/>
      <c r="P97" s="1641">
        <f t="shared" si="76"/>
        <v>3</v>
      </c>
      <c r="Q97" s="1641" t="str">
        <f t="shared" si="77"/>
        <v xml:space="preserve"> Q2</v>
      </c>
      <c r="R97" s="1780" t="str">
        <f t="shared" si="60"/>
        <v>対応性・更新性</v>
      </c>
      <c r="S97" s="1610">
        <f t="shared" si="61"/>
        <v>0.3</v>
      </c>
      <c r="T97" s="1610">
        <f t="shared" si="62"/>
        <v>0.3</v>
      </c>
      <c r="U97" s="1610">
        <f t="shared" si="63"/>
        <v>0.3</v>
      </c>
      <c r="V97" s="1610">
        <f t="shared" si="64"/>
        <v>0.3</v>
      </c>
      <c r="W97" s="1610">
        <f t="shared" si="65"/>
        <v>0.3</v>
      </c>
      <c r="X97" s="1610">
        <f t="shared" si="66"/>
        <v>0.3</v>
      </c>
      <c r="Y97" s="1610">
        <f t="shared" si="67"/>
        <v>0.3</v>
      </c>
      <c r="Z97" s="1646">
        <f t="shared" si="68"/>
        <v>0.3</v>
      </c>
      <c r="AA97" s="1610">
        <f t="shared" si="69"/>
        <v>0.3</v>
      </c>
      <c r="AB97" s="1610">
        <f t="shared" si="70"/>
        <v>0.3</v>
      </c>
      <c r="AC97" s="1659">
        <f t="shared" si="71"/>
        <v>0</v>
      </c>
      <c r="AD97" s="1610">
        <f t="shared" si="72"/>
        <v>0</v>
      </c>
      <c r="AE97" s="1610">
        <f t="shared" si="73"/>
        <v>0</v>
      </c>
      <c r="AF97"/>
      <c r="AG97" s="1641">
        <v>3</v>
      </c>
      <c r="AH97" s="1744" t="s">
        <v>318</v>
      </c>
      <c r="AI97" s="1787" t="s">
        <v>355</v>
      </c>
      <c r="AJ97" s="1610">
        <v>0.3</v>
      </c>
      <c r="AK97" s="1610">
        <v>0.3</v>
      </c>
      <c r="AL97" s="1610">
        <v>0.3</v>
      </c>
      <c r="AM97" s="1610">
        <v>0.3</v>
      </c>
      <c r="AN97" s="1610">
        <v>0.3</v>
      </c>
      <c r="AO97" s="1610">
        <v>0.3</v>
      </c>
      <c r="AP97" s="1610">
        <v>0.3</v>
      </c>
      <c r="AQ97" s="1646">
        <v>0.3</v>
      </c>
      <c r="AR97" s="1610">
        <v>0.3</v>
      </c>
      <c r="AS97" s="1711">
        <v>0.3</v>
      </c>
      <c r="AT97" s="2063"/>
      <c r="AU97" s="1711"/>
      <c r="AV97" s="1711"/>
      <c r="AW97"/>
      <c r="AX97" s="1641">
        <v>3</v>
      </c>
      <c r="AY97" s="1744" t="s">
        <v>318</v>
      </c>
      <c r="AZ97" s="1787" t="s">
        <v>355</v>
      </c>
      <c r="BA97" s="1711">
        <v>0.3</v>
      </c>
      <c r="BB97" s="1711">
        <v>0.3</v>
      </c>
      <c r="BC97" s="1711">
        <v>0.3</v>
      </c>
      <c r="BD97" s="1711">
        <v>0.3</v>
      </c>
      <c r="BE97" s="1711">
        <v>0.3</v>
      </c>
      <c r="BF97" s="1711">
        <v>0.3</v>
      </c>
      <c r="BG97" s="1711">
        <v>0.3</v>
      </c>
      <c r="BH97" s="2083">
        <v>0.3</v>
      </c>
      <c r="BI97" s="1711">
        <v>0.3</v>
      </c>
      <c r="BJ97" s="1711">
        <v>0.3</v>
      </c>
      <c r="BK97" s="2063"/>
      <c r="BL97" s="1711"/>
      <c r="BM97" s="1711"/>
      <c r="BN97"/>
      <c r="BO97" s="1641">
        <v>3</v>
      </c>
      <c r="BP97" s="1744" t="s">
        <v>318</v>
      </c>
      <c r="BQ97" s="1787" t="s">
        <v>355</v>
      </c>
      <c r="BR97" s="1711">
        <v>0.3</v>
      </c>
      <c r="BS97" s="1711">
        <v>0.3</v>
      </c>
      <c r="BT97" s="1711">
        <v>0.3</v>
      </c>
      <c r="BU97" s="1711">
        <v>0.3</v>
      </c>
      <c r="BV97" s="1711">
        <v>0.3</v>
      </c>
      <c r="BW97" s="1711">
        <v>0.3</v>
      </c>
      <c r="BX97" s="1711">
        <v>0.3</v>
      </c>
      <c r="BY97" s="2083">
        <v>0.3</v>
      </c>
      <c r="BZ97" s="1711">
        <v>0.3</v>
      </c>
      <c r="CA97" s="1711">
        <v>0.3</v>
      </c>
      <c r="CB97" s="2063"/>
      <c r="CC97" s="1711"/>
      <c r="CD97" s="1711"/>
      <c r="CE97"/>
    </row>
    <row r="98" spans="1:83">
      <c r="B98" s="1597">
        <f t="shared" si="74"/>
        <v>3.1</v>
      </c>
      <c r="C98" s="1647" t="str">
        <f t="shared" si="53"/>
        <v>空間のゆとり</v>
      </c>
      <c r="D98" s="1716">
        <f>IF(I$97=0,0,G98/I$97)</f>
        <v>0.3</v>
      </c>
      <c r="E98" s="1691">
        <f>IF(J$97=0,0,H98/J$97)</f>
        <v>0</v>
      </c>
      <c r="G98" s="1691">
        <f t="shared" si="54"/>
        <v>0.3</v>
      </c>
      <c r="H98" s="1691">
        <f t="shared" si="55"/>
        <v>0</v>
      </c>
      <c r="I98" s="1691">
        <f>SUM(G99:G100)</f>
        <v>1</v>
      </c>
      <c r="J98" s="1691">
        <f>SUM(H99:H100)</f>
        <v>0</v>
      </c>
      <c r="K98" s="1691">
        <f>IF(スコア表示!W98=0,0,1)</f>
        <v>1</v>
      </c>
      <c r="L98" s="1691">
        <f>IF(スコア表示!AA98=0,0,1)</f>
        <v>0</v>
      </c>
      <c r="M98" s="1691">
        <f t="shared" si="56"/>
        <v>0.3</v>
      </c>
      <c r="N98" s="1691">
        <f t="shared" ref="N98:N114" si="80">(AC$7*AC98)+(AD$7*AD98)+(AE$7*AE98)</f>
        <v>0</v>
      </c>
      <c r="P98" s="1647">
        <f t="shared" si="76"/>
        <v>3.1</v>
      </c>
      <c r="Q98" s="1647" t="str">
        <f t="shared" si="77"/>
        <v xml:space="preserve"> Q2 3</v>
      </c>
      <c r="R98" s="1737" t="str">
        <f t="shared" si="60"/>
        <v>空間のゆとり</v>
      </c>
      <c r="S98" s="1618">
        <f t="shared" si="61"/>
        <v>0.3</v>
      </c>
      <c r="T98" s="1618">
        <f t="shared" si="62"/>
        <v>0.3</v>
      </c>
      <c r="U98" s="1618">
        <f t="shared" si="63"/>
        <v>0.3</v>
      </c>
      <c r="V98" s="1618">
        <f t="shared" si="64"/>
        <v>0.3</v>
      </c>
      <c r="W98" s="1618">
        <f t="shared" si="65"/>
        <v>0.3</v>
      </c>
      <c r="X98" s="1618">
        <f t="shared" si="66"/>
        <v>0</v>
      </c>
      <c r="Y98" s="1618">
        <f t="shared" si="67"/>
        <v>0</v>
      </c>
      <c r="Z98" s="1626">
        <f t="shared" si="68"/>
        <v>0.3</v>
      </c>
      <c r="AA98" s="1618">
        <f t="shared" si="69"/>
        <v>0.3</v>
      </c>
      <c r="AB98" s="1618">
        <f t="shared" si="70"/>
        <v>0.3</v>
      </c>
      <c r="AC98" s="1619">
        <f t="shared" si="71"/>
        <v>0.5</v>
      </c>
      <c r="AD98" s="1618">
        <f t="shared" si="72"/>
        <v>0.5</v>
      </c>
      <c r="AE98" s="1618">
        <f t="shared" si="73"/>
        <v>0.5</v>
      </c>
      <c r="AG98" s="1647">
        <v>3.1</v>
      </c>
      <c r="AH98" s="1693" t="s">
        <v>356</v>
      </c>
      <c r="AI98" s="1737" t="s">
        <v>757</v>
      </c>
      <c r="AJ98" s="1618">
        <v>0.3</v>
      </c>
      <c r="AK98" s="1618">
        <v>0.3</v>
      </c>
      <c r="AL98" s="1618">
        <v>0.3</v>
      </c>
      <c r="AM98" s="1618">
        <v>0.3</v>
      </c>
      <c r="AN98" s="1618">
        <v>0.3</v>
      </c>
      <c r="AO98" s="1618"/>
      <c r="AP98" s="1618"/>
      <c r="AQ98" s="1626">
        <v>0.3</v>
      </c>
      <c r="AR98" s="1618">
        <v>0.3</v>
      </c>
      <c r="AS98" s="1623">
        <v>0.3</v>
      </c>
      <c r="AT98" s="1625">
        <v>0.5</v>
      </c>
      <c r="AU98" s="1623">
        <v>0.5</v>
      </c>
      <c r="AV98" s="1623">
        <v>0.5</v>
      </c>
      <c r="AX98" s="1647">
        <v>3.1</v>
      </c>
      <c r="AY98" s="1693" t="s">
        <v>356</v>
      </c>
      <c r="AZ98" s="1737" t="s">
        <v>757</v>
      </c>
      <c r="BA98" s="1623">
        <v>0.3</v>
      </c>
      <c r="BB98" s="1623">
        <v>0.3</v>
      </c>
      <c r="BC98" s="1623">
        <v>0.3</v>
      </c>
      <c r="BD98" s="1623">
        <v>0.3</v>
      </c>
      <c r="BE98" s="1623">
        <v>0.3</v>
      </c>
      <c r="BF98" s="1623"/>
      <c r="BG98" s="1623"/>
      <c r="BH98" s="1624">
        <v>0.3</v>
      </c>
      <c r="BI98" s="1623">
        <v>0.3</v>
      </c>
      <c r="BJ98" s="1623">
        <v>0.3</v>
      </c>
      <c r="BK98" s="1625">
        <v>0.5</v>
      </c>
      <c r="BL98" s="1623">
        <v>0.5</v>
      </c>
      <c r="BM98" s="1623">
        <v>0.5</v>
      </c>
      <c r="BO98" s="1647">
        <v>3.1</v>
      </c>
      <c r="BP98" s="1693" t="s">
        <v>356</v>
      </c>
      <c r="BQ98" s="1737" t="s">
        <v>757</v>
      </c>
      <c r="BR98" s="1623">
        <v>0.3</v>
      </c>
      <c r="BS98" s="1623">
        <v>0.3</v>
      </c>
      <c r="BT98" s="1623">
        <v>0.3</v>
      </c>
      <c r="BU98" s="1623">
        <v>0.3</v>
      </c>
      <c r="BV98" s="1623">
        <v>0.3</v>
      </c>
      <c r="BW98" s="1623"/>
      <c r="BX98" s="1623"/>
      <c r="BY98" s="1624">
        <v>0.3</v>
      </c>
      <c r="BZ98" s="1623">
        <v>0.3</v>
      </c>
      <c r="CA98" s="1623">
        <v>0.3</v>
      </c>
      <c r="CB98" s="1625">
        <v>0.5</v>
      </c>
      <c r="CC98" s="1623">
        <v>0.5</v>
      </c>
      <c r="CD98" s="1623">
        <v>0.5</v>
      </c>
    </row>
    <row r="99" spans="1:83">
      <c r="B99" s="1597" t="str">
        <f t="shared" si="74"/>
        <v>3.1.1</v>
      </c>
      <c r="C99" s="1614" t="str">
        <f t="shared" si="53"/>
        <v>階高のゆとり</v>
      </c>
      <c r="D99" s="1721">
        <f>IF(I$98&gt;0,G99/I$98,0)</f>
        <v>0.6</v>
      </c>
      <c r="E99" s="1691">
        <f>IF(J$98&gt;0,H99/J$98,0)</f>
        <v>0</v>
      </c>
      <c r="G99" s="1691">
        <f t="shared" si="54"/>
        <v>0.6</v>
      </c>
      <c r="H99" s="1691">
        <f t="shared" si="55"/>
        <v>0</v>
      </c>
      <c r="I99" s="1691"/>
      <c r="J99" s="1691"/>
      <c r="K99" s="1691">
        <f>IF(スコア表示!W99=0,0,1)</f>
        <v>1</v>
      </c>
      <c r="L99" s="1691">
        <f>IF(スコア表示!AA99=0,0,1)</f>
        <v>1</v>
      </c>
      <c r="M99" s="1691">
        <f t="shared" si="56"/>
        <v>0.6</v>
      </c>
      <c r="N99" s="1691">
        <f t="shared" si="80"/>
        <v>0</v>
      </c>
      <c r="P99" s="1647" t="str">
        <f t="shared" si="76"/>
        <v>3.1.1</v>
      </c>
      <c r="Q99" s="1647" t="str">
        <f t="shared" si="77"/>
        <v xml:space="preserve"> Q2 3.1</v>
      </c>
      <c r="R99" s="1737" t="str">
        <f t="shared" si="60"/>
        <v>階高のゆとり</v>
      </c>
      <c r="S99" s="1618">
        <f t="shared" si="61"/>
        <v>0.6</v>
      </c>
      <c r="T99" s="1618">
        <f t="shared" si="62"/>
        <v>0.6</v>
      </c>
      <c r="U99" s="1618">
        <f t="shared" si="63"/>
        <v>0.6</v>
      </c>
      <c r="V99" s="1618">
        <f t="shared" si="64"/>
        <v>0.6</v>
      </c>
      <c r="W99" s="1618">
        <f t="shared" si="65"/>
        <v>0.6</v>
      </c>
      <c r="X99" s="1618">
        <f t="shared" si="66"/>
        <v>0</v>
      </c>
      <c r="Y99" s="1618">
        <f t="shared" si="67"/>
        <v>0</v>
      </c>
      <c r="Z99" s="1626">
        <f t="shared" si="68"/>
        <v>0</v>
      </c>
      <c r="AA99" s="1618">
        <f t="shared" si="69"/>
        <v>0.6</v>
      </c>
      <c r="AB99" s="1618">
        <f t="shared" si="70"/>
        <v>0.6</v>
      </c>
      <c r="AC99" s="1619">
        <f t="shared" si="71"/>
        <v>0.6</v>
      </c>
      <c r="AD99" s="1618">
        <f t="shared" si="72"/>
        <v>0.6</v>
      </c>
      <c r="AE99" s="1618">
        <f t="shared" si="73"/>
        <v>0.6</v>
      </c>
      <c r="AG99" s="1647" t="s">
        <v>1538</v>
      </c>
      <c r="AH99" s="1693" t="s">
        <v>357</v>
      </c>
      <c r="AI99" s="2064" t="s">
        <v>358</v>
      </c>
      <c r="AJ99" s="1618">
        <v>0.6</v>
      </c>
      <c r="AK99" s="1618">
        <v>0.6</v>
      </c>
      <c r="AL99" s="1618">
        <v>0.6</v>
      </c>
      <c r="AM99" s="1618">
        <v>0.6</v>
      </c>
      <c r="AN99" s="1618">
        <v>0.6</v>
      </c>
      <c r="AO99" s="1618"/>
      <c r="AP99" s="1618"/>
      <c r="AQ99" s="1626">
        <v>0</v>
      </c>
      <c r="AR99" s="1618">
        <v>0.6</v>
      </c>
      <c r="AS99" s="1623">
        <v>0.6</v>
      </c>
      <c r="AT99" s="1625">
        <v>0.6</v>
      </c>
      <c r="AU99" s="1623">
        <v>0.6</v>
      </c>
      <c r="AV99" s="1623">
        <v>0.6</v>
      </c>
      <c r="AX99" s="1647" t="s">
        <v>1538</v>
      </c>
      <c r="AY99" s="1693" t="s">
        <v>357</v>
      </c>
      <c r="AZ99" s="2064" t="s">
        <v>358</v>
      </c>
      <c r="BA99" s="1623">
        <v>0.6</v>
      </c>
      <c r="BB99" s="1623">
        <v>0.6</v>
      </c>
      <c r="BC99" s="1623">
        <v>0.6</v>
      </c>
      <c r="BD99" s="1623">
        <v>0.6</v>
      </c>
      <c r="BE99" s="1623">
        <v>0.6</v>
      </c>
      <c r="BF99" s="1623"/>
      <c r="BG99" s="1623"/>
      <c r="BH99" s="1624">
        <v>0</v>
      </c>
      <c r="BI99" s="1623">
        <v>0.6</v>
      </c>
      <c r="BJ99" s="1623">
        <v>0.6</v>
      </c>
      <c r="BK99" s="1625">
        <v>0.6</v>
      </c>
      <c r="BL99" s="1623">
        <v>0.6</v>
      </c>
      <c r="BM99" s="1623">
        <v>0.6</v>
      </c>
      <c r="BO99" s="1647" t="s">
        <v>1538</v>
      </c>
      <c r="BP99" s="1693" t="s">
        <v>357</v>
      </c>
      <c r="BQ99" s="2064" t="s">
        <v>358</v>
      </c>
      <c r="BR99" s="1623">
        <v>0.6</v>
      </c>
      <c r="BS99" s="1623">
        <v>0.6</v>
      </c>
      <c r="BT99" s="1623">
        <v>0.6</v>
      </c>
      <c r="BU99" s="1623">
        <v>0.6</v>
      </c>
      <c r="BV99" s="1623">
        <v>0.6</v>
      </c>
      <c r="BW99" s="1623"/>
      <c r="BX99" s="1623"/>
      <c r="BY99" s="1624">
        <v>0</v>
      </c>
      <c r="BZ99" s="1623">
        <v>0.6</v>
      </c>
      <c r="CA99" s="1623">
        <v>0.6</v>
      </c>
      <c r="CB99" s="1625">
        <v>0.6</v>
      </c>
      <c r="CC99" s="1623">
        <v>0.6</v>
      </c>
      <c r="CD99" s="1623">
        <v>0.6</v>
      </c>
    </row>
    <row r="100" spans="1:83">
      <c r="B100" s="1597" t="str">
        <f t="shared" si="74"/>
        <v>3.1.2</v>
      </c>
      <c r="C100" s="1614" t="str">
        <f t="shared" si="53"/>
        <v>空間の形状・自由さ</v>
      </c>
      <c r="D100" s="1721">
        <f>IF(I$98&gt;0,G100/I$98,0)</f>
        <v>0.4</v>
      </c>
      <c r="E100" s="1691">
        <f>IF(J$98&gt;0,H100/J$98,0)</f>
        <v>0</v>
      </c>
      <c r="G100" s="1691">
        <f t="shared" si="54"/>
        <v>0.4</v>
      </c>
      <c r="H100" s="1691">
        <f t="shared" si="55"/>
        <v>0</v>
      </c>
      <c r="I100" s="1691"/>
      <c r="J100" s="1691"/>
      <c r="K100" s="1691">
        <f>IF(スコア表示!W100=0,0,1)</f>
        <v>1</v>
      </c>
      <c r="L100" s="1691">
        <f>IF(スコア表示!AA100=0,0,1)</f>
        <v>1</v>
      </c>
      <c r="M100" s="1691">
        <f t="shared" si="56"/>
        <v>0.4</v>
      </c>
      <c r="N100" s="1691">
        <f t="shared" si="80"/>
        <v>0</v>
      </c>
      <c r="P100" s="1647" t="str">
        <f t="shared" si="76"/>
        <v>3.1.2</v>
      </c>
      <c r="Q100" s="1647" t="str">
        <f t="shared" si="77"/>
        <v xml:space="preserve"> Q2 3.1</v>
      </c>
      <c r="R100" s="1737" t="str">
        <f t="shared" si="60"/>
        <v>空間の形状・自由さ</v>
      </c>
      <c r="S100" s="1618">
        <f t="shared" si="61"/>
        <v>0.4</v>
      </c>
      <c r="T100" s="1618">
        <f t="shared" si="62"/>
        <v>0.4</v>
      </c>
      <c r="U100" s="1618">
        <f t="shared" si="63"/>
        <v>0.4</v>
      </c>
      <c r="V100" s="1618">
        <f t="shared" si="64"/>
        <v>0.4</v>
      </c>
      <c r="W100" s="1618">
        <f t="shared" si="65"/>
        <v>0.4</v>
      </c>
      <c r="X100" s="1618">
        <f t="shared" si="66"/>
        <v>0</v>
      </c>
      <c r="Y100" s="1618">
        <f t="shared" si="67"/>
        <v>0</v>
      </c>
      <c r="Z100" s="1626">
        <f t="shared" si="68"/>
        <v>1</v>
      </c>
      <c r="AA100" s="1618">
        <f t="shared" si="69"/>
        <v>0.4</v>
      </c>
      <c r="AB100" s="1618">
        <f t="shared" si="70"/>
        <v>0.4</v>
      </c>
      <c r="AC100" s="1619">
        <f t="shared" si="71"/>
        <v>0.4</v>
      </c>
      <c r="AD100" s="1618">
        <f t="shared" si="72"/>
        <v>0.4</v>
      </c>
      <c r="AE100" s="1618">
        <f t="shared" si="73"/>
        <v>0.4</v>
      </c>
      <c r="AG100" s="1647" t="s">
        <v>1487</v>
      </c>
      <c r="AH100" s="1693" t="s">
        <v>357</v>
      </c>
      <c r="AI100" s="2064" t="s">
        <v>359</v>
      </c>
      <c r="AJ100" s="1618">
        <v>0.4</v>
      </c>
      <c r="AK100" s="1618">
        <v>0.4</v>
      </c>
      <c r="AL100" s="1618">
        <v>0.4</v>
      </c>
      <c r="AM100" s="1618">
        <v>0.4</v>
      </c>
      <c r="AN100" s="1618">
        <v>0.4</v>
      </c>
      <c r="AO100" s="1618"/>
      <c r="AP100" s="1618"/>
      <c r="AQ100" s="1626">
        <v>1</v>
      </c>
      <c r="AR100" s="1618">
        <v>0.4</v>
      </c>
      <c r="AS100" s="1623">
        <v>0.4</v>
      </c>
      <c r="AT100" s="1625">
        <v>0.4</v>
      </c>
      <c r="AU100" s="1623">
        <v>0.4</v>
      </c>
      <c r="AV100" s="1623">
        <v>0.4</v>
      </c>
      <c r="AX100" s="1647" t="s">
        <v>1539</v>
      </c>
      <c r="AY100" s="1693" t="s">
        <v>357</v>
      </c>
      <c r="AZ100" s="2064" t="s">
        <v>359</v>
      </c>
      <c r="BA100" s="1623">
        <v>0.4</v>
      </c>
      <c r="BB100" s="1623">
        <v>0.4</v>
      </c>
      <c r="BC100" s="1623">
        <v>0.4</v>
      </c>
      <c r="BD100" s="1623">
        <v>0.4</v>
      </c>
      <c r="BE100" s="1623">
        <v>0.4</v>
      </c>
      <c r="BF100" s="1623"/>
      <c r="BG100" s="1623"/>
      <c r="BH100" s="1624">
        <v>1</v>
      </c>
      <c r="BI100" s="1623">
        <v>0.4</v>
      </c>
      <c r="BJ100" s="1623">
        <v>0.4</v>
      </c>
      <c r="BK100" s="1625">
        <v>0.4</v>
      </c>
      <c r="BL100" s="1623">
        <v>0.4</v>
      </c>
      <c r="BM100" s="1623">
        <v>0.4</v>
      </c>
      <c r="BO100" s="1647" t="s">
        <v>1539</v>
      </c>
      <c r="BP100" s="1693" t="s">
        <v>357</v>
      </c>
      <c r="BQ100" s="2064" t="s">
        <v>359</v>
      </c>
      <c r="BR100" s="1623">
        <v>0.4</v>
      </c>
      <c r="BS100" s="1623">
        <v>0.4</v>
      </c>
      <c r="BT100" s="1623">
        <v>0.4</v>
      </c>
      <c r="BU100" s="1623">
        <v>0.4</v>
      </c>
      <c r="BV100" s="1623">
        <v>0.4</v>
      </c>
      <c r="BW100" s="1623"/>
      <c r="BX100" s="1623"/>
      <c r="BY100" s="1624">
        <v>1</v>
      </c>
      <c r="BZ100" s="1623">
        <v>0.4</v>
      </c>
      <c r="CA100" s="1623">
        <v>0.4</v>
      </c>
      <c r="CB100" s="1625">
        <v>0.4</v>
      </c>
      <c r="CC100" s="1623">
        <v>0.4</v>
      </c>
      <c r="CD100" s="1623">
        <v>0.4</v>
      </c>
    </row>
    <row r="101" spans="1:83">
      <c r="B101" s="1597">
        <f t="shared" si="74"/>
        <v>3.2</v>
      </c>
      <c r="C101" s="1647" t="str">
        <f t="shared" si="53"/>
        <v>荷重のゆとり</v>
      </c>
      <c r="D101" s="1716">
        <f>IF(I$97=0,0,G101/I$97)</f>
        <v>0.3</v>
      </c>
      <c r="E101" s="1691">
        <f>IF(J$97=0,0,H101/J$97)</f>
        <v>0</v>
      </c>
      <c r="G101" s="1691">
        <f t="shared" si="54"/>
        <v>0.3</v>
      </c>
      <c r="H101" s="1691">
        <f t="shared" si="55"/>
        <v>0</v>
      </c>
      <c r="I101" s="1691"/>
      <c r="J101" s="1691"/>
      <c r="K101" s="1691">
        <f>IF(スコア表示!W101=0,0,1)</f>
        <v>1</v>
      </c>
      <c r="L101" s="1691">
        <f>IF(スコア表示!AA101=0,0,1)</f>
        <v>1</v>
      </c>
      <c r="M101" s="1691">
        <f t="shared" si="56"/>
        <v>0.3</v>
      </c>
      <c r="N101" s="1691">
        <f t="shared" si="80"/>
        <v>0</v>
      </c>
      <c r="P101" s="1647">
        <f t="shared" si="76"/>
        <v>3.2</v>
      </c>
      <c r="Q101" s="1647" t="str">
        <f t="shared" si="77"/>
        <v xml:space="preserve"> Q2 3</v>
      </c>
      <c r="R101" s="1737" t="str">
        <f t="shared" si="60"/>
        <v>荷重のゆとり</v>
      </c>
      <c r="S101" s="1618">
        <f t="shared" si="61"/>
        <v>0.3</v>
      </c>
      <c r="T101" s="1618">
        <f t="shared" si="62"/>
        <v>0.3</v>
      </c>
      <c r="U101" s="1618">
        <f t="shared" si="63"/>
        <v>0.3</v>
      </c>
      <c r="V101" s="1618">
        <f t="shared" si="64"/>
        <v>0.3</v>
      </c>
      <c r="W101" s="1618">
        <f t="shared" si="65"/>
        <v>0.3</v>
      </c>
      <c r="X101" s="1618">
        <f t="shared" si="66"/>
        <v>0</v>
      </c>
      <c r="Y101" s="1618">
        <f t="shared" si="67"/>
        <v>0</v>
      </c>
      <c r="Z101" s="1626">
        <f t="shared" si="68"/>
        <v>0.3</v>
      </c>
      <c r="AA101" s="1618">
        <f t="shared" si="69"/>
        <v>0.3</v>
      </c>
      <c r="AB101" s="1618">
        <f t="shared" si="70"/>
        <v>0.3</v>
      </c>
      <c r="AC101" s="1619">
        <f t="shared" si="71"/>
        <v>0.5</v>
      </c>
      <c r="AD101" s="1618">
        <f t="shared" si="72"/>
        <v>0.5</v>
      </c>
      <c r="AE101" s="1618">
        <f t="shared" si="73"/>
        <v>0.5</v>
      </c>
      <c r="AG101" s="1647">
        <v>3.2</v>
      </c>
      <c r="AH101" s="1693" t="s">
        <v>356</v>
      </c>
      <c r="AI101" s="1737" t="s">
        <v>761</v>
      </c>
      <c r="AJ101" s="1618">
        <v>0.3</v>
      </c>
      <c r="AK101" s="1618">
        <v>0.3</v>
      </c>
      <c r="AL101" s="1618">
        <v>0.3</v>
      </c>
      <c r="AM101" s="1618">
        <v>0.3</v>
      </c>
      <c r="AN101" s="1618">
        <v>0.3</v>
      </c>
      <c r="AO101" s="1618"/>
      <c r="AP101" s="1618"/>
      <c r="AQ101" s="1626">
        <v>0.3</v>
      </c>
      <c r="AR101" s="1618">
        <v>0.3</v>
      </c>
      <c r="AS101" s="1623">
        <v>0.3</v>
      </c>
      <c r="AT101" s="1625">
        <v>0.5</v>
      </c>
      <c r="AU101" s="1623">
        <v>0.5</v>
      </c>
      <c r="AV101" s="1623">
        <v>0.5</v>
      </c>
      <c r="AX101" s="1647">
        <v>3.2</v>
      </c>
      <c r="AY101" s="1693" t="s">
        <v>356</v>
      </c>
      <c r="AZ101" s="1737" t="s">
        <v>761</v>
      </c>
      <c r="BA101" s="1623">
        <v>0.3</v>
      </c>
      <c r="BB101" s="1623">
        <v>0.3</v>
      </c>
      <c r="BC101" s="1623">
        <v>0.3</v>
      </c>
      <c r="BD101" s="1623">
        <v>0.3</v>
      </c>
      <c r="BE101" s="1623">
        <v>0.3</v>
      </c>
      <c r="BF101" s="1623"/>
      <c r="BG101" s="1623"/>
      <c r="BH101" s="1624">
        <v>0.3</v>
      </c>
      <c r="BI101" s="1623">
        <v>0.3</v>
      </c>
      <c r="BJ101" s="1623">
        <v>0.3</v>
      </c>
      <c r="BK101" s="1625">
        <v>0.5</v>
      </c>
      <c r="BL101" s="1623">
        <v>0.5</v>
      </c>
      <c r="BM101" s="1623">
        <v>0.5</v>
      </c>
      <c r="BO101" s="1647">
        <v>3.2</v>
      </c>
      <c r="BP101" s="1693" t="s">
        <v>356</v>
      </c>
      <c r="BQ101" s="1737" t="s">
        <v>761</v>
      </c>
      <c r="BR101" s="1623">
        <v>0.3</v>
      </c>
      <c r="BS101" s="1623">
        <v>0.3</v>
      </c>
      <c r="BT101" s="1623">
        <v>0.3</v>
      </c>
      <c r="BU101" s="1623">
        <v>0.3</v>
      </c>
      <c r="BV101" s="1623">
        <v>0.3</v>
      </c>
      <c r="BW101" s="1623"/>
      <c r="BX101" s="1623"/>
      <c r="BY101" s="1624">
        <v>0.3</v>
      </c>
      <c r="BZ101" s="1623">
        <v>0.3</v>
      </c>
      <c r="CA101" s="1623">
        <v>0.3</v>
      </c>
      <c r="CB101" s="1625">
        <v>0.5</v>
      </c>
      <c r="CC101" s="1623">
        <v>0.5</v>
      </c>
      <c r="CD101" s="1623">
        <v>0.5</v>
      </c>
    </row>
    <row r="102" spans="1:83">
      <c r="B102" s="1597">
        <f t="shared" si="74"/>
        <v>3.3</v>
      </c>
      <c r="C102" s="1647" t="str">
        <f t="shared" si="53"/>
        <v>設備の更新性</v>
      </c>
      <c r="D102" s="1716">
        <f>IF(I$97=0,0,G102/I$97)</f>
        <v>0.4</v>
      </c>
      <c r="E102" s="1691">
        <f>IF(J$97=0,0,H102/J$97)</f>
        <v>0</v>
      </c>
      <c r="G102" s="1691">
        <f t="shared" si="54"/>
        <v>0.4</v>
      </c>
      <c r="H102" s="1691">
        <f t="shared" si="55"/>
        <v>0</v>
      </c>
      <c r="I102" s="1691">
        <f>SUM(G103:G108)</f>
        <v>1</v>
      </c>
      <c r="J102" s="1691">
        <f>SUM(H103:H108)</f>
        <v>0</v>
      </c>
      <c r="K102" s="1691">
        <f>IF(スコア表示!W102=0,0,1)</f>
        <v>1</v>
      </c>
      <c r="L102" s="1691">
        <f>IF(スコア表示!AA102=0,0,1)</f>
        <v>0</v>
      </c>
      <c r="M102" s="1691">
        <f t="shared" si="56"/>
        <v>0.4</v>
      </c>
      <c r="N102" s="1691">
        <f t="shared" si="80"/>
        <v>0</v>
      </c>
      <c r="P102" s="1647">
        <f t="shared" si="76"/>
        <v>3.3</v>
      </c>
      <c r="Q102" s="1647" t="str">
        <f t="shared" si="77"/>
        <v xml:space="preserve"> Q2 3</v>
      </c>
      <c r="R102" s="1737" t="str">
        <f t="shared" si="60"/>
        <v>設備の更新性</v>
      </c>
      <c r="S102" s="1618">
        <f t="shared" si="61"/>
        <v>0.4</v>
      </c>
      <c r="T102" s="1618">
        <f t="shared" si="62"/>
        <v>0.4</v>
      </c>
      <c r="U102" s="1618">
        <f t="shared" si="63"/>
        <v>0.4</v>
      </c>
      <c r="V102" s="1618">
        <f t="shared" si="64"/>
        <v>0.4</v>
      </c>
      <c r="W102" s="1618">
        <f t="shared" si="65"/>
        <v>0.4</v>
      </c>
      <c r="X102" s="1618">
        <f t="shared" si="66"/>
        <v>1</v>
      </c>
      <c r="Y102" s="1618">
        <f t="shared" si="67"/>
        <v>1</v>
      </c>
      <c r="Z102" s="1626">
        <f t="shared" si="68"/>
        <v>0.4</v>
      </c>
      <c r="AA102" s="1618">
        <f t="shared" si="69"/>
        <v>0.4</v>
      </c>
      <c r="AB102" s="1618">
        <f t="shared" si="70"/>
        <v>0.4</v>
      </c>
      <c r="AC102" s="1619">
        <f t="shared" si="71"/>
        <v>0</v>
      </c>
      <c r="AD102" s="1618">
        <f t="shared" si="72"/>
        <v>0</v>
      </c>
      <c r="AE102" s="1618">
        <f t="shared" si="73"/>
        <v>0</v>
      </c>
      <c r="AG102" s="1647">
        <v>3.3</v>
      </c>
      <c r="AH102" s="1693" t="s">
        <v>356</v>
      </c>
      <c r="AI102" s="1737" t="s">
        <v>762</v>
      </c>
      <c r="AJ102" s="1618">
        <v>0.4</v>
      </c>
      <c r="AK102" s="1618">
        <v>0.4</v>
      </c>
      <c r="AL102" s="1618">
        <v>0.4</v>
      </c>
      <c r="AM102" s="1618">
        <v>0.4</v>
      </c>
      <c r="AN102" s="1618">
        <v>0.4</v>
      </c>
      <c r="AO102" s="1618">
        <v>1</v>
      </c>
      <c r="AP102" s="1618">
        <v>1</v>
      </c>
      <c r="AQ102" s="1626">
        <v>0.4</v>
      </c>
      <c r="AR102" s="1618">
        <v>0.4</v>
      </c>
      <c r="AS102" s="1623">
        <v>0.4</v>
      </c>
      <c r="AT102" s="1625"/>
      <c r="AU102" s="1623"/>
      <c r="AV102" s="1623"/>
      <c r="AX102" s="1647">
        <v>3.3</v>
      </c>
      <c r="AY102" s="1693" t="s">
        <v>356</v>
      </c>
      <c r="AZ102" s="1737" t="s">
        <v>762</v>
      </c>
      <c r="BA102" s="1623">
        <v>0.4</v>
      </c>
      <c r="BB102" s="1623">
        <v>0.4</v>
      </c>
      <c r="BC102" s="1623">
        <v>0.4</v>
      </c>
      <c r="BD102" s="1623">
        <v>0.4</v>
      </c>
      <c r="BE102" s="1623">
        <v>0.4</v>
      </c>
      <c r="BF102" s="1623">
        <v>1</v>
      </c>
      <c r="BG102" s="1623">
        <v>1</v>
      </c>
      <c r="BH102" s="1624">
        <v>0.4</v>
      </c>
      <c r="BI102" s="1623">
        <v>0.4</v>
      </c>
      <c r="BJ102" s="1623">
        <v>0.4</v>
      </c>
      <c r="BK102" s="1625"/>
      <c r="BL102" s="1623"/>
      <c r="BM102" s="1623"/>
      <c r="BO102" s="1647">
        <v>3.3</v>
      </c>
      <c r="BP102" s="1693" t="s">
        <v>356</v>
      </c>
      <c r="BQ102" s="1737" t="s">
        <v>762</v>
      </c>
      <c r="BR102" s="1623">
        <v>0.4</v>
      </c>
      <c r="BS102" s="1623">
        <v>0.4</v>
      </c>
      <c r="BT102" s="1623">
        <v>0.4</v>
      </c>
      <c r="BU102" s="1623">
        <v>0.4</v>
      </c>
      <c r="BV102" s="1623">
        <v>0.4</v>
      </c>
      <c r="BW102" s="1623">
        <v>1</v>
      </c>
      <c r="BX102" s="1623">
        <v>1</v>
      </c>
      <c r="BY102" s="1624">
        <v>0.4</v>
      </c>
      <c r="BZ102" s="1623">
        <v>0.4</v>
      </c>
      <c r="CA102" s="1623">
        <v>0.4</v>
      </c>
      <c r="CB102" s="1625"/>
      <c r="CC102" s="1623"/>
      <c r="CD102" s="1623"/>
    </row>
    <row r="103" spans="1:83">
      <c r="B103" s="1597" t="str">
        <f t="shared" si="74"/>
        <v>3.3.1</v>
      </c>
      <c r="C103" s="1614" t="str">
        <f t="shared" si="53"/>
        <v>空調配管の更新性</v>
      </c>
      <c r="D103" s="1721">
        <f t="shared" ref="D103:E108" si="81">IF(I$102&gt;0,G103/I$102,0)</f>
        <v>0.2</v>
      </c>
      <c r="E103" s="1691">
        <f t="shared" si="81"/>
        <v>0</v>
      </c>
      <c r="G103" s="1691">
        <f t="shared" si="54"/>
        <v>0.2</v>
      </c>
      <c r="H103" s="1691">
        <f t="shared" si="55"/>
        <v>0</v>
      </c>
      <c r="I103" s="1691"/>
      <c r="J103" s="1691"/>
      <c r="K103" s="1691">
        <f>IF(スコア表示!W103=0,0,1)</f>
        <v>1</v>
      </c>
      <c r="L103" s="1691">
        <f>IF(スコア表示!AA103=0,0,1)</f>
        <v>0</v>
      </c>
      <c r="M103" s="1691">
        <f t="shared" si="56"/>
        <v>0.2</v>
      </c>
      <c r="N103" s="1691">
        <f t="shared" si="80"/>
        <v>0</v>
      </c>
      <c r="P103" s="1647" t="str">
        <f t="shared" si="76"/>
        <v>3.3.1</v>
      </c>
      <c r="Q103" s="1647" t="str">
        <f t="shared" si="77"/>
        <v xml:space="preserve"> Q2 3.3</v>
      </c>
      <c r="R103" s="1737" t="str">
        <f t="shared" si="60"/>
        <v>空調配管の更新性</v>
      </c>
      <c r="S103" s="1618">
        <f t="shared" si="61"/>
        <v>0.2</v>
      </c>
      <c r="T103" s="1618">
        <f t="shared" si="62"/>
        <v>0.2</v>
      </c>
      <c r="U103" s="1618">
        <f t="shared" si="63"/>
        <v>0.2</v>
      </c>
      <c r="V103" s="1618">
        <f t="shared" si="64"/>
        <v>0.2</v>
      </c>
      <c r="W103" s="1618">
        <f t="shared" si="65"/>
        <v>0.2</v>
      </c>
      <c r="X103" s="1618">
        <f t="shared" si="66"/>
        <v>0.2</v>
      </c>
      <c r="Y103" s="1618">
        <f t="shared" si="67"/>
        <v>0.2</v>
      </c>
      <c r="Z103" s="1626">
        <f t="shared" si="68"/>
        <v>0.2</v>
      </c>
      <c r="AA103" s="1618">
        <f t="shared" si="69"/>
        <v>0.2</v>
      </c>
      <c r="AB103" s="1618">
        <f t="shared" si="70"/>
        <v>0.2</v>
      </c>
      <c r="AC103" s="1619">
        <f t="shared" si="71"/>
        <v>0</v>
      </c>
      <c r="AD103" s="1618">
        <f t="shared" si="72"/>
        <v>0</v>
      </c>
      <c r="AE103" s="1618">
        <f t="shared" si="73"/>
        <v>0</v>
      </c>
      <c r="AG103" s="1647" t="s">
        <v>1495</v>
      </c>
      <c r="AH103" s="1693" t="s">
        <v>360</v>
      </c>
      <c r="AI103" s="2064" t="s">
        <v>361</v>
      </c>
      <c r="AJ103" s="1618">
        <v>0.2</v>
      </c>
      <c r="AK103" s="1618">
        <v>0.2</v>
      </c>
      <c r="AL103" s="1618">
        <v>0.2</v>
      </c>
      <c r="AM103" s="1618">
        <v>0.2</v>
      </c>
      <c r="AN103" s="1618">
        <v>0.2</v>
      </c>
      <c r="AO103" s="1618">
        <v>0.2</v>
      </c>
      <c r="AP103" s="1618">
        <v>0.2</v>
      </c>
      <c r="AQ103" s="1626">
        <v>0.2</v>
      </c>
      <c r="AR103" s="1618">
        <v>0.2</v>
      </c>
      <c r="AS103" s="1623">
        <v>0.2</v>
      </c>
      <c r="AT103" s="1625"/>
      <c r="AU103" s="1623"/>
      <c r="AV103" s="1623"/>
      <c r="AX103" s="1647" t="s">
        <v>1540</v>
      </c>
      <c r="AY103" s="1693" t="s">
        <v>360</v>
      </c>
      <c r="AZ103" s="2064" t="s">
        <v>361</v>
      </c>
      <c r="BA103" s="1623">
        <v>0.2</v>
      </c>
      <c r="BB103" s="1623">
        <v>0.2</v>
      </c>
      <c r="BC103" s="1623">
        <v>0.2</v>
      </c>
      <c r="BD103" s="1623">
        <v>0.2</v>
      </c>
      <c r="BE103" s="1623">
        <v>0.2</v>
      </c>
      <c r="BF103" s="1623">
        <v>0.2</v>
      </c>
      <c r="BG103" s="1623">
        <v>0.2</v>
      </c>
      <c r="BH103" s="1624">
        <v>0.2</v>
      </c>
      <c r="BI103" s="1623">
        <v>0.2</v>
      </c>
      <c r="BJ103" s="1623">
        <v>0.2</v>
      </c>
      <c r="BK103" s="1625"/>
      <c r="BL103" s="1623"/>
      <c r="BM103" s="1623"/>
      <c r="BO103" s="1647" t="s">
        <v>1540</v>
      </c>
      <c r="BP103" s="1693" t="s">
        <v>360</v>
      </c>
      <c r="BQ103" s="2064" t="s">
        <v>361</v>
      </c>
      <c r="BR103" s="1623">
        <v>0.2</v>
      </c>
      <c r="BS103" s="1623">
        <v>0.2</v>
      </c>
      <c r="BT103" s="1623">
        <v>0.2</v>
      </c>
      <c r="BU103" s="1623">
        <v>0.2</v>
      </c>
      <c r="BV103" s="1623">
        <v>0.2</v>
      </c>
      <c r="BW103" s="1623">
        <v>0.2</v>
      </c>
      <c r="BX103" s="1623">
        <v>0.2</v>
      </c>
      <c r="BY103" s="1624">
        <v>0.2</v>
      </c>
      <c r="BZ103" s="1623">
        <v>0.2</v>
      </c>
      <c r="CA103" s="1623">
        <v>0.2</v>
      </c>
      <c r="CB103" s="1625"/>
      <c r="CC103" s="1623"/>
      <c r="CD103" s="1623"/>
    </row>
    <row r="104" spans="1:83">
      <c r="B104" s="1597" t="str">
        <f t="shared" si="74"/>
        <v>3.3.2</v>
      </c>
      <c r="C104" s="1614" t="str">
        <f t="shared" si="53"/>
        <v>給排水管の更新性</v>
      </c>
      <c r="D104" s="1721">
        <f t="shared" si="81"/>
        <v>0.2</v>
      </c>
      <c r="E104" s="1691">
        <f t="shared" si="81"/>
        <v>0</v>
      </c>
      <c r="G104" s="1691">
        <f t="shared" si="54"/>
        <v>0.2</v>
      </c>
      <c r="H104" s="1691">
        <f t="shared" si="55"/>
        <v>0</v>
      </c>
      <c r="I104" s="1691"/>
      <c r="J104" s="1691"/>
      <c r="K104" s="1691">
        <f>IF(スコア表示!W104=0,0,1)</f>
        <v>1</v>
      </c>
      <c r="L104" s="1691">
        <f>IF(スコア表示!AA104=0,0,1)</f>
        <v>0</v>
      </c>
      <c r="M104" s="1691">
        <f t="shared" si="56"/>
        <v>0.2</v>
      </c>
      <c r="N104" s="1691">
        <f t="shared" si="80"/>
        <v>0</v>
      </c>
      <c r="P104" s="1647" t="str">
        <f t="shared" si="76"/>
        <v>3.3.2</v>
      </c>
      <c r="Q104" s="1647" t="str">
        <f t="shared" si="77"/>
        <v xml:space="preserve"> Q2 3.3</v>
      </c>
      <c r="R104" s="1737" t="str">
        <f t="shared" si="60"/>
        <v>給排水管の更新性</v>
      </c>
      <c r="S104" s="1618">
        <f t="shared" si="61"/>
        <v>0.2</v>
      </c>
      <c r="T104" s="1618">
        <f t="shared" si="62"/>
        <v>0.2</v>
      </c>
      <c r="U104" s="1618">
        <f t="shared" si="63"/>
        <v>0.2</v>
      </c>
      <c r="V104" s="1618">
        <f t="shared" si="64"/>
        <v>0.2</v>
      </c>
      <c r="W104" s="1618">
        <f t="shared" si="65"/>
        <v>0.2</v>
      </c>
      <c r="X104" s="1618">
        <f t="shared" si="66"/>
        <v>0.2</v>
      </c>
      <c r="Y104" s="1618">
        <f t="shared" si="67"/>
        <v>0.2</v>
      </c>
      <c r="Z104" s="1626">
        <f t="shared" si="68"/>
        <v>0.2</v>
      </c>
      <c r="AA104" s="1618">
        <f t="shared" si="69"/>
        <v>0.2</v>
      </c>
      <c r="AB104" s="1618">
        <f t="shared" si="70"/>
        <v>0.2</v>
      </c>
      <c r="AC104" s="1619">
        <f t="shared" si="71"/>
        <v>0</v>
      </c>
      <c r="AD104" s="1618">
        <f t="shared" si="72"/>
        <v>0</v>
      </c>
      <c r="AE104" s="1618">
        <f t="shared" si="73"/>
        <v>0</v>
      </c>
      <c r="AG104" s="1647" t="s">
        <v>1541</v>
      </c>
      <c r="AH104" s="1693" t="s">
        <v>360</v>
      </c>
      <c r="AI104" s="2064" t="s">
        <v>362</v>
      </c>
      <c r="AJ104" s="1618">
        <v>0.2</v>
      </c>
      <c r="AK104" s="1618">
        <v>0.2</v>
      </c>
      <c r="AL104" s="1618">
        <v>0.2</v>
      </c>
      <c r="AM104" s="1618">
        <v>0.2</v>
      </c>
      <c r="AN104" s="1618">
        <v>0.2</v>
      </c>
      <c r="AO104" s="1618">
        <v>0.2</v>
      </c>
      <c r="AP104" s="1618">
        <v>0.2</v>
      </c>
      <c r="AQ104" s="1626">
        <v>0.2</v>
      </c>
      <c r="AR104" s="1618">
        <v>0.2</v>
      </c>
      <c r="AS104" s="1623">
        <v>0.2</v>
      </c>
      <c r="AT104" s="1625"/>
      <c r="AU104" s="1623"/>
      <c r="AV104" s="1623"/>
      <c r="AX104" s="1647" t="s">
        <v>1542</v>
      </c>
      <c r="AY104" s="1693" t="s">
        <v>360</v>
      </c>
      <c r="AZ104" s="2064" t="s">
        <v>362</v>
      </c>
      <c r="BA104" s="1623">
        <v>0.2</v>
      </c>
      <c r="BB104" s="1623">
        <v>0.2</v>
      </c>
      <c r="BC104" s="1623">
        <v>0.2</v>
      </c>
      <c r="BD104" s="1623">
        <v>0.2</v>
      </c>
      <c r="BE104" s="1623">
        <v>0.2</v>
      </c>
      <c r="BF104" s="1623">
        <v>0.2</v>
      </c>
      <c r="BG104" s="1623">
        <v>0.2</v>
      </c>
      <c r="BH104" s="1624">
        <v>0.2</v>
      </c>
      <c r="BI104" s="1623">
        <v>0.2</v>
      </c>
      <c r="BJ104" s="1623">
        <v>0.2</v>
      </c>
      <c r="BK104" s="1625"/>
      <c r="BL104" s="1623"/>
      <c r="BM104" s="1623"/>
      <c r="BO104" s="1647" t="s">
        <v>1542</v>
      </c>
      <c r="BP104" s="1693" t="s">
        <v>360</v>
      </c>
      <c r="BQ104" s="2064" t="s">
        <v>362</v>
      </c>
      <c r="BR104" s="1623">
        <v>0.2</v>
      </c>
      <c r="BS104" s="1623">
        <v>0.2</v>
      </c>
      <c r="BT104" s="1623">
        <v>0.2</v>
      </c>
      <c r="BU104" s="1623">
        <v>0.2</v>
      </c>
      <c r="BV104" s="1623">
        <v>0.2</v>
      </c>
      <c r="BW104" s="1623">
        <v>0.2</v>
      </c>
      <c r="BX104" s="1623">
        <v>0.2</v>
      </c>
      <c r="BY104" s="1624">
        <v>0.2</v>
      </c>
      <c r="BZ104" s="1623">
        <v>0.2</v>
      </c>
      <c r="CA104" s="1623">
        <v>0.2</v>
      </c>
      <c r="CB104" s="1625"/>
      <c r="CC104" s="1623"/>
      <c r="CD104" s="1623"/>
    </row>
    <row r="105" spans="1:83">
      <c r="B105" s="1597" t="str">
        <f t="shared" si="74"/>
        <v>3.3.3</v>
      </c>
      <c r="C105" s="1614" t="str">
        <f t="shared" ref="C105:C140" si="82">R105</f>
        <v>電気配線の更新性</v>
      </c>
      <c r="D105" s="1721">
        <f t="shared" si="81"/>
        <v>0.1</v>
      </c>
      <c r="E105" s="1691">
        <f t="shared" si="81"/>
        <v>0</v>
      </c>
      <c r="G105" s="1691">
        <f t="shared" ref="G105:G136" si="83">K105*M105</f>
        <v>0.1</v>
      </c>
      <c r="H105" s="1691">
        <f t="shared" ref="H105:H136" si="84">L105*N105</f>
        <v>0</v>
      </c>
      <c r="I105" s="1691"/>
      <c r="J105" s="1691"/>
      <c r="K105" s="1691">
        <f>IF(スコア表示!W105=0,0,1)</f>
        <v>1</v>
      </c>
      <c r="L105" s="1691">
        <f>IF(スコア表示!AA105=0,0,1)</f>
        <v>0</v>
      </c>
      <c r="M105" s="1691">
        <f t="shared" ref="M105:M140" si="85">SUMPRODUCT($S$7:$AB$7,S105:AB105)</f>
        <v>0.1</v>
      </c>
      <c r="N105" s="1691">
        <f t="shared" si="80"/>
        <v>0</v>
      </c>
      <c r="P105" s="1647" t="str">
        <f t="shared" si="76"/>
        <v>3.3.3</v>
      </c>
      <c r="Q105" s="1647" t="str">
        <f t="shared" si="77"/>
        <v xml:space="preserve"> Q2 3.3</v>
      </c>
      <c r="R105" s="1737" t="str">
        <f t="shared" ref="R105:R140" si="86">AI105</f>
        <v>電気配線の更新性</v>
      </c>
      <c r="S105" s="1618">
        <f t="shared" ref="S105:S119" si="87">IF($P$3=1,BA105,IF($P$3=2,BR105,AJ105))</f>
        <v>0.1</v>
      </c>
      <c r="T105" s="1618">
        <f t="shared" ref="T105:T119" si="88">IF($P$3=1,BB105,IF($P$3=2,BS105,AK105))</f>
        <v>0.1</v>
      </c>
      <c r="U105" s="1618">
        <f t="shared" ref="U105:U119" si="89">IF($P$3=1,BC105,IF($P$3=2,BT105,AL105))</f>
        <v>0.1</v>
      </c>
      <c r="V105" s="1618">
        <f t="shared" ref="V105:V119" si="90">IF($P$3=1,BD105,IF($P$3=2,BU105,AM105))</f>
        <v>0.1</v>
      </c>
      <c r="W105" s="1618">
        <f t="shared" ref="W105:W119" si="91">IF($P$3=1,BE105,IF($P$3=2,BV105,AN105))</f>
        <v>0.1</v>
      </c>
      <c r="X105" s="1618">
        <f t="shared" ref="X105:X119" si="92">IF($P$3=1,BF105,IF($P$3=2,BW105,AO105))</f>
        <v>0.1</v>
      </c>
      <c r="Y105" s="1618">
        <f t="shared" ref="Y105:Y119" si="93">IF($P$3=1,BG105,IF($P$3=2,BX105,AP105))</f>
        <v>0.1</v>
      </c>
      <c r="Z105" s="1626">
        <f t="shared" ref="Z105:Z119" si="94">IF($P$3=1,BH105,IF($P$3=2,BY105,AQ105))</f>
        <v>0.1</v>
      </c>
      <c r="AA105" s="1618">
        <f t="shared" ref="AA105:AA119" si="95">IF($P$3=1,BI105,IF($P$3=2,BZ105,AR105))</f>
        <v>0.1</v>
      </c>
      <c r="AB105" s="1618">
        <f t="shared" ref="AB105:AB119" si="96">IF($P$3=1,BJ105,IF($P$3=2,CA105,AS105))</f>
        <v>0.1</v>
      </c>
      <c r="AC105" s="1619">
        <f t="shared" ref="AC105:AC119" si="97">IF($P$3=1,BK105,IF($P$3=2,CB105,AT105))</f>
        <v>0</v>
      </c>
      <c r="AD105" s="1618">
        <f t="shared" ref="AD105:AD119" si="98">IF($P$3=1,BL105,IF($P$3=2,CC105,AU105))</f>
        <v>0</v>
      </c>
      <c r="AE105" s="1618">
        <f t="shared" ref="AE105:AE119" si="99">IF($P$3=1,BM105,IF($P$3=2,CD105,AV105))</f>
        <v>0</v>
      </c>
      <c r="AG105" s="1647" t="s">
        <v>1543</v>
      </c>
      <c r="AH105" s="1693" t="s">
        <v>360</v>
      </c>
      <c r="AI105" s="2064" t="s">
        <v>363</v>
      </c>
      <c r="AJ105" s="1618">
        <v>0.1</v>
      </c>
      <c r="AK105" s="1618">
        <v>0.1</v>
      </c>
      <c r="AL105" s="1618">
        <v>0.1</v>
      </c>
      <c r="AM105" s="1618">
        <v>0.1</v>
      </c>
      <c r="AN105" s="1618">
        <v>0.1</v>
      </c>
      <c r="AO105" s="1618">
        <v>0.1</v>
      </c>
      <c r="AP105" s="1618">
        <v>0.1</v>
      </c>
      <c r="AQ105" s="1626">
        <v>0.1</v>
      </c>
      <c r="AR105" s="1618">
        <v>0.1</v>
      </c>
      <c r="AS105" s="1623">
        <v>0.1</v>
      </c>
      <c r="AT105" s="1625"/>
      <c r="AU105" s="1623"/>
      <c r="AV105" s="1623"/>
      <c r="AX105" s="1647" t="s">
        <v>1544</v>
      </c>
      <c r="AY105" s="1693" t="s">
        <v>360</v>
      </c>
      <c r="AZ105" s="2064" t="s">
        <v>363</v>
      </c>
      <c r="BA105" s="1623">
        <v>0.1</v>
      </c>
      <c r="BB105" s="1623">
        <v>0.1</v>
      </c>
      <c r="BC105" s="1623">
        <v>0.1</v>
      </c>
      <c r="BD105" s="1623">
        <v>0.1</v>
      </c>
      <c r="BE105" s="1623">
        <v>0.1</v>
      </c>
      <c r="BF105" s="1623">
        <v>0.1</v>
      </c>
      <c r="BG105" s="1623">
        <v>0.1</v>
      </c>
      <c r="BH105" s="1624">
        <v>0.1</v>
      </c>
      <c r="BI105" s="1623">
        <v>0.1</v>
      </c>
      <c r="BJ105" s="1623">
        <v>0.1</v>
      </c>
      <c r="BK105" s="1625"/>
      <c r="BL105" s="1623"/>
      <c r="BM105" s="1623"/>
      <c r="BO105" s="1647" t="s">
        <v>1544</v>
      </c>
      <c r="BP105" s="1693" t="s">
        <v>360</v>
      </c>
      <c r="BQ105" s="2064" t="s">
        <v>363</v>
      </c>
      <c r="BR105" s="1623">
        <v>0.1</v>
      </c>
      <c r="BS105" s="1623">
        <v>0.1</v>
      </c>
      <c r="BT105" s="1623">
        <v>0.1</v>
      </c>
      <c r="BU105" s="1623">
        <v>0.1</v>
      </c>
      <c r="BV105" s="1623">
        <v>0.1</v>
      </c>
      <c r="BW105" s="1623">
        <v>0.1</v>
      </c>
      <c r="BX105" s="1623">
        <v>0.1</v>
      </c>
      <c r="BY105" s="1624">
        <v>0.1</v>
      </c>
      <c r="BZ105" s="1623">
        <v>0.1</v>
      </c>
      <c r="CA105" s="1623">
        <v>0.1</v>
      </c>
      <c r="CB105" s="1625"/>
      <c r="CC105" s="1623"/>
      <c r="CD105" s="1623"/>
    </row>
    <row r="106" spans="1:83">
      <c r="B106" s="1597" t="str">
        <f t="shared" si="74"/>
        <v>3.3.4</v>
      </c>
      <c r="C106" s="1614" t="str">
        <f t="shared" si="82"/>
        <v>通信配線の更新性</v>
      </c>
      <c r="D106" s="1721">
        <f t="shared" si="81"/>
        <v>0.1</v>
      </c>
      <c r="E106" s="1691">
        <f t="shared" si="81"/>
        <v>0</v>
      </c>
      <c r="G106" s="1691">
        <f t="shared" si="83"/>
        <v>0.1</v>
      </c>
      <c r="H106" s="1691">
        <f t="shared" si="84"/>
        <v>0</v>
      </c>
      <c r="I106" s="1691"/>
      <c r="J106" s="1691"/>
      <c r="K106" s="1691">
        <f>IF(スコア表示!W106=0,0,1)</f>
        <v>1</v>
      </c>
      <c r="L106" s="1691">
        <f>IF(スコア表示!AA106=0,0,1)</f>
        <v>0</v>
      </c>
      <c r="M106" s="1691">
        <f t="shared" si="85"/>
        <v>0.1</v>
      </c>
      <c r="N106" s="1691">
        <f t="shared" si="80"/>
        <v>0</v>
      </c>
      <c r="P106" s="1647" t="str">
        <f t="shared" si="76"/>
        <v>3.3.4</v>
      </c>
      <c r="Q106" s="1647" t="str">
        <f t="shared" si="77"/>
        <v xml:space="preserve"> Q2 3.3</v>
      </c>
      <c r="R106" s="1737" t="str">
        <f t="shared" si="86"/>
        <v>通信配線の更新性</v>
      </c>
      <c r="S106" s="1618">
        <f t="shared" si="87"/>
        <v>0.1</v>
      </c>
      <c r="T106" s="1618">
        <f t="shared" si="88"/>
        <v>0.1</v>
      </c>
      <c r="U106" s="1618">
        <f t="shared" si="89"/>
        <v>0.1</v>
      </c>
      <c r="V106" s="1618">
        <f t="shared" si="90"/>
        <v>0.1</v>
      </c>
      <c r="W106" s="1618">
        <f t="shared" si="91"/>
        <v>0.1</v>
      </c>
      <c r="X106" s="1618">
        <f t="shared" si="92"/>
        <v>0.1</v>
      </c>
      <c r="Y106" s="1618">
        <f t="shared" si="93"/>
        <v>0.1</v>
      </c>
      <c r="Z106" s="1626">
        <f t="shared" si="94"/>
        <v>0.1</v>
      </c>
      <c r="AA106" s="1618">
        <f t="shared" si="95"/>
        <v>0.1</v>
      </c>
      <c r="AB106" s="1618">
        <f t="shared" si="96"/>
        <v>0.1</v>
      </c>
      <c r="AC106" s="1619">
        <f t="shared" si="97"/>
        <v>0</v>
      </c>
      <c r="AD106" s="1618">
        <f t="shared" si="98"/>
        <v>0</v>
      </c>
      <c r="AE106" s="1618">
        <f t="shared" si="99"/>
        <v>0</v>
      </c>
      <c r="AG106" s="1647" t="s">
        <v>1711</v>
      </c>
      <c r="AH106" s="1693" t="s">
        <v>360</v>
      </c>
      <c r="AI106" s="2064" t="s">
        <v>364</v>
      </c>
      <c r="AJ106" s="1618">
        <v>0.1</v>
      </c>
      <c r="AK106" s="1618">
        <v>0.1</v>
      </c>
      <c r="AL106" s="1618">
        <v>0.1</v>
      </c>
      <c r="AM106" s="1618">
        <v>0.1</v>
      </c>
      <c r="AN106" s="1618">
        <v>0.1</v>
      </c>
      <c r="AO106" s="1618">
        <v>0.1</v>
      </c>
      <c r="AP106" s="1618">
        <v>0.1</v>
      </c>
      <c r="AQ106" s="1626">
        <v>0.1</v>
      </c>
      <c r="AR106" s="1618">
        <v>0.1</v>
      </c>
      <c r="AS106" s="1623">
        <v>0.1</v>
      </c>
      <c r="AT106" s="1625"/>
      <c r="AU106" s="1623"/>
      <c r="AV106" s="1623"/>
      <c r="AX106" s="1647" t="s">
        <v>1545</v>
      </c>
      <c r="AY106" s="1693" t="s">
        <v>360</v>
      </c>
      <c r="AZ106" s="2064" t="s">
        <v>364</v>
      </c>
      <c r="BA106" s="1623">
        <v>0.1</v>
      </c>
      <c r="BB106" s="1623">
        <v>0.1</v>
      </c>
      <c r="BC106" s="1623">
        <v>0.1</v>
      </c>
      <c r="BD106" s="1623">
        <v>0.1</v>
      </c>
      <c r="BE106" s="1623">
        <v>0.1</v>
      </c>
      <c r="BF106" s="1623">
        <v>0.1</v>
      </c>
      <c r="BG106" s="1623">
        <v>0.1</v>
      </c>
      <c r="BH106" s="1624">
        <v>0.1</v>
      </c>
      <c r="BI106" s="1623">
        <v>0.1</v>
      </c>
      <c r="BJ106" s="1623">
        <v>0.1</v>
      </c>
      <c r="BK106" s="1625"/>
      <c r="BL106" s="1623"/>
      <c r="BM106" s="1623"/>
      <c r="BO106" s="1647" t="s">
        <v>1545</v>
      </c>
      <c r="BP106" s="1693" t="s">
        <v>360</v>
      </c>
      <c r="BQ106" s="2064" t="s">
        <v>364</v>
      </c>
      <c r="BR106" s="1623">
        <v>0.1</v>
      </c>
      <c r="BS106" s="1623">
        <v>0.1</v>
      </c>
      <c r="BT106" s="1623">
        <v>0.1</v>
      </c>
      <c r="BU106" s="1623">
        <v>0.1</v>
      </c>
      <c r="BV106" s="1623">
        <v>0.1</v>
      </c>
      <c r="BW106" s="1623">
        <v>0.1</v>
      </c>
      <c r="BX106" s="1623">
        <v>0.1</v>
      </c>
      <c r="BY106" s="1624">
        <v>0.1</v>
      </c>
      <c r="BZ106" s="1623">
        <v>0.1</v>
      </c>
      <c r="CA106" s="1623">
        <v>0.1</v>
      </c>
      <c r="CB106" s="1625"/>
      <c r="CC106" s="1623"/>
      <c r="CD106" s="1623"/>
    </row>
    <row r="107" spans="1:83">
      <c r="B107" s="1597" t="str">
        <f t="shared" ref="B107:B142" si="100">P107</f>
        <v>3.3.5</v>
      </c>
      <c r="C107" s="1614" t="str">
        <f t="shared" si="82"/>
        <v>設備機器の更新性</v>
      </c>
      <c r="D107" s="1721">
        <f t="shared" si="81"/>
        <v>0.2</v>
      </c>
      <c r="E107" s="1691">
        <f t="shared" si="81"/>
        <v>0</v>
      </c>
      <c r="G107" s="1691">
        <f t="shared" si="83"/>
        <v>0.2</v>
      </c>
      <c r="H107" s="1691">
        <f t="shared" si="84"/>
        <v>0</v>
      </c>
      <c r="I107" s="1691"/>
      <c r="J107" s="1691"/>
      <c r="K107" s="1691">
        <f>IF(スコア表示!W107=0,0,1)</f>
        <v>1</v>
      </c>
      <c r="L107" s="1691">
        <f>IF(スコア表示!AA107=0,0,1)</f>
        <v>0</v>
      </c>
      <c r="M107" s="1691">
        <f t="shared" si="85"/>
        <v>0.2</v>
      </c>
      <c r="N107" s="1691">
        <f t="shared" si="80"/>
        <v>0</v>
      </c>
      <c r="P107" s="1647" t="str">
        <f t="shared" si="76"/>
        <v>3.3.5</v>
      </c>
      <c r="Q107" s="1647" t="str">
        <f t="shared" si="77"/>
        <v xml:space="preserve"> Q2 3.3</v>
      </c>
      <c r="R107" s="1737" t="str">
        <f t="shared" si="86"/>
        <v>設備機器の更新性</v>
      </c>
      <c r="S107" s="1618">
        <f t="shared" si="87"/>
        <v>0.2</v>
      </c>
      <c r="T107" s="1618">
        <f t="shared" si="88"/>
        <v>0.2</v>
      </c>
      <c r="U107" s="1618">
        <f t="shared" si="89"/>
        <v>0.2</v>
      </c>
      <c r="V107" s="1618">
        <f t="shared" si="90"/>
        <v>0.2</v>
      </c>
      <c r="W107" s="1618">
        <f t="shared" si="91"/>
        <v>0.2</v>
      </c>
      <c r="X107" s="1618">
        <f t="shared" si="92"/>
        <v>0.2</v>
      </c>
      <c r="Y107" s="1618">
        <f t="shared" si="93"/>
        <v>0.2</v>
      </c>
      <c r="Z107" s="1626">
        <f t="shared" si="94"/>
        <v>0.2</v>
      </c>
      <c r="AA107" s="1618">
        <f t="shared" si="95"/>
        <v>0.2</v>
      </c>
      <c r="AB107" s="1618">
        <f t="shared" si="96"/>
        <v>0.2</v>
      </c>
      <c r="AC107" s="1619">
        <f t="shared" si="97"/>
        <v>0</v>
      </c>
      <c r="AD107" s="1618">
        <f t="shared" si="98"/>
        <v>0</v>
      </c>
      <c r="AE107" s="1618">
        <f t="shared" si="99"/>
        <v>0</v>
      </c>
      <c r="AG107" s="1647" t="s">
        <v>1546</v>
      </c>
      <c r="AH107" s="1693" t="s">
        <v>360</v>
      </c>
      <c r="AI107" s="2064" t="s">
        <v>365</v>
      </c>
      <c r="AJ107" s="1618">
        <v>0.2</v>
      </c>
      <c r="AK107" s="1618">
        <v>0.2</v>
      </c>
      <c r="AL107" s="1618">
        <v>0.2</v>
      </c>
      <c r="AM107" s="1618">
        <v>0.2</v>
      </c>
      <c r="AN107" s="1618">
        <v>0.2</v>
      </c>
      <c r="AO107" s="1618">
        <v>0.2</v>
      </c>
      <c r="AP107" s="1618">
        <v>0.2</v>
      </c>
      <c r="AQ107" s="1626">
        <v>0.2</v>
      </c>
      <c r="AR107" s="1618">
        <v>0.2</v>
      </c>
      <c r="AS107" s="1623">
        <v>0.2</v>
      </c>
      <c r="AT107" s="1625"/>
      <c r="AU107" s="1623"/>
      <c r="AV107" s="1623"/>
      <c r="AX107" s="1647" t="s">
        <v>1547</v>
      </c>
      <c r="AY107" s="1693" t="s">
        <v>360</v>
      </c>
      <c r="AZ107" s="2064" t="s">
        <v>365</v>
      </c>
      <c r="BA107" s="1623">
        <v>0.2</v>
      </c>
      <c r="BB107" s="1623">
        <v>0.2</v>
      </c>
      <c r="BC107" s="1623">
        <v>0.2</v>
      </c>
      <c r="BD107" s="1623">
        <v>0.2</v>
      </c>
      <c r="BE107" s="1623">
        <v>0.2</v>
      </c>
      <c r="BF107" s="1623">
        <v>0.2</v>
      </c>
      <c r="BG107" s="1623">
        <v>0.2</v>
      </c>
      <c r="BH107" s="1624">
        <v>0.2</v>
      </c>
      <c r="BI107" s="1623">
        <v>0.2</v>
      </c>
      <c r="BJ107" s="1623">
        <v>0.2</v>
      </c>
      <c r="BK107" s="1625"/>
      <c r="BL107" s="1623"/>
      <c r="BM107" s="1623"/>
      <c r="BO107" s="1647" t="s">
        <v>1547</v>
      </c>
      <c r="BP107" s="1693" t="s">
        <v>360</v>
      </c>
      <c r="BQ107" s="2064" t="s">
        <v>365</v>
      </c>
      <c r="BR107" s="1623">
        <v>0.2</v>
      </c>
      <c r="BS107" s="1623">
        <v>0.2</v>
      </c>
      <c r="BT107" s="1623">
        <v>0.2</v>
      </c>
      <c r="BU107" s="1623">
        <v>0.2</v>
      </c>
      <c r="BV107" s="1623">
        <v>0.2</v>
      </c>
      <c r="BW107" s="1623">
        <v>0.2</v>
      </c>
      <c r="BX107" s="1623">
        <v>0.2</v>
      </c>
      <c r="BY107" s="1624">
        <v>0.2</v>
      </c>
      <c r="BZ107" s="1623">
        <v>0.2</v>
      </c>
      <c r="CA107" s="1623">
        <v>0.2</v>
      </c>
      <c r="CB107" s="1625"/>
      <c r="CC107" s="1623"/>
      <c r="CD107" s="1623"/>
    </row>
    <row r="108" spans="1:83">
      <c r="B108" s="1597" t="str">
        <f t="shared" si="100"/>
        <v>3.3.6</v>
      </c>
      <c r="C108" s="1614" t="str">
        <f t="shared" si="82"/>
        <v>バックアップスペースの確保</v>
      </c>
      <c r="D108" s="1721">
        <f t="shared" si="81"/>
        <v>0.2</v>
      </c>
      <c r="E108" s="1691">
        <f t="shared" si="81"/>
        <v>0</v>
      </c>
      <c r="G108" s="1691">
        <f t="shared" si="83"/>
        <v>0.2</v>
      </c>
      <c r="H108" s="1691">
        <f t="shared" si="84"/>
        <v>0</v>
      </c>
      <c r="I108" s="1691"/>
      <c r="J108" s="1691"/>
      <c r="K108" s="1691">
        <f>IF(スコア表示!W108=0,0,1)</f>
        <v>1</v>
      </c>
      <c r="L108" s="1691">
        <f>IF(スコア表示!AA108=0,0,1)</f>
        <v>0</v>
      </c>
      <c r="M108" s="1691">
        <f t="shared" si="85"/>
        <v>0.2</v>
      </c>
      <c r="N108" s="1691">
        <f t="shared" si="80"/>
        <v>0</v>
      </c>
      <c r="P108" s="1647" t="str">
        <f t="shared" si="76"/>
        <v>3.3.6</v>
      </c>
      <c r="Q108" s="1647" t="str">
        <f t="shared" si="77"/>
        <v xml:space="preserve"> Q2 3.3</v>
      </c>
      <c r="R108" s="1737" t="str">
        <f t="shared" si="86"/>
        <v>バックアップスペースの確保</v>
      </c>
      <c r="S108" s="1618">
        <f t="shared" si="87"/>
        <v>0.2</v>
      </c>
      <c r="T108" s="1618">
        <f t="shared" si="88"/>
        <v>0.2</v>
      </c>
      <c r="U108" s="1618">
        <f t="shared" si="89"/>
        <v>0.2</v>
      </c>
      <c r="V108" s="1618">
        <f t="shared" si="90"/>
        <v>0.2</v>
      </c>
      <c r="W108" s="1618">
        <f t="shared" si="91"/>
        <v>0.2</v>
      </c>
      <c r="X108" s="1618">
        <f t="shared" si="92"/>
        <v>0.2</v>
      </c>
      <c r="Y108" s="1618">
        <f t="shared" si="93"/>
        <v>0.2</v>
      </c>
      <c r="Z108" s="1626">
        <f t="shared" si="94"/>
        <v>0.2</v>
      </c>
      <c r="AA108" s="1618">
        <f t="shared" si="95"/>
        <v>0.2</v>
      </c>
      <c r="AB108" s="1618">
        <f t="shared" si="96"/>
        <v>0.2</v>
      </c>
      <c r="AC108" s="1619">
        <f t="shared" si="97"/>
        <v>0</v>
      </c>
      <c r="AD108" s="1618">
        <f t="shared" si="98"/>
        <v>0</v>
      </c>
      <c r="AE108" s="1618">
        <f t="shared" si="99"/>
        <v>0</v>
      </c>
      <c r="AG108" s="1647" t="s">
        <v>1712</v>
      </c>
      <c r="AH108" s="1693" t="s">
        <v>360</v>
      </c>
      <c r="AI108" s="2064" t="s">
        <v>770</v>
      </c>
      <c r="AJ108" s="1618">
        <v>0.2</v>
      </c>
      <c r="AK108" s="1618">
        <v>0.2</v>
      </c>
      <c r="AL108" s="1618">
        <v>0.2</v>
      </c>
      <c r="AM108" s="1618">
        <v>0.2</v>
      </c>
      <c r="AN108" s="1618">
        <v>0.2</v>
      </c>
      <c r="AO108" s="1618">
        <v>0.2</v>
      </c>
      <c r="AP108" s="1618">
        <v>0.2</v>
      </c>
      <c r="AQ108" s="1626">
        <v>0.2</v>
      </c>
      <c r="AR108" s="1618">
        <v>0.2</v>
      </c>
      <c r="AS108" s="1623">
        <v>0.2</v>
      </c>
      <c r="AT108" s="1625"/>
      <c r="AU108" s="1623"/>
      <c r="AV108" s="1623"/>
      <c r="AX108" s="1647" t="s">
        <v>1548</v>
      </c>
      <c r="AY108" s="1693" t="s">
        <v>360</v>
      </c>
      <c r="AZ108" s="2064" t="s">
        <v>770</v>
      </c>
      <c r="BA108" s="1623">
        <v>0.2</v>
      </c>
      <c r="BB108" s="1623">
        <v>0.2</v>
      </c>
      <c r="BC108" s="1623">
        <v>0.2</v>
      </c>
      <c r="BD108" s="1623">
        <v>0.2</v>
      </c>
      <c r="BE108" s="1623">
        <v>0.2</v>
      </c>
      <c r="BF108" s="1623">
        <v>0.2</v>
      </c>
      <c r="BG108" s="1623">
        <v>0.2</v>
      </c>
      <c r="BH108" s="1624">
        <v>0.2</v>
      </c>
      <c r="BI108" s="1623">
        <v>0.2</v>
      </c>
      <c r="BJ108" s="1623">
        <v>0.2</v>
      </c>
      <c r="BK108" s="1625"/>
      <c r="BL108" s="1623"/>
      <c r="BM108" s="1623"/>
      <c r="BO108" s="1647" t="s">
        <v>1548</v>
      </c>
      <c r="BP108" s="1693" t="s">
        <v>360</v>
      </c>
      <c r="BQ108" s="2064" t="s">
        <v>770</v>
      </c>
      <c r="BR108" s="1623">
        <v>0.2</v>
      </c>
      <c r="BS108" s="1623">
        <v>0.2</v>
      </c>
      <c r="BT108" s="1623">
        <v>0.2</v>
      </c>
      <c r="BU108" s="1623">
        <v>0.2</v>
      </c>
      <c r="BV108" s="1623">
        <v>0.2</v>
      </c>
      <c r="BW108" s="1623">
        <v>0.2</v>
      </c>
      <c r="BX108" s="1623">
        <v>0.2</v>
      </c>
      <c r="BY108" s="1624">
        <v>0.2</v>
      </c>
      <c r="BZ108" s="1623">
        <v>0.2</v>
      </c>
      <c r="CA108" s="1623">
        <v>0.2</v>
      </c>
      <c r="CB108" s="1625"/>
      <c r="CC108" s="1623"/>
      <c r="CD108" s="1623"/>
    </row>
    <row r="109" spans="1:83" s="1605" customFormat="1">
      <c r="A109"/>
      <c r="B109" s="1597" t="str">
        <f t="shared" si="100"/>
        <v>Q3</v>
      </c>
      <c r="C109" s="1597" t="str">
        <f t="shared" si="82"/>
        <v>室外環境（敷地内）</v>
      </c>
      <c r="D109" s="2056">
        <f>IF(I$8=0,0,G109/I$8)</f>
        <v>0.3</v>
      </c>
      <c r="E109" s="2057">
        <f>IF(J$8=0,0,H109/J$8)</f>
        <v>0</v>
      </c>
      <c r="F109"/>
      <c r="G109" s="2057">
        <f t="shared" si="83"/>
        <v>0.3</v>
      </c>
      <c r="H109" s="2057">
        <f t="shared" si="84"/>
        <v>0</v>
      </c>
      <c r="I109" s="2057">
        <f>G110+G111+G112</f>
        <v>1</v>
      </c>
      <c r="J109" s="2057">
        <f>H110+H111+H112</f>
        <v>0</v>
      </c>
      <c r="K109" s="2057">
        <f>IF(スコア表示!W109=0,0,1)</f>
        <v>1</v>
      </c>
      <c r="L109" s="2057">
        <f>IF(スコア表示!AA109=0,0,1)</f>
        <v>0</v>
      </c>
      <c r="M109" s="2057">
        <f t="shared" si="85"/>
        <v>0.3</v>
      </c>
      <c r="N109" s="2057">
        <f t="shared" si="80"/>
        <v>0</v>
      </c>
      <c r="O109"/>
      <c r="P109" s="1597" t="str">
        <f t="shared" si="76"/>
        <v>Q3</v>
      </c>
      <c r="Q109" s="1597" t="str">
        <f t="shared" si="77"/>
        <v xml:space="preserve"> Q</v>
      </c>
      <c r="R109" s="2058" t="str">
        <f t="shared" si="86"/>
        <v>室外環境（敷地内）</v>
      </c>
      <c r="S109" s="1603">
        <f t="shared" si="87"/>
        <v>0.3</v>
      </c>
      <c r="T109" s="1603">
        <f t="shared" si="88"/>
        <v>0.3</v>
      </c>
      <c r="U109" s="1603">
        <f t="shared" si="89"/>
        <v>0.3</v>
      </c>
      <c r="V109" s="1603">
        <f t="shared" si="90"/>
        <v>0.3</v>
      </c>
      <c r="W109" s="1603">
        <f t="shared" si="91"/>
        <v>0.3</v>
      </c>
      <c r="X109" s="1603">
        <f t="shared" si="92"/>
        <v>0.3</v>
      </c>
      <c r="Y109" s="1603">
        <f t="shared" si="93"/>
        <v>0.3</v>
      </c>
      <c r="Z109" s="1603">
        <f t="shared" si="94"/>
        <v>0.3</v>
      </c>
      <c r="AA109" s="1603">
        <f t="shared" si="95"/>
        <v>0.4</v>
      </c>
      <c r="AB109" s="1603">
        <f t="shared" si="96"/>
        <v>0.3</v>
      </c>
      <c r="AC109" s="1658">
        <f t="shared" si="97"/>
        <v>0</v>
      </c>
      <c r="AD109" s="1603">
        <f t="shared" si="98"/>
        <v>0</v>
      </c>
      <c r="AE109" s="1603">
        <f t="shared" si="99"/>
        <v>0</v>
      </c>
      <c r="AF109"/>
      <c r="AG109" s="1597" t="s">
        <v>1549</v>
      </c>
      <c r="AH109" s="2059" t="s">
        <v>276</v>
      </c>
      <c r="AI109" s="2058" t="s">
        <v>1551</v>
      </c>
      <c r="AJ109" s="1603">
        <v>0.3</v>
      </c>
      <c r="AK109" s="1603">
        <v>0.3</v>
      </c>
      <c r="AL109" s="1603">
        <v>0.3</v>
      </c>
      <c r="AM109" s="1603">
        <v>0.3</v>
      </c>
      <c r="AN109" s="1603">
        <v>0.3</v>
      </c>
      <c r="AO109" s="1603">
        <v>0.3</v>
      </c>
      <c r="AP109" s="1603">
        <v>0.3</v>
      </c>
      <c r="AQ109" s="1603">
        <v>0.3</v>
      </c>
      <c r="AR109" s="1603">
        <v>0.4</v>
      </c>
      <c r="AS109" s="2060">
        <v>0.3</v>
      </c>
      <c r="AT109" s="2061">
        <v>0</v>
      </c>
      <c r="AU109" s="2060">
        <v>0</v>
      </c>
      <c r="AV109" s="2060">
        <v>0</v>
      </c>
      <c r="AW109"/>
      <c r="AX109" s="1597" t="s">
        <v>1550</v>
      </c>
      <c r="AY109" s="2059" t="s">
        <v>276</v>
      </c>
      <c r="AZ109" s="2058" t="s">
        <v>1552</v>
      </c>
      <c r="BA109" s="2060">
        <v>0.3</v>
      </c>
      <c r="BB109" s="2060">
        <v>0.3</v>
      </c>
      <c r="BC109" s="2060">
        <v>0.3</v>
      </c>
      <c r="BD109" s="2060">
        <v>0.3</v>
      </c>
      <c r="BE109" s="2060">
        <v>0.3</v>
      </c>
      <c r="BF109" s="2060">
        <v>0.3</v>
      </c>
      <c r="BG109" s="2060">
        <v>0.3</v>
      </c>
      <c r="BH109" s="2060">
        <v>0.3</v>
      </c>
      <c r="BI109" s="2060">
        <v>0.4</v>
      </c>
      <c r="BJ109" s="2060">
        <v>0.3</v>
      </c>
      <c r="BK109" s="2061"/>
      <c r="BL109" s="2060"/>
      <c r="BM109" s="2060"/>
      <c r="BN109"/>
      <c r="BO109" s="1597" t="s">
        <v>1550</v>
      </c>
      <c r="BP109" s="2059" t="s">
        <v>276</v>
      </c>
      <c r="BQ109" s="2058" t="s">
        <v>1552</v>
      </c>
      <c r="BR109" s="2060">
        <v>0.3</v>
      </c>
      <c r="BS109" s="2060">
        <v>0.3</v>
      </c>
      <c r="BT109" s="2060">
        <v>0.3</v>
      </c>
      <c r="BU109" s="2060">
        <v>0.3</v>
      </c>
      <c r="BV109" s="2060">
        <v>0.3</v>
      </c>
      <c r="BW109" s="2060">
        <v>0.3</v>
      </c>
      <c r="BX109" s="2060">
        <v>0.3</v>
      </c>
      <c r="BY109" s="2060">
        <v>0.3</v>
      </c>
      <c r="BZ109" s="2060">
        <v>0.4</v>
      </c>
      <c r="CA109" s="2060">
        <v>0.3</v>
      </c>
      <c r="CB109" s="2061"/>
      <c r="CC109" s="2060"/>
      <c r="CD109" s="2060"/>
      <c r="CE109"/>
    </row>
    <row r="110" spans="1:83" s="1605" customFormat="1">
      <c r="A110"/>
      <c r="B110" s="1597">
        <f t="shared" si="100"/>
        <v>1</v>
      </c>
      <c r="C110" s="1628" t="str">
        <f t="shared" si="82"/>
        <v>生物資源の保全と創出</v>
      </c>
      <c r="D110" s="2062">
        <f t="shared" ref="D110:E112" si="101">IF(I$109=0,0,G110/I$109)</f>
        <v>0.3</v>
      </c>
      <c r="E110" s="1743">
        <f t="shared" si="101"/>
        <v>0</v>
      </c>
      <c r="F110"/>
      <c r="G110" s="1743">
        <f t="shared" si="83"/>
        <v>0.3</v>
      </c>
      <c r="H110" s="1743">
        <f t="shared" si="84"/>
        <v>0</v>
      </c>
      <c r="I110" s="1743"/>
      <c r="J110" s="1743"/>
      <c r="K110" s="1743">
        <f>IF(スコア表示!W110=0,0,1)</f>
        <v>1</v>
      </c>
      <c r="L110" s="1743">
        <f>IF(スコア表示!AA110=0,0,1)</f>
        <v>0</v>
      </c>
      <c r="M110" s="1743">
        <f t="shared" si="85"/>
        <v>0.3</v>
      </c>
      <c r="N110" s="1743">
        <f t="shared" si="80"/>
        <v>0</v>
      </c>
      <c r="O110"/>
      <c r="P110" s="1641">
        <f t="shared" si="76"/>
        <v>1</v>
      </c>
      <c r="Q110" s="1641" t="str">
        <f t="shared" si="77"/>
        <v xml:space="preserve"> Q3</v>
      </c>
      <c r="R110" s="1780" t="str">
        <f t="shared" si="86"/>
        <v>生物資源の保全と創出</v>
      </c>
      <c r="S110" s="1610">
        <f t="shared" si="87"/>
        <v>0.3</v>
      </c>
      <c r="T110" s="1610">
        <f t="shared" si="88"/>
        <v>0.3</v>
      </c>
      <c r="U110" s="1610">
        <f t="shared" si="89"/>
        <v>0.3</v>
      </c>
      <c r="V110" s="1610">
        <f t="shared" si="90"/>
        <v>0.3</v>
      </c>
      <c r="W110" s="1610">
        <f t="shared" si="91"/>
        <v>0.3</v>
      </c>
      <c r="X110" s="1610">
        <f t="shared" si="92"/>
        <v>0.3</v>
      </c>
      <c r="Y110" s="1610">
        <f t="shared" si="93"/>
        <v>0.3</v>
      </c>
      <c r="Z110" s="1646">
        <f t="shared" si="94"/>
        <v>0.3</v>
      </c>
      <c r="AA110" s="1610">
        <f t="shared" si="95"/>
        <v>0.3</v>
      </c>
      <c r="AB110" s="1610">
        <f t="shared" si="96"/>
        <v>0.3</v>
      </c>
      <c r="AC110" s="1659">
        <f t="shared" si="97"/>
        <v>0</v>
      </c>
      <c r="AD110" s="1610">
        <f t="shared" si="98"/>
        <v>0</v>
      </c>
      <c r="AE110" s="1610">
        <f t="shared" si="99"/>
        <v>0</v>
      </c>
      <c r="AF110"/>
      <c r="AG110" s="1641">
        <v>1</v>
      </c>
      <c r="AH110" s="1744" t="s">
        <v>366</v>
      </c>
      <c r="AI110" s="1787" t="s">
        <v>945</v>
      </c>
      <c r="AJ110" s="1610">
        <v>0.3</v>
      </c>
      <c r="AK110" s="1610">
        <v>0.3</v>
      </c>
      <c r="AL110" s="1610">
        <v>0.3</v>
      </c>
      <c r="AM110" s="1610">
        <v>0.3</v>
      </c>
      <c r="AN110" s="1610">
        <v>0.3</v>
      </c>
      <c r="AO110" s="1610">
        <v>0.3</v>
      </c>
      <c r="AP110" s="1610">
        <v>0.3</v>
      </c>
      <c r="AQ110" s="1646">
        <v>0.3</v>
      </c>
      <c r="AR110" s="1610">
        <v>0.3</v>
      </c>
      <c r="AS110" s="1711">
        <v>0.3</v>
      </c>
      <c r="AT110" s="2063">
        <v>0</v>
      </c>
      <c r="AU110" s="1711">
        <v>0</v>
      </c>
      <c r="AV110" s="1711">
        <v>0</v>
      </c>
      <c r="AW110"/>
      <c r="AX110" s="1641">
        <v>1</v>
      </c>
      <c r="AY110" s="1744" t="s">
        <v>366</v>
      </c>
      <c r="AZ110" s="1787" t="s">
        <v>945</v>
      </c>
      <c r="BA110" s="1711">
        <v>0.3</v>
      </c>
      <c r="BB110" s="1711">
        <v>0.3</v>
      </c>
      <c r="BC110" s="1711">
        <v>0.3</v>
      </c>
      <c r="BD110" s="1711">
        <v>0.3</v>
      </c>
      <c r="BE110" s="1711">
        <v>0.3</v>
      </c>
      <c r="BF110" s="1711">
        <v>0.3</v>
      </c>
      <c r="BG110" s="1711">
        <v>0.3</v>
      </c>
      <c r="BH110" s="2083">
        <v>0.3</v>
      </c>
      <c r="BI110" s="1711">
        <v>0.3</v>
      </c>
      <c r="BJ110" s="1711">
        <v>0.3</v>
      </c>
      <c r="BK110" s="2063"/>
      <c r="BL110" s="1711"/>
      <c r="BM110" s="1711"/>
      <c r="BN110"/>
      <c r="BO110" s="1641">
        <v>1</v>
      </c>
      <c r="BP110" s="1744" t="s">
        <v>366</v>
      </c>
      <c r="BQ110" s="1787" t="s">
        <v>945</v>
      </c>
      <c r="BR110" s="1711">
        <v>0.3</v>
      </c>
      <c r="BS110" s="1711">
        <v>0.3</v>
      </c>
      <c r="BT110" s="1711">
        <v>0.3</v>
      </c>
      <c r="BU110" s="1711">
        <v>0.3</v>
      </c>
      <c r="BV110" s="1711">
        <v>0.3</v>
      </c>
      <c r="BW110" s="1711">
        <v>0.3</v>
      </c>
      <c r="BX110" s="1711">
        <v>0.3</v>
      </c>
      <c r="BY110" s="2083">
        <v>0.3</v>
      </c>
      <c r="BZ110" s="1711">
        <v>0.3</v>
      </c>
      <c r="CA110" s="1711">
        <v>0.3</v>
      </c>
      <c r="CB110" s="2063"/>
      <c r="CC110" s="1711"/>
      <c r="CD110" s="1711"/>
      <c r="CE110"/>
    </row>
    <row r="111" spans="1:83" s="1605" customFormat="1">
      <c r="A111"/>
      <c r="B111" s="1597">
        <f t="shared" si="100"/>
        <v>2</v>
      </c>
      <c r="C111" s="1628" t="str">
        <f t="shared" si="82"/>
        <v>まちなみ・景観への配慮</v>
      </c>
      <c r="D111" s="2062">
        <f t="shared" si="101"/>
        <v>0.4</v>
      </c>
      <c r="E111" s="1743">
        <f t="shared" si="101"/>
        <v>0</v>
      </c>
      <c r="F111"/>
      <c r="G111" s="1743">
        <f t="shared" si="83"/>
        <v>0.4</v>
      </c>
      <c r="H111" s="1743">
        <f t="shared" si="84"/>
        <v>0</v>
      </c>
      <c r="I111" s="1743"/>
      <c r="J111" s="1743"/>
      <c r="K111" s="1743">
        <f>IF(スコア表示!W111=0,0,1)</f>
        <v>1</v>
      </c>
      <c r="L111" s="1743">
        <f>IF(スコア表示!AA111=0,0,1)</f>
        <v>0</v>
      </c>
      <c r="M111" s="1743">
        <f t="shared" si="85"/>
        <v>0.4</v>
      </c>
      <c r="N111" s="1743">
        <f t="shared" si="80"/>
        <v>0</v>
      </c>
      <c r="O111"/>
      <c r="P111" s="1641">
        <f t="shared" si="76"/>
        <v>2</v>
      </c>
      <c r="Q111" s="1641" t="str">
        <f t="shared" si="77"/>
        <v xml:space="preserve"> Q3</v>
      </c>
      <c r="R111" s="1780" t="str">
        <f t="shared" si="86"/>
        <v>まちなみ・景観への配慮</v>
      </c>
      <c r="S111" s="1610">
        <f t="shared" si="87"/>
        <v>0.4</v>
      </c>
      <c r="T111" s="1610">
        <f t="shared" si="88"/>
        <v>0.4</v>
      </c>
      <c r="U111" s="1610">
        <f t="shared" si="89"/>
        <v>0.4</v>
      </c>
      <c r="V111" s="1610">
        <f t="shared" si="90"/>
        <v>0.4</v>
      </c>
      <c r="W111" s="1610">
        <f t="shared" si="91"/>
        <v>0.4</v>
      </c>
      <c r="X111" s="1610">
        <f t="shared" si="92"/>
        <v>0.4</v>
      </c>
      <c r="Y111" s="1610">
        <f t="shared" si="93"/>
        <v>0.4</v>
      </c>
      <c r="Z111" s="1646">
        <f t="shared" si="94"/>
        <v>0.4</v>
      </c>
      <c r="AA111" s="1610">
        <f t="shared" si="95"/>
        <v>0.4</v>
      </c>
      <c r="AB111" s="1610">
        <f t="shared" si="96"/>
        <v>0.4</v>
      </c>
      <c r="AC111" s="1659">
        <f t="shared" si="97"/>
        <v>0</v>
      </c>
      <c r="AD111" s="1610">
        <f t="shared" si="98"/>
        <v>0</v>
      </c>
      <c r="AE111" s="1610">
        <f t="shared" si="99"/>
        <v>0</v>
      </c>
      <c r="AF111"/>
      <c r="AG111" s="1641">
        <v>2</v>
      </c>
      <c r="AH111" s="1744" t="s">
        <v>366</v>
      </c>
      <c r="AI111" s="1787" t="s">
        <v>1553</v>
      </c>
      <c r="AJ111" s="1610">
        <v>0.4</v>
      </c>
      <c r="AK111" s="1610">
        <v>0.4</v>
      </c>
      <c r="AL111" s="1610">
        <v>0.4</v>
      </c>
      <c r="AM111" s="1610">
        <v>0.4</v>
      </c>
      <c r="AN111" s="1610">
        <v>0.4</v>
      </c>
      <c r="AO111" s="1610">
        <v>0.4</v>
      </c>
      <c r="AP111" s="1610">
        <v>0.4</v>
      </c>
      <c r="AQ111" s="1646">
        <v>0.4</v>
      </c>
      <c r="AR111" s="1610">
        <v>0.4</v>
      </c>
      <c r="AS111" s="1711">
        <v>0.4</v>
      </c>
      <c r="AT111" s="2063">
        <v>0</v>
      </c>
      <c r="AU111" s="1711">
        <v>0</v>
      </c>
      <c r="AV111" s="1711">
        <v>0</v>
      </c>
      <c r="AW111"/>
      <c r="AX111" s="1641">
        <v>2</v>
      </c>
      <c r="AY111" s="1744" t="s">
        <v>366</v>
      </c>
      <c r="AZ111" s="1787" t="s">
        <v>1554</v>
      </c>
      <c r="BA111" s="1711">
        <v>0.4</v>
      </c>
      <c r="BB111" s="1711">
        <v>0.4</v>
      </c>
      <c r="BC111" s="1711">
        <v>0.4</v>
      </c>
      <c r="BD111" s="1711">
        <v>0.4</v>
      </c>
      <c r="BE111" s="1711">
        <v>0.4</v>
      </c>
      <c r="BF111" s="1711">
        <v>0.4</v>
      </c>
      <c r="BG111" s="1711">
        <v>0.4</v>
      </c>
      <c r="BH111" s="2083">
        <v>0.4</v>
      </c>
      <c r="BI111" s="1711">
        <v>0.4</v>
      </c>
      <c r="BJ111" s="1711">
        <v>0.4</v>
      </c>
      <c r="BK111" s="2063"/>
      <c r="BL111" s="1711"/>
      <c r="BM111" s="1711"/>
      <c r="BN111"/>
      <c r="BO111" s="1641">
        <v>2</v>
      </c>
      <c r="BP111" s="1744" t="s">
        <v>366</v>
      </c>
      <c r="BQ111" s="1787" t="s">
        <v>1554</v>
      </c>
      <c r="BR111" s="1711">
        <v>0.4</v>
      </c>
      <c r="BS111" s="1711">
        <v>0.4</v>
      </c>
      <c r="BT111" s="1711">
        <v>0.4</v>
      </c>
      <c r="BU111" s="1711">
        <v>0.4</v>
      </c>
      <c r="BV111" s="1711">
        <v>0.4</v>
      </c>
      <c r="BW111" s="1711">
        <v>0.4</v>
      </c>
      <c r="BX111" s="1711">
        <v>0.4</v>
      </c>
      <c r="BY111" s="2083">
        <v>0.4</v>
      </c>
      <c r="BZ111" s="1711">
        <v>0.4</v>
      </c>
      <c r="CA111" s="1711">
        <v>0.4</v>
      </c>
      <c r="CB111" s="2063"/>
      <c r="CC111" s="1711"/>
      <c r="CD111" s="1711"/>
      <c r="CE111"/>
    </row>
    <row r="112" spans="1:83" s="1605" customFormat="1">
      <c r="A112"/>
      <c r="B112" s="1597">
        <f t="shared" si="100"/>
        <v>3</v>
      </c>
      <c r="C112" s="1628" t="str">
        <f t="shared" si="82"/>
        <v>地域性・アメニティへの配慮</v>
      </c>
      <c r="D112" s="2062">
        <f t="shared" si="101"/>
        <v>0.3</v>
      </c>
      <c r="E112" s="1743">
        <f t="shared" si="101"/>
        <v>0</v>
      </c>
      <c r="F112"/>
      <c r="G112" s="1743">
        <f t="shared" si="83"/>
        <v>0.3</v>
      </c>
      <c r="H112" s="1743">
        <f t="shared" si="84"/>
        <v>0</v>
      </c>
      <c r="I112" s="1725">
        <f>SUM(G113:G114)</f>
        <v>1</v>
      </c>
      <c r="J112" s="1725">
        <f>SUM(H113:H114)</f>
        <v>0</v>
      </c>
      <c r="K112" s="1743">
        <f>IF(スコア表示!W112=0,0,1)</f>
        <v>1</v>
      </c>
      <c r="L112" s="1743">
        <f>IF(スコア表示!AA112=0,0,1)</f>
        <v>0</v>
      </c>
      <c r="M112" s="1743">
        <f t="shared" si="85"/>
        <v>0.3</v>
      </c>
      <c r="N112" s="1743">
        <f t="shared" si="80"/>
        <v>0</v>
      </c>
      <c r="O112"/>
      <c r="P112" s="1641">
        <f t="shared" si="76"/>
        <v>3</v>
      </c>
      <c r="Q112" s="1641" t="str">
        <f t="shared" si="77"/>
        <v xml:space="preserve"> Q3</v>
      </c>
      <c r="R112" s="1780" t="str">
        <f t="shared" si="86"/>
        <v>地域性・アメニティへの配慮</v>
      </c>
      <c r="S112" s="1610">
        <f t="shared" si="87"/>
        <v>0.3</v>
      </c>
      <c r="T112" s="1610">
        <f t="shared" si="88"/>
        <v>0.3</v>
      </c>
      <c r="U112" s="1610">
        <f t="shared" si="89"/>
        <v>0.3</v>
      </c>
      <c r="V112" s="1610">
        <f t="shared" si="90"/>
        <v>0.3</v>
      </c>
      <c r="W112" s="1610">
        <f t="shared" si="91"/>
        <v>0.3</v>
      </c>
      <c r="X112" s="1610">
        <f t="shared" si="92"/>
        <v>0.3</v>
      </c>
      <c r="Y112" s="1610">
        <f t="shared" si="93"/>
        <v>0.3</v>
      </c>
      <c r="Z112" s="1646">
        <f t="shared" si="94"/>
        <v>0.3</v>
      </c>
      <c r="AA112" s="1610">
        <f t="shared" si="95"/>
        <v>0.3</v>
      </c>
      <c r="AB112" s="1610">
        <f t="shared" si="96"/>
        <v>0.3</v>
      </c>
      <c r="AC112" s="1659">
        <f t="shared" si="97"/>
        <v>0</v>
      </c>
      <c r="AD112" s="1610">
        <f t="shared" si="98"/>
        <v>0</v>
      </c>
      <c r="AE112" s="1610">
        <f t="shared" si="99"/>
        <v>0</v>
      </c>
      <c r="AF112"/>
      <c r="AG112" s="1641">
        <v>3</v>
      </c>
      <c r="AH112" s="1744" t="s">
        <v>366</v>
      </c>
      <c r="AI112" s="1787" t="s">
        <v>1713</v>
      </c>
      <c r="AJ112" s="1610">
        <v>0.3</v>
      </c>
      <c r="AK112" s="1610">
        <v>0.3</v>
      </c>
      <c r="AL112" s="1610">
        <v>0.3</v>
      </c>
      <c r="AM112" s="1610">
        <v>0.3</v>
      </c>
      <c r="AN112" s="1610">
        <v>0.3</v>
      </c>
      <c r="AO112" s="1610">
        <v>0.3</v>
      </c>
      <c r="AP112" s="1610">
        <v>0.3</v>
      </c>
      <c r="AQ112" s="1646">
        <v>0.3</v>
      </c>
      <c r="AR112" s="1610">
        <v>0.3</v>
      </c>
      <c r="AS112" s="1711">
        <v>0.3</v>
      </c>
      <c r="AT112" s="2063">
        <v>0</v>
      </c>
      <c r="AU112" s="1711">
        <v>0</v>
      </c>
      <c r="AV112" s="1711">
        <v>0</v>
      </c>
      <c r="AW112"/>
      <c r="AX112" s="1641">
        <v>3</v>
      </c>
      <c r="AY112" s="1744" t="s">
        <v>366</v>
      </c>
      <c r="AZ112" s="1787" t="s">
        <v>1555</v>
      </c>
      <c r="BA112" s="1711">
        <v>0.3</v>
      </c>
      <c r="BB112" s="1711">
        <v>0.3</v>
      </c>
      <c r="BC112" s="1711">
        <v>0.3</v>
      </c>
      <c r="BD112" s="1711">
        <v>0.3</v>
      </c>
      <c r="BE112" s="1711">
        <v>0.3</v>
      </c>
      <c r="BF112" s="1711">
        <v>0.3</v>
      </c>
      <c r="BG112" s="1711">
        <v>0.3</v>
      </c>
      <c r="BH112" s="2083">
        <v>0.3</v>
      </c>
      <c r="BI112" s="1711">
        <v>0.3</v>
      </c>
      <c r="BJ112" s="1711">
        <v>0.3</v>
      </c>
      <c r="BK112" s="2063"/>
      <c r="BL112" s="1711"/>
      <c r="BM112" s="1711"/>
      <c r="BN112"/>
      <c r="BO112" s="1641">
        <v>3</v>
      </c>
      <c r="BP112" s="1744" t="s">
        <v>366</v>
      </c>
      <c r="BQ112" s="1787" t="s">
        <v>1555</v>
      </c>
      <c r="BR112" s="1711">
        <v>0.3</v>
      </c>
      <c r="BS112" s="1711">
        <v>0.3</v>
      </c>
      <c r="BT112" s="1711">
        <v>0.3</v>
      </c>
      <c r="BU112" s="1711">
        <v>0.3</v>
      </c>
      <c r="BV112" s="1711">
        <v>0.3</v>
      </c>
      <c r="BW112" s="1711">
        <v>0.3</v>
      </c>
      <c r="BX112" s="1711">
        <v>0.3</v>
      </c>
      <c r="BY112" s="2083">
        <v>0.3</v>
      </c>
      <c r="BZ112" s="1711">
        <v>0.3</v>
      </c>
      <c r="CA112" s="1711">
        <v>0.3</v>
      </c>
      <c r="CB112" s="2063"/>
      <c r="CC112" s="1711"/>
      <c r="CD112" s="1711"/>
      <c r="CE112"/>
    </row>
    <row r="113" spans="1:83" s="1605" customFormat="1">
      <c r="A113"/>
      <c r="B113" s="1597" t="str">
        <f t="shared" si="100"/>
        <v>3.1</v>
      </c>
      <c r="C113" s="1660" t="str">
        <f t="shared" si="82"/>
        <v>地域性への配慮、快適性の向上</v>
      </c>
      <c r="D113" s="1716">
        <f>IF(I$112=0,0,G113/I$112)</f>
        <v>0.5</v>
      </c>
      <c r="E113" s="1691">
        <f>IF(J$112=0,0,H113/J$112)</f>
        <v>0</v>
      </c>
      <c r="F113"/>
      <c r="G113" s="1691">
        <f t="shared" si="83"/>
        <v>0.5</v>
      </c>
      <c r="H113" s="1691">
        <f t="shared" si="84"/>
        <v>0</v>
      </c>
      <c r="I113" s="516"/>
      <c r="J113" s="1691"/>
      <c r="K113" s="1691">
        <f>IF(スコア表示!W113=0,0,1)</f>
        <v>1</v>
      </c>
      <c r="L113" s="1691">
        <f>IF(スコア表示!AA113=0,0,1)</f>
        <v>0</v>
      </c>
      <c r="M113" s="1691">
        <f t="shared" si="85"/>
        <v>0.5</v>
      </c>
      <c r="N113" s="1691">
        <f t="shared" si="80"/>
        <v>0</v>
      </c>
      <c r="O113"/>
      <c r="P113" s="1647" t="str">
        <f t="shared" si="76"/>
        <v>3.1</v>
      </c>
      <c r="Q113" s="1647" t="str">
        <f t="shared" si="77"/>
        <v xml:space="preserve"> Q3 3</v>
      </c>
      <c r="R113" s="1737" t="str">
        <f t="shared" si="86"/>
        <v>地域性への配慮、快適性の向上</v>
      </c>
      <c r="S113" s="1661">
        <f t="shared" si="87"/>
        <v>0.5</v>
      </c>
      <c r="T113" s="1661">
        <f t="shared" si="88"/>
        <v>0.5</v>
      </c>
      <c r="U113" s="1661">
        <f t="shared" si="89"/>
        <v>0.5</v>
      </c>
      <c r="V113" s="1661">
        <f t="shared" si="90"/>
        <v>0.5</v>
      </c>
      <c r="W113" s="1661">
        <f t="shared" si="91"/>
        <v>0.5</v>
      </c>
      <c r="X113" s="1661">
        <f t="shared" si="92"/>
        <v>0.5</v>
      </c>
      <c r="Y113" s="1661">
        <f t="shared" si="93"/>
        <v>0.5</v>
      </c>
      <c r="Z113" s="1661">
        <f t="shared" si="94"/>
        <v>0.5</v>
      </c>
      <c r="AA113" s="1661">
        <f t="shared" si="95"/>
        <v>0.5</v>
      </c>
      <c r="AB113" s="1661">
        <f t="shared" si="96"/>
        <v>0.5</v>
      </c>
      <c r="AC113" s="1662">
        <f t="shared" si="97"/>
        <v>0</v>
      </c>
      <c r="AD113" s="1661">
        <f t="shared" si="98"/>
        <v>0</v>
      </c>
      <c r="AE113" s="1661">
        <f t="shared" si="99"/>
        <v>0</v>
      </c>
      <c r="AF113"/>
      <c r="AG113" s="1647" t="s">
        <v>1556</v>
      </c>
      <c r="AH113" s="1693" t="s">
        <v>367</v>
      </c>
      <c r="AI113" s="2086" t="s">
        <v>1558</v>
      </c>
      <c r="AJ113" s="1661">
        <v>0.5</v>
      </c>
      <c r="AK113" s="1661">
        <v>0.5</v>
      </c>
      <c r="AL113" s="1661">
        <v>0.5</v>
      </c>
      <c r="AM113" s="1661">
        <v>0.5</v>
      </c>
      <c r="AN113" s="1661">
        <v>0.5</v>
      </c>
      <c r="AO113" s="1661">
        <v>0.5</v>
      </c>
      <c r="AP113" s="1661">
        <v>0.5</v>
      </c>
      <c r="AQ113" s="1661">
        <v>0.5</v>
      </c>
      <c r="AR113" s="1661">
        <v>0.5</v>
      </c>
      <c r="AS113" s="2087">
        <v>0.5</v>
      </c>
      <c r="AT113" s="2088">
        <v>0</v>
      </c>
      <c r="AU113" s="2087">
        <v>0</v>
      </c>
      <c r="AV113" s="2087">
        <v>0</v>
      </c>
      <c r="AW113"/>
      <c r="AX113" s="1647" t="s">
        <v>1557</v>
      </c>
      <c r="AY113" s="1693" t="s">
        <v>367</v>
      </c>
      <c r="AZ113" s="2086" t="s">
        <v>1559</v>
      </c>
      <c r="BA113" s="2087">
        <v>0.5</v>
      </c>
      <c r="BB113" s="2087">
        <v>0.5</v>
      </c>
      <c r="BC113" s="2087">
        <v>0.5</v>
      </c>
      <c r="BD113" s="2087">
        <v>0.5</v>
      </c>
      <c r="BE113" s="2087">
        <v>0.5</v>
      </c>
      <c r="BF113" s="2087">
        <v>0.5</v>
      </c>
      <c r="BG113" s="2087">
        <v>0.5</v>
      </c>
      <c r="BH113" s="2087">
        <v>0.5</v>
      </c>
      <c r="BI113" s="2087">
        <v>0.5</v>
      </c>
      <c r="BJ113" s="2087">
        <v>0.5</v>
      </c>
      <c r="BK113" s="2088"/>
      <c r="BL113" s="2087"/>
      <c r="BM113" s="2087"/>
      <c r="BN113"/>
      <c r="BO113" s="1647" t="s">
        <v>1557</v>
      </c>
      <c r="BP113" s="1693" t="s">
        <v>367</v>
      </c>
      <c r="BQ113" s="2086" t="s">
        <v>1559</v>
      </c>
      <c r="BR113" s="2087">
        <v>0.5</v>
      </c>
      <c r="BS113" s="2087">
        <v>0.5</v>
      </c>
      <c r="BT113" s="2087">
        <v>0.5</v>
      </c>
      <c r="BU113" s="2087">
        <v>0.5</v>
      </c>
      <c r="BV113" s="2087">
        <v>0.5</v>
      </c>
      <c r="BW113" s="2087">
        <v>0.5</v>
      </c>
      <c r="BX113" s="2087">
        <v>0.5</v>
      </c>
      <c r="BY113" s="2087">
        <v>0.5</v>
      </c>
      <c r="BZ113" s="2087">
        <v>0.5</v>
      </c>
      <c r="CA113" s="2087">
        <v>0.5</v>
      </c>
      <c r="CB113" s="2088"/>
      <c r="CC113" s="2087"/>
      <c r="CD113" s="2087"/>
      <c r="CE113"/>
    </row>
    <row r="114" spans="1:83" s="1605" customFormat="1">
      <c r="A114"/>
      <c r="B114" s="1597" t="str">
        <f t="shared" si="100"/>
        <v>3.2</v>
      </c>
      <c r="C114" s="1660" t="str">
        <f t="shared" si="82"/>
        <v>敷地内温熱環境の向上</v>
      </c>
      <c r="D114" s="1716">
        <f>IF(I$112=0,0,G114/I$112)</f>
        <v>0.5</v>
      </c>
      <c r="E114" s="1691">
        <f>IF(J$112=0,0,H114/J$112)</f>
        <v>0</v>
      </c>
      <c r="F114"/>
      <c r="G114" s="1691">
        <f t="shared" si="83"/>
        <v>0.5</v>
      </c>
      <c r="H114" s="1691">
        <f t="shared" si="84"/>
        <v>0</v>
      </c>
      <c r="I114" s="516"/>
      <c r="J114" s="1691"/>
      <c r="K114" s="1691">
        <f>IF(スコア表示!W114=0,0,1)</f>
        <v>1</v>
      </c>
      <c r="L114" s="1691">
        <f>IF(スコア表示!AA114=0,0,1)</f>
        <v>0</v>
      </c>
      <c r="M114" s="1691">
        <f t="shared" si="85"/>
        <v>0.5</v>
      </c>
      <c r="N114" s="1691">
        <f t="shared" si="80"/>
        <v>0</v>
      </c>
      <c r="O114"/>
      <c r="P114" s="1647" t="str">
        <f t="shared" si="76"/>
        <v>3.2</v>
      </c>
      <c r="Q114" s="1647" t="str">
        <f t="shared" si="77"/>
        <v xml:space="preserve"> Q3 3</v>
      </c>
      <c r="R114" s="1737" t="str">
        <f t="shared" si="86"/>
        <v>敷地内温熱環境の向上</v>
      </c>
      <c r="S114" s="1661">
        <f t="shared" si="87"/>
        <v>0.5</v>
      </c>
      <c r="T114" s="1661">
        <f t="shared" si="88"/>
        <v>0.5</v>
      </c>
      <c r="U114" s="1661">
        <f t="shared" si="89"/>
        <v>0.5</v>
      </c>
      <c r="V114" s="1661">
        <f t="shared" si="90"/>
        <v>0.5</v>
      </c>
      <c r="W114" s="1661">
        <f t="shared" si="91"/>
        <v>0.5</v>
      </c>
      <c r="X114" s="1661">
        <f t="shared" si="92"/>
        <v>0.5</v>
      </c>
      <c r="Y114" s="1661">
        <f t="shared" si="93"/>
        <v>0.5</v>
      </c>
      <c r="Z114" s="1661">
        <f t="shared" si="94"/>
        <v>0.5</v>
      </c>
      <c r="AA114" s="1661">
        <f t="shared" si="95"/>
        <v>0.5</v>
      </c>
      <c r="AB114" s="1661">
        <f t="shared" si="96"/>
        <v>0.5</v>
      </c>
      <c r="AC114" s="1662">
        <f t="shared" si="97"/>
        <v>0</v>
      </c>
      <c r="AD114" s="1661">
        <f t="shared" si="98"/>
        <v>0</v>
      </c>
      <c r="AE114" s="1661">
        <f t="shared" si="99"/>
        <v>0</v>
      </c>
      <c r="AF114"/>
      <c r="AG114" s="1647" t="s">
        <v>1560</v>
      </c>
      <c r="AH114" s="1693" t="s">
        <v>367</v>
      </c>
      <c r="AI114" s="2086" t="s">
        <v>1562</v>
      </c>
      <c r="AJ114" s="1661">
        <v>0.5</v>
      </c>
      <c r="AK114" s="1661">
        <v>0.5</v>
      </c>
      <c r="AL114" s="1661">
        <v>0.5</v>
      </c>
      <c r="AM114" s="1661">
        <v>0.5</v>
      </c>
      <c r="AN114" s="1661">
        <v>0.5</v>
      </c>
      <c r="AO114" s="1661">
        <v>0.5</v>
      </c>
      <c r="AP114" s="1661">
        <v>0.5</v>
      </c>
      <c r="AQ114" s="1661">
        <v>0.5</v>
      </c>
      <c r="AR114" s="1661">
        <v>0.5</v>
      </c>
      <c r="AS114" s="2087">
        <v>0.5</v>
      </c>
      <c r="AT114" s="2088">
        <v>0</v>
      </c>
      <c r="AU114" s="2087">
        <v>0</v>
      </c>
      <c r="AV114" s="2087">
        <v>0</v>
      </c>
      <c r="AW114"/>
      <c r="AX114" s="1647" t="s">
        <v>1561</v>
      </c>
      <c r="AY114" s="1693" t="s">
        <v>367</v>
      </c>
      <c r="AZ114" s="2086" t="s">
        <v>1563</v>
      </c>
      <c r="BA114" s="2087">
        <v>0.5</v>
      </c>
      <c r="BB114" s="2087">
        <v>0.5</v>
      </c>
      <c r="BC114" s="2087">
        <v>0.5</v>
      </c>
      <c r="BD114" s="2087">
        <v>0.5</v>
      </c>
      <c r="BE114" s="2087">
        <v>0.5</v>
      </c>
      <c r="BF114" s="2087">
        <v>0.5</v>
      </c>
      <c r="BG114" s="2087">
        <v>0.5</v>
      </c>
      <c r="BH114" s="2087">
        <v>0.5</v>
      </c>
      <c r="BI114" s="2087">
        <v>0.5</v>
      </c>
      <c r="BJ114" s="2087">
        <v>0.5</v>
      </c>
      <c r="BK114" s="2088"/>
      <c r="BL114" s="2087"/>
      <c r="BM114" s="2087"/>
      <c r="BN114"/>
      <c r="BO114" s="1647" t="s">
        <v>1561</v>
      </c>
      <c r="BP114" s="1693" t="s">
        <v>367</v>
      </c>
      <c r="BQ114" s="2086" t="s">
        <v>1563</v>
      </c>
      <c r="BR114" s="2087">
        <v>0.5</v>
      </c>
      <c r="BS114" s="2087">
        <v>0.5</v>
      </c>
      <c r="BT114" s="2087">
        <v>0.5</v>
      </c>
      <c r="BU114" s="2087">
        <v>0.5</v>
      </c>
      <c r="BV114" s="2087">
        <v>0.5</v>
      </c>
      <c r="BW114" s="2087">
        <v>0.5</v>
      </c>
      <c r="BX114" s="2087">
        <v>0.5</v>
      </c>
      <c r="BY114" s="2087">
        <v>0.5</v>
      </c>
      <c r="BZ114" s="2087">
        <v>0.5</v>
      </c>
      <c r="CA114" s="2087">
        <v>0.5</v>
      </c>
      <c r="CB114" s="2088"/>
      <c r="CC114" s="2087"/>
      <c r="CD114" s="2087"/>
      <c r="CE114"/>
    </row>
    <row r="115" spans="1:83" s="1605" customFormat="1" hidden="1">
      <c r="A115"/>
      <c r="B115" s="1597">
        <f t="shared" si="100"/>
        <v>0</v>
      </c>
      <c r="C115" s="1664">
        <f t="shared" si="82"/>
        <v>0</v>
      </c>
      <c r="D115" s="2062"/>
      <c r="E115" s="1743"/>
      <c r="F115"/>
      <c r="G115" s="1743">
        <f t="shared" si="83"/>
        <v>0</v>
      </c>
      <c r="H115" s="1743">
        <f t="shared" si="84"/>
        <v>0</v>
      </c>
      <c r="I115" s="1743"/>
      <c r="J115" s="1743"/>
      <c r="K115" s="1743">
        <f>IF(スコア表示!W115=0,0,1)</f>
        <v>0</v>
      </c>
      <c r="L115" s="1743">
        <f>IF(スコア表示!AA115=0,0,1)</f>
        <v>0</v>
      </c>
      <c r="M115" s="1743">
        <f t="shared" si="85"/>
        <v>0</v>
      </c>
      <c r="N115" s="1743"/>
      <c r="O115"/>
      <c r="P115" s="1641">
        <f t="shared" si="76"/>
        <v>0</v>
      </c>
      <c r="Q115" s="1641" t="str">
        <f t="shared" si="77"/>
        <v xml:space="preserve"> Q</v>
      </c>
      <c r="R115" s="1780">
        <f t="shared" si="86"/>
        <v>0</v>
      </c>
      <c r="S115" s="1610">
        <f t="shared" si="87"/>
        <v>0</v>
      </c>
      <c r="T115" s="1610">
        <f t="shared" si="88"/>
        <v>0</v>
      </c>
      <c r="U115" s="1610">
        <f t="shared" si="89"/>
        <v>0</v>
      </c>
      <c r="V115" s="1610">
        <f t="shared" si="90"/>
        <v>0</v>
      </c>
      <c r="W115" s="1610">
        <f t="shared" si="91"/>
        <v>0</v>
      </c>
      <c r="X115" s="1610">
        <f t="shared" si="92"/>
        <v>0</v>
      </c>
      <c r="Y115" s="1610">
        <f t="shared" si="93"/>
        <v>0</v>
      </c>
      <c r="Z115" s="1646">
        <f t="shared" si="94"/>
        <v>0</v>
      </c>
      <c r="AA115" s="1610">
        <f t="shared" si="95"/>
        <v>0</v>
      </c>
      <c r="AB115" s="1610">
        <f t="shared" si="96"/>
        <v>0</v>
      </c>
      <c r="AC115" s="1659">
        <f t="shared" si="97"/>
        <v>0</v>
      </c>
      <c r="AD115" s="1610">
        <f t="shared" si="98"/>
        <v>0</v>
      </c>
      <c r="AE115" s="1610">
        <f t="shared" si="99"/>
        <v>0</v>
      </c>
      <c r="AF115"/>
      <c r="AG115" s="1641"/>
      <c r="AH115" s="1744" t="s">
        <v>276</v>
      </c>
      <c r="AI115" s="1787"/>
      <c r="AJ115" s="1711">
        <v>0</v>
      </c>
      <c r="AK115" s="1711">
        <v>0</v>
      </c>
      <c r="AL115" s="1711">
        <v>0</v>
      </c>
      <c r="AM115" s="1711">
        <v>0</v>
      </c>
      <c r="AN115" s="1711">
        <v>0</v>
      </c>
      <c r="AO115" s="1711">
        <v>0</v>
      </c>
      <c r="AP115" s="1711">
        <v>0</v>
      </c>
      <c r="AQ115" s="2083">
        <v>0</v>
      </c>
      <c r="AR115" s="1711">
        <v>0</v>
      </c>
      <c r="AS115" s="1711">
        <v>0</v>
      </c>
      <c r="AT115" s="2063">
        <v>0</v>
      </c>
      <c r="AU115" s="1711">
        <v>0</v>
      </c>
      <c r="AV115" s="1711">
        <v>0</v>
      </c>
      <c r="AW115"/>
      <c r="AX115" s="1641"/>
      <c r="AY115" s="1744" t="s">
        <v>276</v>
      </c>
      <c r="AZ115" s="1787"/>
      <c r="BA115" s="1711"/>
      <c r="BB115" s="1711"/>
      <c r="BC115" s="1711"/>
      <c r="BD115" s="1711"/>
      <c r="BE115" s="1711"/>
      <c r="BF115" s="1711"/>
      <c r="BG115" s="1711"/>
      <c r="BH115" s="2083"/>
      <c r="BI115" s="1711"/>
      <c r="BJ115" s="1711"/>
      <c r="BK115" s="2063"/>
      <c r="BL115" s="1711"/>
      <c r="BM115" s="1711"/>
      <c r="BN115"/>
      <c r="BO115" s="1641"/>
      <c r="BP115" s="1744" t="s">
        <v>276</v>
      </c>
      <c r="BQ115" s="1787"/>
      <c r="BR115" s="1711"/>
      <c r="BS115" s="1711"/>
      <c r="BT115" s="1711"/>
      <c r="BU115" s="1711"/>
      <c r="BV115" s="1711"/>
      <c r="BW115" s="1711"/>
      <c r="BX115" s="1711"/>
      <c r="BY115" s="2083"/>
      <c r="BZ115" s="1711"/>
      <c r="CA115" s="1711"/>
      <c r="CB115" s="2063"/>
      <c r="CC115" s="1711"/>
      <c r="CD115" s="1711"/>
      <c r="CE115"/>
    </row>
    <row r="116" spans="1:83" s="1605" customFormat="1" ht="14.25">
      <c r="A116"/>
      <c r="B116" s="2089" t="str">
        <f t="shared" si="100"/>
        <v>LR</v>
      </c>
      <c r="C116" s="1587" t="str">
        <f t="shared" si="82"/>
        <v>建築物の環境負荷低減性</v>
      </c>
      <c r="D116" s="2047"/>
      <c r="E116" s="2048"/>
      <c r="F116"/>
      <c r="G116" s="2048">
        <f t="shared" si="83"/>
        <v>0</v>
      </c>
      <c r="H116" s="2048">
        <f t="shared" si="84"/>
        <v>0</v>
      </c>
      <c r="I116" s="2048">
        <f>G117+G140+G159</f>
        <v>1</v>
      </c>
      <c r="J116" s="2048">
        <f>H117+H140+H159</f>
        <v>0</v>
      </c>
      <c r="K116" s="2048">
        <f>IF(スコア表示!W116=0,0,1)</f>
        <v>1</v>
      </c>
      <c r="L116" s="2048">
        <f>IF(スコア表示!AA116=0,0,1)</f>
        <v>0</v>
      </c>
      <c r="M116" s="2048">
        <f t="shared" si="85"/>
        <v>0</v>
      </c>
      <c r="N116" s="2048">
        <f t="shared" ref="N116:N151" si="102">(AC$7*AC116)+(AD$7*AD116)+(AE$7*AE116)</f>
        <v>0</v>
      </c>
      <c r="O116"/>
      <c r="P116" s="2049" t="str">
        <f t="shared" ref="P116:P151" si="103">IF($P$3=1,AX116,BO116)</f>
        <v>LR</v>
      </c>
      <c r="Q116" s="2049" t="str">
        <f t="shared" si="77"/>
        <v xml:space="preserve"> </v>
      </c>
      <c r="R116" s="2090" t="str">
        <f t="shared" si="86"/>
        <v>建築物の環境負荷低減性</v>
      </c>
      <c r="S116" s="1669">
        <f t="shared" si="87"/>
        <v>0</v>
      </c>
      <c r="T116" s="1669">
        <f t="shared" si="88"/>
        <v>0</v>
      </c>
      <c r="U116" s="1669">
        <f t="shared" si="89"/>
        <v>0</v>
      </c>
      <c r="V116" s="1669">
        <f t="shared" si="90"/>
        <v>0</v>
      </c>
      <c r="W116" s="1669">
        <f t="shared" si="91"/>
        <v>0</v>
      </c>
      <c r="X116" s="1669">
        <f t="shared" si="92"/>
        <v>0</v>
      </c>
      <c r="Y116" s="1669">
        <f t="shared" si="93"/>
        <v>0</v>
      </c>
      <c r="Z116" s="1670">
        <f t="shared" si="94"/>
        <v>0</v>
      </c>
      <c r="AA116" s="1669">
        <f t="shared" si="95"/>
        <v>0</v>
      </c>
      <c r="AB116" s="1669">
        <f t="shared" si="96"/>
        <v>0</v>
      </c>
      <c r="AC116" s="1671">
        <f t="shared" si="97"/>
        <v>0</v>
      </c>
      <c r="AD116" s="1672">
        <f t="shared" si="98"/>
        <v>0</v>
      </c>
      <c r="AE116" s="1672">
        <f t="shared" si="99"/>
        <v>0</v>
      </c>
      <c r="AF116"/>
      <c r="AG116" s="2049" t="s">
        <v>1714</v>
      </c>
      <c r="AH116" s="2045" t="s">
        <v>425</v>
      </c>
      <c r="AI116" s="2046" t="s">
        <v>426</v>
      </c>
      <c r="AJ116" s="2051">
        <v>0</v>
      </c>
      <c r="AK116" s="2051">
        <v>0</v>
      </c>
      <c r="AL116" s="2051">
        <v>0</v>
      </c>
      <c r="AM116" s="2051">
        <v>0</v>
      </c>
      <c r="AN116" s="2051">
        <v>0</v>
      </c>
      <c r="AO116" s="2051">
        <v>0</v>
      </c>
      <c r="AP116" s="2051">
        <v>0</v>
      </c>
      <c r="AQ116" s="2052">
        <v>0</v>
      </c>
      <c r="AR116" s="2051">
        <v>0</v>
      </c>
      <c r="AS116" s="2051">
        <v>0</v>
      </c>
      <c r="AT116" s="2053">
        <v>0</v>
      </c>
      <c r="AU116" s="2054">
        <v>0</v>
      </c>
      <c r="AV116" s="2054">
        <v>0</v>
      </c>
      <c r="AW116"/>
      <c r="AX116" s="2049" t="s">
        <v>1564</v>
      </c>
      <c r="AY116" s="2045" t="s">
        <v>425</v>
      </c>
      <c r="AZ116" s="2046" t="s">
        <v>426</v>
      </c>
      <c r="BA116" s="2051"/>
      <c r="BB116" s="2051"/>
      <c r="BC116" s="2051"/>
      <c r="BD116" s="2051"/>
      <c r="BE116" s="2051"/>
      <c r="BF116" s="2051"/>
      <c r="BG116" s="2051"/>
      <c r="BH116" s="2052"/>
      <c r="BI116" s="2051"/>
      <c r="BJ116" s="2051"/>
      <c r="BK116" s="2053"/>
      <c r="BL116" s="2054"/>
      <c r="BM116" s="2054"/>
      <c r="BN116"/>
      <c r="BO116" s="2049" t="s">
        <v>1564</v>
      </c>
      <c r="BP116" s="2045" t="s">
        <v>425</v>
      </c>
      <c r="BQ116" s="2046" t="s">
        <v>426</v>
      </c>
      <c r="BR116" s="2051"/>
      <c r="BS116" s="2051"/>
      <c r="BT116" s="2051"/>
      <c r="BU116" s="2051"/>
      <c r="BV116" s="2051"/>
      <c r="BW116" s="2051"/>
      <c r="BX116" s="2051"/>
      <c r="BY116" s="2052"/>
      <c r="BZ116" s="2051"/>
      <c r="CA116" s="2051"/>
      <c r="CB116" s="2053"/>
      <c r="CC116" s="2054"/>
      <c r="CD116" s="2054"/>
      <c r="CE116"/>
    </row>
    <row r="117" spans="1:83" s="1605" customFormat="1">
      <c r="A117"/>
      <c r="B117" s="1597" t="str">
        <f t="shared" si="100"/>
        <v>LR1</v>
      </c>
      <c r="C117" s="1597" t="str">
        <f t="shared" si="82"/>
        <v>エネルギー</v>
      </c>
      <c r="D117" s="2091">
        <f>IF(I$116=0,0,G117/I$116)</f>
        <v>0.4</v>
      </c>
      <c r="E117" s="2057">
        <f>IF(J$116=0,0,H117/J$116)</f>
        <v>0</v>
      </c>
      <c r="F117"/>
      <c r="G117" s="2057">
        <f t="shared" si="83"/>
        <v>0.4</v>
      </c>
      <c r="H117" s="2057">
        <f t="shared" si="84"/>
        <v>0</v>
      </c>
      <c r="I117" s="2057">
        <f>G118+G119+G124+G133</f>
        <v>1</v>
      </c>
      <c r="J117" s="2057">
        <f>H118+H119+H124+H133</f>
        <v>0</v>
      </c>
      <c r="K117" s="2057">
        <f>IF(スコア表示!W117=0,0,1)</f>
        <v>1</v>
      </c>
      <c r="L117" s="2057">
        <f>IF(スコア表示!AA117=0,0,1)</f>
        <v>0</v>
      </c>
      <c r="M117" s="2057">
        <f t="shared" si="85"/>
        <v>0.4</v>
      </c>
      <c r="N117" s="2057">
        <f t="shared" si="102"/>
        <v>0</v>
      </c>
      <c r="O117"/>
      <c r="P117" s="1597" t="str">
        <f t="shared" si="103"/>
        <v>LR1</v>
      </c>
      <c r="Q117" s="1597" t="str">
        <f t="shared" ref="Q117:Q152" si="104">IF($P$3=1,AY117,BP117)</f>
        <v>LR</v>
      </c>
      <c r="R117" s="2058" t="str">
        <f t="shared" si="86"/>
        <v>エネルギー</v>
      </c>
      <c r="S117" s="1603">
        <f t="shared" si="87"/>
        <v>0.4</v>
      </c>
      <c r="T117" s="1603">
        <f t="shared" si="88"/>
        <v>0.4</v>
      </c>
      <c r="U117" s="1603">
        <f t="shared" si="89"/>
        <v>0.4</v>
      </c>
      <c r="V117" s="1603">
        <f t="shared" si="90"/>
        <v>0.4</v>
      </c>
      <c r="W117" s="1603">
        <f t="shared" si="91"/>
        <v>0.4</v>
      </c>
      <c r="X117" s="1603">
        <f t="shared" si="92"/>
        <v>0.4</v>
      </c>
      <c r="Y117" s="1603">
        <f t="shared" si="93"/>
        <v>0.4</v>
      </c>
      <c r="Z117" s="1603">
        <f t="shared" si="94"/>
        <v>0.4</v>
      </c>
      <c r="AA117" s="1603">
        <f t="shared" si="95"/>
        <v>0.4</v>
      </c>
      <c r="AB117" s="1603">
        <f t="shared" si="96"/>
        <v>0.4</v>
      </c>
      <c r="AC117" s="1658">
        <f t="shared" si="97"/>
        <v>0</v>
      </c>
      <c r="AD117" s="1603">
        <f t="shared" si="98"/>
        <v>0</v>
      </c>
      <c r="AE117" s="1603">
        <f t="shared" si="99"/>
        <v>0</v>
      </c>
      <c r="AF117"/>
      <c r="AG117" s="1597" t="s">
        <v>1715</v>
      </c>
      <c r="AH117" s="2059" t="s">
        <v>1566</v>
      </c>
      <c r="AI117" s="2058" t="s">
        <v>1568</v>
      </c>
      <c r="AJ117" s="2060">
        <v>0.4</v>
      </c>
      <c r="AK117" s="2060">
        <v>0.4</v>
      </c>
      <c r="AL117" s="2060">
        <v>0.4</v>
      </c>
      <c r="AM117" s="2060">
        <v>0.4</v>
      </c>
      <c r="AN117" s="2060">
        <v>0.4</v>
      </c>
      <c r="AO117" s="2060">
        <v>0.4</v>
      </c>
      <c r="AP117" s="2060">
        <v>0.4</v>
      </c>
      <c r="AQ117" s="2060">
        <v>0.4</v>
      </c>
      <c r="AR117" s="2060">
        <v>0.4</v>
      </c>
      <c r="AS117" s="2060">
        <v>0.4</v>
      </c>
      <c r="AT117" s="2061"/>
      <c r="AU117" s="2060"/>
      <c r="AV117" s="2060"/>
      <c r="AW117"/>
      <c r="AX117" s="1597" t="s">
        <v>1565</v>
      </c>
      <c r="AY117" s="2059" t="s">
        <v>1567</v>
      </c>
      <c r="AZ117" s="2058" t="s">
        <v>1569</v>
      </c>
      <c r="BA117" s="2060">
        <v>0.4</v>
      </c>
      <c r="BB117" s="2060">
        <v>0.4</v>
      </c>
      <c r="BC117" s="2060">
        <v>0.4</v>
      </c>
      <c r="BD117" s="2060">
        <v>0.4</v>
      </c>
      <c r="BE117" s="2060">
        <v>0.4</v>
      </c>
      <c r="BF117" s="2060">
        <v>0.4</v>
      </c>
      <c r="BG117" s="2060">
        <v>0.4</v>
      </c>
      <c r="BH117" s="2060">
        <v>0.4</v>
      </c>
      <c r="BI117" s="2060">
        <v>0.4</v>
      </c>
      <c r="BJ117" s="2060">
        <v>0.4</v>
      </c>
      <c r="BK117" s="2061"/>
      <c r="BL117" s="2060"/>
      <c r="BM117" s="2060"/>
      <c r="BN117"/>
      <c r="BO117" s="1597" t="s">
        <v>1565</v>
      </c>
      <c r="BP117" s="2059" t="s">
        <v>1567</v>
      </c>
      <c r="BQ117" s="2058" t="s">
        <v>1569</v>
      </c>
      <c r="BR117" s="2060">
        <v>0.4</v>
      </c>
      <c r="BS117" s="2060">
        <v>0.4</v>
      </c>
      <c r="BT117" s="2060">
        <v>0.4</v>
      </c>
      <c r="BU117" s="2060">
        <v>0.4</v>
      </c>
      <c r="BV117" s="2060">
        <v>0.4</v>
      </c>
      <c r="BW117" s="2060">
        <v>0.4</v>
      </c>
      <c r="BX117" s="2060">
        <v>0.4</v>
      </c>
      <c r="BY117" s="2060">
        <v>0.4</v>
      </c>
      <c r="BZ117" s="2060">
        <v>0.4</v>
      </c>
      <c r="CA117" s="2060">
        <v>0.4</v>
      </c>
      <c r="CB117" s="2061"/>
      <c r="CC117" s="2060"/>
      <c r="CD117" s="2060"/>
      <c r="CE117"/>
    </row>
    <row r="118" spans="1:83" s="1605" customFormat="1">
      <c r="A118"/>
      <c r="B118" s="1597">
        <f t="shared" si="100"/>
        <v>1</v>
      </c>
      <c r="C118" s="1641" t="str">
        <f t="shared" si="82"/>
        <v>建物外皮の熱負荷抑制</v>
      </c>
      <c r="D118" s="2062">
        <f>IF(I$117=0,0,G118/I$117)</f>
        <v>0.2</v>
      </c>
      <c r="E118" s="1743">
        <f>IF(J$117=0,0,H118/J$117)</f>
        <v>0</v>
      </c>
      <c r="F118"/>
      <c r="G118" s="1743">
        <f t="shared" si="83"/>
        <v>0.2</v>
      </c>
      <c r="H118" s="1743">
        <f t="shared" si="84"/>
        <v>0</v>
      </c>
      <c r="I118" s="1743"/>
      <c r="J118" s="1743"/>
      <c r="K118" s="1743">
        <f>IF(スコア表示!W118=0,0,1)</f>
        <v>1</v>
      </c>
      <c r="L118" s="1743">
        <f>IF(スコア表示!AA118=0,0,1)</f>
        <v>0</v>
      </c>
      <c r="M118" s="1743">
        <f t="shared" si="85"/>
        <v>0.2</v>
      </c>
      <c r="N118" s="1743">
        <f t="shared" si="102"/>
        <v>0</v>
      </c>
      <c r="O118"/>
      <c r="P118" s="1673">
        <f t="shared" si="103"/>
        <v>1</v>
      </c>
      <c r="Q118" s="1641" t="str">
        <f t="shared" si="104"/>
        <v>LR1</v>
      </c>
      <c r="R118" s="1780" t="str">
        <f t="shared" si="86"/>
        <v>建物外皮の熱負荷抑制</v>
      </c>
      <c r="S118" s="1643">
        <f t="shared" si="87"/>
        <v>0.2</v>
      </c>
      <c r="T118" s="1643">
        <f t="shared" si="88"/>
        <v>0.2</v>
      </c>
      <c r="U118" s="1643">
        <f t="shared" si="89"/>
        <v>0.2</v>
      </c>
      <c r="V118" s="1643">
        <f t="shared" si="90"/>
        <v>0.2</v>
      </c>
      <c r="W118" s="1643">
        <f t="shared" si="91"/>
        <v>0.2</v>
      </c>
      <c r="X118" s="1643">
        <f t="shared" si="92"/>
        <v>0.2</v>
      </c>
      <c r="Y118" s="1643">
        <f t="shared" si="93"/>
        <v>0.2</v>
      </c>
      <c r="Z118" s="1611">
        <f t="shared" si="94"/>
        <v>0.2</v>
      </c>
      <c r="AA118" s="1643">
        <f t="shared" si="95"/>
        <v>0</v>
      </c>
      <c r="AB118" s="1643">
        <f t="shared" si="96"/>
        <v>0.2</v>
      </c>
      <c r="AC118" s="1659">
        <f t="shared" si="97"/>
        <v>0</v>
      </c>
      <c r="AD118" s="1610">
        <f t="shared" si="98"/>
        <v>0</v>
      </c>
      <c r="AE118" s="1610">
        <f t="shared" si="99"/>
        <v>0</v>
      </c>
      <c r="AF118"/>
      <c r="AG118" s="1673">
        <v>1</v>
      </c>
      <c r="AH118" s="1744" t="s">
        <v>369</v>
      </c>
      <c r="AI118" s="1780" t="s">
        <v>1570</v>
      </c>
      <c r="AJ118" s="2079">
        <v>0.2</v>
      </c>
      <c r="AK118" s="2079">
        <v>0.2</v>
      </c>
      <c r="AL118" s="2079">
        <v>0.2</v>
      </c>
      <c r="AM118" s="2079">
        <v>0.2</v>
      </c>
      <c r="AN118" s="2079">
        <v>0.2</v>
      </c>
      <c r="AO118" s="2079">
        <v>0.2</v>
      </c>
      <c r="AP118" s="2079">
        <v>0.2</v>
      </c>
      <c r="AQ118" s="2079">
        <v>0.2</v>
      </c>
      <c r="AR118" s="2079"/>
      <c r="AS118" s="2079">
        <v>0.2</v>
      </c>
      <c r="AT118" s="2063"/>
      <c r="AU118" s="1711"/>
      <c r="AV118" s="1711"/>
      <c r="AW118"/>
      <c r="AX118" s="1673">
        <v>1</v>
      </c>
      <c r="AY118" s="1744" t="s">
        <v>369</v>
      </c>
      <c r="AZ118" s="1780" t="s">
        <v>1570</v>
      </c>
      <c r="BA118" s="2079">
        <v>0.2</v>
      </c>
      <c r="BB118" s="2079">
        <v>0.2</v>
      </c>
      <c r="BC118" s="2079">
        <v>0.2</v>
      </c>
      <c r="BD118" s="2079">
        <v>0.2</v>
      </c>
      <c r="BE118" s="2079">
        <v>0.2</v>
      </c>
      <c r="BF118" s="2079">
        <v>0.2</v>
      </c>
      <c r="BG118" s="2079">
        <v>0.2</v>
      </c>
      <c r="BH118" s="2079">
        <v>0.2</v>
      </c>
      <c r="BI118" s="2079"/>
      <c r="BJ118" s="2079">
        <v>0.2</v>
      </c>
      <c r="BK118" s="2063"/>
      <c r="BL118" s="1711"/>
      <c r="BM118" s="1711"/>
      <c r="BN118"/>
      <c r="BO118" s="1673">
        <v>1</v>
      </c>
      <c r="BP118" s="1744" t="s">
        <v>369</v>
      </c>
      <c r="BQ118" s="1780" t="s">
        <v>1570</v>
      </c>
      <c r="BR118" s="2079">
        <v>0.2</v>
      </c>
      <c r="BS118" s="2079">
        <v>0.2</v>
      </c>
      <c r="BT118" s="2079">
        <v>0.2</v>
      </c>
      <c r="BU118" s="2079">
        <v>0.2</v>
      </c>
      <c r="BV118" s="2079">
        <v>0.2</v>
      </c>
      <c r="BW118" s="2079">
        <v>0.2</v>
      </c>
      <c r="BX118" s="2079">
        <v>0.2</v>
      </c>
      <c r="BY118" s="2079">
        <v>0.2</v>
      </c>
      <c r="BZ118" s="2079"/>
      <c r="CA118" s="2079">
        <v>0.2</v>
      </c>
      <c r="CB118" s="2063"/>
      <c r="CC118" s="1711"/>
      <c r="CD118" s="1711"/>
      <c r="CE118"/>
    </row>
    <row r="119" spans="1:83" s="1605" customFormat="1">
      <c r="A119"/>
      <c r="B119" s="1597">
        <f t="shared" si="100"/>
        <v>2</v>
      </c>
      <c r="C119" s="1641" t="str">
        <f t="shared" si="82"/>
        <v>自然エネルギー利用</v>
      </c>
      <c r="D119" s="2062">
        <f>IF(I$117=0,0,G119/I$117)</f>
        <v>0.1</v>
      </c>
      <c r="E119" s="1743">
        <f>IF(J$117=0,0,H119/J$117)</f>
        <v>0</v>
      </c>
      <c r="F119"/>
      <c r="G119" s="1743">
        <f t="shared" si="83"/>
        <v>0.1</v>
      </c>
      <c r="H119" s="1743">
        <f t="shared" si="84"/>
        <v>0</v>
      </c>
      <c r="I119" s="1724">
        <f>SUM(G120:G121)</f>
        <v>1</v>
      </c>
      <c r="J119" s="1724">
        <f>SUM(H120:H121)</f>
        <v>0</v>
      </c>
      <c r="K119" s="1743">
        <f>IF(スコア表示!W119=0,0,1)</f>
        <v>1</v>
      </c>
      <c r="L119" s="1743">
        <f>IF(スコア表示!AA119=0,0,1)</f>
        <v>0</v>
      </c>
      <c r="M119" s="1743">
        <f>SUMPRODUCT($S$7:$AB$7,S119:AB119)</f>
        <v>0.1</v>
      </c>
      <c r="N119" s="1743">
        <f t="shared" ref="N119:N120" si="105">(AC$7*AC119)+(AD$7*AD119)+(AE$7*AE119)</f>
        <v>0</v>
      </c>
      <c r="O119"/>
      <c r="P119" s="1641">
        <f t="shared" si="103"/>
        <v>2</v>
      </c>
      <c r="Q119" s="1641" t="str">
        <f t="shared" si="104"/>
        <v>LR1</v>
      </c>
      <c r="R119" s="1780" t="str">
        <f t="shared" si="86"/>
        <v>自然エネルギー利用</v>
      </c>
      <c r="S119" s="1643">
        <f t="shared" si="87"/>
        <v>0.1</v>
      </c>
      <c r="T119" s="1643">
        <f t="shared" si="88"/>
        <v>0.1</v>
      </c>
      <c r="U119" s="1643">
        <f t="shared" si="89"/>
        <v>0.1</v>
      </c>
      <c r="V119" s="1643">
        <f t="shared" si="90"/>
        <v>0.1</v>
      </c>
      <c r="W119" s="1643">
        <f t="shared" si="91"/>
        <v>0.1</v>
      </c>
      <c r="X119" s="1643">
        <f t="shared" si="92"/>
        <v>0.1</v>
      </c>
      <c r="Y119" s="1643">
        <f t="shared" si="93"/>
        <v>0.1</v>
      </c>
      <c r="Z119" s="1611">
        <f t="shared" si="94"/>
        <v>0.1</v>
      </c>
      <c r="AA119" s="1643">
        <f t="shared" si="95"/>
        <v>0.125</v>
      </c>
      <c r="AB119" s="1643">
        <f t="shared" si="96"/>
        <v>0.1</v>
      </c>
      <c r="AC119" s="1659">
        <f t="shared" si="97"/>
        <v>0</v>
      </c>
      <c r="AD119" s="1610">
        <f t="shared" si="98"/>
        <v>0</v>
      </c>
      <c r="AE119" s="1610">
        <f t="shared" si="99"/>
        <v>0</v>
      </c>
      <c r="AF119"/>
      <c r="AG119" s="1641">
        <v>2</v>
      </c>
      <c r="AH119" s="1744" t="s">
        <v>369</v>
      </c>
      <c r="AI119" s="1780" t="s">
        <v>783</v>
      </c>
      <c r="AJ119" s="2079">
        <v>0.1</v>
      </c>
      <c r="AK119" s="2079">
        <v>0.1</v>
      </c>
      <c r="AL119" s="2079">
        <v>0.1</v>
      </c>
      <c r="AM119" s="2079">
        <v>0.1</v>
      </c>
      <c r="AN119" s="2079">
        <v>0.1</v>
      </c>
      <c r="AO119" s="2079">
        <v>0.1</v>
      </c>
      <c r="AP119" s="2079">
        <v>0.1</v>
      </c>
      <c r="AQ119" s="2079">
        <v>0.1</v>
      </c>
      <c r="AR119" s="2352">
        <v>0.125</v>
      </c>
      <c r="AS119" s="2079">
        <v>0.1</v>
      </c>
      <c r="AT119" s="2063"/>
      <c r="AU119" s="1711"/>
      <c r="AV119" s="1711"/>
      <c r="AW119"/>
      <c r="AX119" s="1641">
        <v>2</v>
      </c>
      <c r="AY119" s="1744" t="s">
        <v>369</v>
      </c>
      <c r="AZ119" s="1780" t="s">
        <v>783</v>
      </c>
      <c r="BA119" s="2079">
        <v>0.1</v>
      </c>
      <c r="BB119" s="2079">
        <v>0.1</v>
      </c>
      <c r="BC119" s="2079">
        <v>0.1</v>
      </c>
      <c r="BD119" s="2079">
        <v>0.1</v>
      </c>
      <c r="BE119" s="2079">
        <v>0.1</v>
      </c>
      <c r="BF119" s="2079">
        <v>0.1</v>
      </c>
      <c r="BG119" s="2079">
        <v>0.1</v>
      </c>
      <c r="BH119" s="2079">
        <v>0.1</v>
      </c>
      <c r="BI119" s="2352">
        <v>0.125</v>
      </c>
      <c r="BJ119" s="2079">
        <v>0.1</v>
      </c>
      <c r="BK119" s="2063"/>
      <c r="BL119" s="1711"/>
      <c r="BM119" s="1711"/>
      <c r="BN119"/>
      <c r="BO119" s="1641">
        <v>2</v>
      </c>
      <c r="BP119" s="1744" t="s">
        <v>369</v>
      </c>
      <c r="BQ119" s="1780" t="s">
        <v>783</v>
      </c>
      <c r="BR119" s="2079">
        <v>0.1</v>
      </c>
      <c r="BS119" s="2079">
        <v>0.1</v>
      </c>
      <c r="BT119" s="2079">
        <v>0.1</v>
      </c>
      <c r="BU119" s="2079">
        <v>0.1</v>
      </c>
      <c r="BV119" s="2079">
        <v>0.1</v>
      </c>
      <c r="BW119" s="2079">
        <v>0.1</v>
      </c>
      <c r="BX119" s="2079">
        <v>0.1</v>
      </c>
      <c r="BY119" s="2079">
        <v>0.1</v>
      </c>
      <c r="BZ119" s="2352">
        <v>0.125</v>
      </c>
      <c r="CA119" s="2079">
        <v>0.1</v>
      </c>
      <c r="CB119" s="2063"/>
      <c r="CC119" s="1711"/>
      <c r="CD119" s="1711"/>
      <c r="CE119"/>
    </row>
    <row r="120" spans="1:83" s="1605" customFormat="1">
      <c r="A120"/>
      <c r="B120" s="1597" t="str">
        <f t="shared" si="100"/>
        <v>2a</v>
      </c>
      <c r="C120" s="1641" t="str">
        <f t="shared" si="82"/>
        <v>小中学校・集合住宅</v>
      </c>
      <c r="D120" s="1716">
        <f>IF(I$119=0,0,G120/I$119)</f>
        <v>0</v>
      </c>
      <c r="E120" s="1716">
        <f>IF(J$119=0,0,H120/J$119)</f>
        <v>0</v>
      </c>
      <c r="F120"/>
      <c r="G120" s="1743">
        <f t="shared" si="83"/>
        <v>0</v>
      </c>
      <c r="H120" s="1743">
        <f t="shared" si="84"/>
        <v>0</v>
      </c>
      <c r="I120" s="1743"/>
      <c r="J120" s="1743"/>
      <c r="K120" s="1743">
        <f>IF(スコア表示!W120=0,0,1)</f>
        <v>0</v>
      </c>
      <c r="L120" s="1743">
        <f>IF(スコア表示!AA120=0,0,1)</f>
        <v>0</v>
      </c>
      <c r="M120" s="1743">
        <f>SUMPRODUCT($S$7:$AB$7,S120:AB120)</f>
        <v>0</v>
      </c>
      <c r="N120" s="1743">
        <f t="shared" si="105"/>
        <v>0</v>
      </c>
      <c r="O120"/>
      <c r="P120" s="1641" t="str">
        <f t="shared" si="103"/>
        <v>2a</v>
      </c>
      <c r="Q120" s="1641" t="str">
        <f t="shared" si="104"/>
        <v>LR1 2</v>
      </c>
      <c r="R120" s="1780" t="str">
        <f t="shared" si="86"/>
        <v>小中学校・集合住宅</v>
      </c>
      <c r="S120" s="1643">
        <f t="shared" ref="S120:AB123" si="106">IF($S$3=1,BA120,IF($S$3=2,BR120,AJ120))</f>
        <v>0</v>
      </c>
      <c r="T120" s="1643">
        <f t="shared" si="106"/>
        <v>0</v>
      </c>
      <c r="U120" s="1643">
        <f t="shared" si="106"/>
        <v>0</v>
      </c>
      <c r="V120" s="1643">
        <f t="shared" si="106"/>
        <v>0</v>
      </c>
      <c r="W120" s="1643">
        <f t="shared" si="106"/>
        <v>0</v>
      </c>
      <c r="X120" s="1643">
        <f t="shared" si="106"/>
        <v>0</v>
      </c>
      <c r="Y120" s="1643">
        <f t="shared" si="106"/>
        <v>1</v>
      </c>
      <c r="Z120" s="1611">
        <f t="shared" si="106"/>
        <v>0</v>
      </c>
      <c r="AA120" s="1643">
        <f t="shared" si="106"/>
        <v>0</v>
      </c>
      <c r="AB120" s="1643">
        <f t="shared" si="106"/>
        <v>1</v>
      </c>
      <c r="AC120" s="1659">
        <f t="shared" ref="AC120:AC155" si="107">IF($P$3=1,BK120,IF($P$3=2,CB120,AT120))</f>
        <v>0</v>
      </c>
      <c r="AD120" s="1610">
        <f t="shared" ref="AD120:AD155" si="108">IF($P$3=1,BL120,IF($P$3=2,CC120,AU120))</f>
        <v>0</v>
      </c>
      <c r="AE120" s="1610">
        <f t="shared" ref="AE120:AE155" si="109">IF($P$3=1,BM120,IF($P$3=2,CD120,AV120))</f>
        <v>0</v>
      </c>
      <c r="AF120"/>
      <c r="AG120" s="1647" t="s">
        <v>1830</v>
      </c>
      <c r="AH120" s="1744" t="s">
        <v>1835</v>
      </c>
      <c r="AI120" s="1780" t="s">
        <v>1448</v>
      </c>
      <c r="AJ120" s="1736"/>
      <c r="AK120" s="1736"/>
      <c r="AL120" s="1736"/>
      <c r="AM120" s="1736"/>
      <c r="AN120" s="1736"/>
      <c r="AO120" s="1736"/>
      <c r="AP120" s="1736">
        <v>1</v>
      </c>
      <c r="AQ120" s="1736"/>
      <c r="AR120" s="1736"/>
      <c r="AS120" s="1736">
        <v>1</v>
      </c>
      <c r="AT120" s="2063"/>
      <c r="AU120" s="1711"/>
      <c r="AV120" s="1711"/>
      <c r="AW120"/>
      <c r="AX120" s="1647" t="s">
        <v>1830</v>
      </c>
      <c r="AY120" s="1744" t="s">
        <v>1835</v>
      </c>
      <c r="AZ120" s="1780" t="s">
        <v>1448</v>
      </c>
      <c r="BA120" s="1736"/>
      <c r="BB120" s="1736"/>
      <c r="BC120" s="1736"/>
      <c r="BD120" s="1736"/>
      <c r="BE120" s="1736"/>
      <c r="BF120" s="1736"/>
      <c r="BG120" s="1736">
        <v>1</v>
      </c>
      <c r="BH120" s="1736"/>
      <c r="BI120" s="1736"/>
      <c r="BJ120" s="1736">
        <v>1</v>
      </c>
      <c r="BK120" s="2063"/>
      <c r="BL120" s="1711"/>
      <c r="BM120" s="1711"/>
      <c r="BN120"/>
      <c r="BO120" s="1647" t="s">
        <v>1830</v>
      </c>
      <c r="BP120" s="1744" t="s">
        <v>1835</v>
      </c>
      <c r="BQ120" s="1780" t="s">
        <v>1448</v>
      </c>
      <c r="BR120" s="1736"/>
      <c r="BS120" s="1736"/>
      <c r="BT120" s="1736"/>
      <c r="BU120" s="1736"/>
      <c r="BV120" s="1736"/>
      <c r="BW120" s="1736"/>
      <c r="BX120" s="1736">
        <v>1</v>
      </c>
      <c r="BY120" s="1736"/>
      <c r="BZ120" s="1736"/>
      <c r="CA120" s="1736">
        <v>1</v>
      </c>
      <c r="CB120" s="2063"/>
      <c r="CC120" s="1711"/>
      <c r="CD120" s="1711"/>
      <c r="CE120"/>
    </row>
    <row r="121" spans="1:83" s="1605" customFormat="1">
      <c r="A121"/>
      <c r="B121" s="1597" t="str">
        <f t="shared" si="100"/>
        <v>2b</v>
      </c>
      <c r="C121" s="1641" t="str">
        <f t="shared" si="82"/>
        <v>上記以外</v>
      </c>
      <c r="D121" s="1716">
        <f>IF(I$119=0,0,G121/I$119)</f>
        <v>1</v>
      </c>
      <c r="E121" s="1716">
        <f>IF(J$119=0,0,H121/J$119)</f>
        <v>0</v>
      </c>
      <c r="F121"/>
      <c r="G121" s="1743">
        <f t="shared" si="83"/>
        <v>1</v>
      </c>
      <c r="H121" s="1743">
        <f t="shared" si="84"/>
        <v>0</v>
      </c>
      <c r="I121" s="1743"/>
      <c r="J121" s="1743"/>
      <c r="K121" s="1743">
        <f>IF(スコア表示!W121=0,0,1)</f>
        <v>1</v>
      </c>
      <c r="L121" s="1743">
        <f>IF(スコア表示!AA121=0,0,1)</f>
        <v>0</v>
      </c>
      <c r="M121" s="1743">
        <f>SUMPRODUCT($S$7:$AB$7,S121:AB121)</f>
        <v>1</v>
      </c>
      <c r="N121" s="1743">
        <f>(AC$7*AC121)+(AD$7*AD121)+(AE$7*AE121)</f>
        <v>0</v>
      </c>
      <c r="O121"/>
      <c r="P121" s="1641" t="str">
        <f t="shared" si="103"/>
        <v>2b</v>
      </c>
      <c r="Q121" s="1641" t="str">
        <f t="shared" si="104"/>
        <v>LR1 2</v>
      </c>
      <c r="R121" s="1780" t="str">
        <f t="shared" si="86"/>
        <v>上記以外</v>
      </c>
      <c r="S121" s="1618">
        <f t="shared" si="106"/>
        <v>1</v>
      </c>
      <c r="T121" s="1618">
        <f t="shared" si="106"/>
        <v>1</v>
      </c>
      <c r="U121" s="1618">
        <f t="shared" si="106"/>
        <v>1</v>
      </c>
      <c r="V121" s="1618">
        <f t="shared" si="106"/>
        <v>1</v>
      </c>
      <c r="W121" s="1618">
        <f t="shared" si="106"/>
        <v>1</v>
      </c>
      <c r="X121" s="1618">
        <f t="shared" si="106"/>
        <v>1</v>
      </c>
      <c r="Y121" s="1643">
        <f t="shared" si="106"/>
        <v>0</v>
      </c>
      <c r="Z121" s="1618">
        <f t="shared" si="106"/>
        <v>1</v>
      </c>
      <c r="AA121" s="1618">
        <f t="shared" si="106"/>
        <v>1</v>
      </c>
      <c r="AB121" s="1643">
        <f t="shared" si="106"/>
        <v>0</v>
      </c>
      <c r="AC121" s="1659">
        <f t="shared" si="107"/>
        <v>0</v>
      </c>
      <c r="AD121" s="1610">
        <f t="shared" si="108"/>
        <v>0</v>
      </c>
      <c r="AE121" s="1610">
        <f t="shared" si="109"/>
        <v>0</v>
      </c>
      <c r="AF121"/>
      <c r="AG121" s="1647" t="s">
        <v>1832</v>
      </c>
      <c r="AH121" s="1744" t="s">
        <v>1835</v>
      </c>
      <c r="AI121" s="1780" t="s">
        <v>1449</v>
      </c>
      <c r="AJ121" s="1736">
        <v>1</v>
      </c>
      <c r="AK121" s="1736">
        <v>1</v>
      </c>
      <c r="AL121" s="1736">
        <v>1</v>
      </c>
      <c r="AM121" s="1736">
        <v>1</v>
      </c>
      <c r="AN121" s="1736">
        <v>1</v>
      </c>
      <c r="AO121" s="1736">
        <v>1</v>
      </c>
      <c r="AP121" s="1736"/>
      <c r="AQ121" s="1736">
        <v>1</v>
      </c>
      <c r="AR121" s="1736">
        <v>1</v>
      </c>
      <c r="AS121" s="1736"/>
      <c r="AT121" s="2063"/>
      <c r="AU121" s="1711"/>
      <c r="AV121" s="1711"/>
      <c r="AW121"/>
      <c r="AX121" s="1647" t="s">
        <v>1832</v>
      </c>
      <c r="AY121" s="1744" t="s">
        <v>1835</v>
      </c>
      <c r="AZ121" s="1780" t="s">
        <v>1449</v>
      </c>
      <c r="BA121" s="1736">
        <v>1</v>
      </c>
      <c r="BB121" s="1736">
        <v>1</v>
      </c>
      <c r="BC121" s="1736">
        <v>1</v>
      </c>
      <c r="BD121" s="1736">
        <v>1</v>
      </c>
      <c r="BE121" s="1736">
        <v>1</v>
      </c>
      <c r="BF121" s="1736">
        <v>1</v>
      </c>
      <c r="BG121" s="1736"/>
      <c r="BH121" s="1736">
        <v>1</v>
      </c>
      <c r="BI121" s="1736">
        <v>1</v>
      </c>
      <c r="BJ121" s="1736"/>
      <c r="BK121" s="2063"/>
      <c r="BL121" s="1711"/>
      <c r="BM121" s="1711"/>
      <c r="BN121"/>
      <c r="BO121" s="1647" t="s">
        <v>1832</v>
      </c>
      <c r="BP121" s="1744" t="s">
        <v>1835</v>
      </c>
      <c r="BQ121" s="1780" t="s">
        <v>1449</v>
      </c>
      <c r="BR121" s="1736">
        <v>1</v>
      </c>
      <c r="BS121" s="1736">
        <v>1</v>
      </c>
      <c r="BT121" s="1736">
        <v>1</v>
      </c>
      <c r="BU121" s="1736">
        <v>1</v>
      </c>
      <c r="BV121" s="1736">
        <v>1</v>
      </c>
      <c r="BW121" s="1736">
        <v>1</v>
      </c>
      <c r="BX121" s="1736"/>
      <c r="BY121" s="1736">
        <v>1</v>
      </c>
      <c r="BZ121" s="1736">
        <v>1</v>
      </c>
      <c r="CA121" s="1736"/>
      <c r="CB121" s="2063"/>
      <c r="CC121" s="1711"/>
      <c r="CD121" s="1711"/>
      <c r="CE121"/>
    </row>
    <row r="122" spans="1:83" hidden="1">
      <c r="B122" s="1597" t="str">
        <f t="shared" si="100"/>
        <v>2.1</v>
      </c>
      <c r="C122" s="1647" t="str">
        <f t="shared" si="82"/>
        <v>自然エネルギーの直接利用</v>
      </c>
      <c r="D122" s="1716">
        <f>IF(I$121=0,0,G122/I$121)</f>
        <v>0</v>
      </c>
      <c r="E122" s="1716">
        <f>IF(J$121=0,0,H122/J$121)</f>
        <v>0</v>
      </c>
      <c r="G122" s="1691">
        <f t="shared" si="83"/>
        <v>0</v>
      </c>
      <c r="H122" s="1691">
        <f t="shared" si="84"/>
        <v>0</v>
      </c>
      <c r="I122" s="1691"/>
      <c r="J122" s="1691"/>
      <c r="K122" s="1691">
        <f>IF(スコア表示!W122=0,0,1)</f>
        <v>0</v>
      </c>
      <c r="L122" s="1691">
        <f>IF(スコア表示!AA122=0,0,1)</f>
        <v>0</v>
      </c>
      <c r="M122" s="1691">
        <f t="shared" si="85"/>
        <v>0</v>
      </c>
      <c r="N122" s="1691">
        <f t="shared" si="102"/>
        <v>0</v>
      </c>
      <c r="P122" s="1647" t="str">
        <f t="shared" si="103"/>
        <v>2.1</v>
      </c>
      <c r="Q122" s="1647" t="str">
        <f t="shared" si="104"/>
        <v>LR1 2</v>
      </c>
      <c r="R122" s="1737" t="str">
        <f t="shared" si="86"/>
        <v>自然エネルギーの直接利用</v>
      </c>
      <c r="S122" s="1618">
        <f t="shared" si="106"/>
        <v>0</v>
      </c>
      <c r="T122" s="1618">
        <f t="shared" si="106"/>
        <v>0</v>
      </c>
      <c r="U122" s="1618">
        <f t="shared" si="106"/>
        <v>0</v>
      </c>
      <c r="V122" s="1618">
        <f t="shared" si="106"/>
        <v>0</v>
      </c>
      <c r="W122" s="1618">
        <f t="shared" si="106"/>
        <v>0</v>
      </c>
      <c r="X122" s="1618">
        <f t="shared" si="106"/>
        <v>0</v>
      </c>
      <c r="Y122" s="1618">
        <f t="shared" si="106"/>
        <v>0</v>
      </c>
      <c r="Z122" s="1618">
        <f t="shared" si="106"/>
        <v>0</v>
      </c>
      <c r="AA122" s="1618">
        <f t="shared" si="106"/>
        <v>0</v>
      </c>
      <c r="AB122" s="1618">
        <f t="shared" si="106"/>
        <v>0</v>
      </c>
      <c r="AC122" s="1662">
        <f t="shared" si="107"/>
        <v>0</v>
      </c>
      <c r="AD122" s="1661">
        <f t="shared" si="108"/>
        <v>0</v>
      </c>
      <c r="AE122" s="1661">
        <f t="shared" si="109"/>
        <v>0</v>
      </c>
      <c r="AG122" s="1647" t="s">
        <v>1571</v>
      </c>
      <c r="AH122" s="1693" t="s">
        <v>370</v>
      </c>
      <c r="AI122" s="1737" t="s">
        <v>784</v>
      </c>
      <c r="AJ122" s="1623"/>
      <c r="AK122" s="1623"/>
      <c r="AL122" s="1623"/>
      <c r="AM122" s="1623"/>
      <c r="AN122" s="1623"/>
      <c r="AO122" s="1623"/>
      <c r="AP122" s="1623"/>
      <c r="AQ122" s="1623"/>
      <c r="AR122" s="1623"/>
      <c r="AS122" s="1623"/>
      <c r="AT122" s="2088"/>
      <c r="AU122" s="2087"/>
      <c r="AV122" s="2087"/>
      <c r="AX122" s="1647" t="s">
        <v>1572</v>
      </c>
      <c r="AY122" s="1693" t="s">
        <v>370</v>
      </c>
      <c r="AZ122" s="1737" t="s">
        <v>784</v>
      </c>
      <c r="BA122" s="1623"/>
      <c r="BB122" s="1623"/>
      <c r="BC122" s="1623"/>
      <c r="BD122" s="1623"/>
      <c r="BE122" s="1623"/>
      <c r="BF122" s="1623"/>
      <c r="BG122" s="1623"/>
      <c r="BH122" s="1623"/>
      <c r="BI122" s="1623"/>
      <c r="BJ122" s="1623"/>
      <c r="BK122" s="2088"/>
      <c r="BL122" s="2087"/>
      <c r="BM122" s="2087"/>
      <c r="BO122" s="1647" t="s">
        <v>1572</v>
      </c>
      <c r="BP122" s="1693" t="s">
        <v>370</v>
      </c>
      <c r="BQ122" s="1737" t="s">
        <v>784</v>
      </c>
      <c r="BR122" s="1623"/>
      <c r="BS122" s="1623"/>
      <c r="BT122" s="1623"/>
      <c r="BU122" s="1623"/>
      <c r="BV122" s="1623"/>
      <c r="BW122" s="1623"/>
      <c r="BX122" s="1623"/>
      <c r="BY122" s="1623"/>
      <c r="BZ122" s="1623"/>
      <c r="CA122" s="1623"/>
      <c r="CB122" s="2088"/>
      <c r="CC122" s="2087"/>
      <c r="CD122" s="2087"/>
    </row>
    <row r="123" spans="1:83" hidden="1">
      <c r="B123" s="1597" t="str">
        <f t="shared" si="100"/>
        <v>2.2</v>
      </c>
      <c r="C123" s="1647" t="str">
        <f t="shared" si="82"/>
        <v>自然エネルギーの変換利用</v>
      </c>
      <c r="D123" s="1716">
        <f>IF(I$121=0,0,G123/I$121)</f>
        <v>0</v>
      </c>
      <c r="E123" s="1716">
        <f>IF(J$121=0,0,H123/J$121)</f>
        <v>0</v>
      </c>
      <c r="G123" s="1691">
        <f t="shared" si="83"/>
        <v>0</v>
      </c>
      <c r="H123" s="1691">
        <f t="shared" si="84"/>
        <v>0</v>
      </c>
      <c r="I123" s="1691"/>
      <c r="J123" s="1691"/>
      <c r="K123" s="1691">
        <f>IF(スコア表示!W123=0,0,1)</f>
        <v>0</v>
      </c>
      <c r="L123" s="1691">
        <f>IF(スコア表示!AA123=0,0,1)</f>
        <v>0</v>
      </c>
      <c r="M123" s="1691">
        <f t="shared" si="85"/>
        <v>0</v>
      </c>
      <c r="N123" s="1691">
        <f t="shared" si="102"/>
        <v>0</v>
      </c>
      <c r="P123" s="1647" t="str">
        <f t="shared" si="103"/>
        <v>2.2</v>
      </c>
      <c r="Q123" s="1647" t="str">
        <f t="shared" si="104"/>
        <v>LR1 2</v>
      </c>
      <c r="R123" s="1737" t="str">
        <f t="shared" si="86"/>
        <v>自然エネルギーの変換利用</v>
      </c>
      <c r="S123" s="1618">
        <f t="shared" si="106"/>
        <v>0</v>
      </c>
      <c r="T123" s="1618">
        <f t="shared" si="106"/>
        <v>0</v>
      </c>
      <c r="U123" s="1618">
        <f t="shared" si="106"/>
        <v>0</v>
      </c>
      <c r="V123" s="1618">
        <f t="shared" si="106"/>
        <v>0</v>
      </c>
      <c r="W123" s="1618">
        <f t="shared" si="106"/>
        <v>0</v>
      </c>
      <c r="X123" s="1618">
        <f t="shared" si="106"/>
        <v>0</v>
      </c>
      <c r="Y123" s="1618">
        <f t="shared" si="106"/>
        <v>0</v>
      </c>
      <c r="Z123" s="1618">
        <f t="shared" si="106"/>
        <v>0</v>
      </c>
      <c r="AA123" s="1618">
        <f t="shared" si="106"/>
        <v>0</v>
      </c>
      <c r="AB123" s="1618">
        <f t="shared" si="106"/>
        <v>0</v>
      </c>
      <c r="AC123" s="1662">
        <f t="shared" si="107"/>
        <v>0</v>
      </c>
      <c r="AD123" s="1661">
        <f t="shared" si="108"/>
        <v>0</v>
      </c>
      <c r="AE123" s="1661">
        <f t="shared" si="109"/>
        <v>0</v>
      </c>
      <c r="AG123" s="1647" t="s">
        <v>1573</v>
      </c>
      <c r="AH123" s="1693" t="s">
        <v>370</v>
      </c>
      <c r="AI123" s="1737" t="s">
        <v>785</v>
      </c>
      <c r="AJ123" s="1623"/>
      <c r="AK123" s="1623"/>
      <c r="AL123" s="1623"/>
      <c r="AM123" s="1623"/>
      <c r="AN123" s="1623"/>
      <c r="AO123" s="1623"/>
      <c r="AP123" s="1623"/>
      <c r="AQ123" s="1623"/>
      <c r="AR123" s="1623"/>
      <c r="AS123" s="1623"/>
      <c r="AT123" s="2088"/>
      <c r="AU123" s="2087"/>
      <c r="AV123" s="2087"/>
      <c r="AX123" s="1647" t="s">
        <v>1574</v>
      </c>
      <c r="AY123" s="1693" t="s">
        <v>370</v>
      </c>
      <c r="AZ123" s="1737" t="s">
        <v>785</v>
      </c>
      <c r="BA123" s="1623"/>
      <c r="BB123" s="1623"/>
      <c r="BC123" s="1623"/>
      <c r="BD123" s="1623"/>
      <c r="BE123" s="1623"/>
      <c r="BF123" s="1623"/>
      <c r="BG123" s="1623"/>
      <c r="BH123" s="1623"/>
      <c r="BI123" s="1623"/>
      <c r="BJ123" s="1623"/>
      <c r="BK123" s="2088"/>
      <c r="BL123" s="2087"/>
      <c r="BM123" s="2087"/>
      <c r="BO123" s="1647" t="s">
        <v>1574</v>
      </c>
      <c r="BP123" s="1693" t="s">
        <v>370</v>
      </c>
      <c r="BQ123" s="1737" t="s">
        <v>785</v>
      </c>
      <c r="BR123" s="1623"/>
      <c r="BS123" s="1623"/>
      <c r="BT123" s="1623"/>
      <c r="BU123" s="1623"/>
      <c r="BV123" s="1623"/>
      <c r="BW123" s="1623"/>
      <c r="BX123" s="1623"/>
      <c r="BY123" s="1623"/>
      <c r="BZ123" s="1623"/>
      <c r="CA123" s="1623"/>
      <c r="CB123" s="2088"/>
      <c r="CC123" s="2087"/>
      <c r="CD123" s="2087"/>
    </row>
    <row r="124" spans="1:83" s="1605" customFormat="1">
      <c r="A124"/>
      <c r="B124" s="1597">
        <f t="shared" si="100"/>
        <v>3</v>
      </c>
      <c r="C124" s="1641" t="str">
        <f t="shared" si="82"/>
        <v>設備システムの高効率化</v>
      </c>
      <c r="D124" s="2062">
        <f>IF(I$117=0,0,G124/I$117)</f>
        <v>0.5</v>
      </c>
      <c r="E124" s="1743">
        <f>IF(J$117=0,0,H124/J$117)</f>
        <v>0</v>
      </c>
      <c r="F124"/>
      <c r="G124" s="1743">
        <f t="shared" si="83"/>
        <v>0.5</v>
      </c>
      <c r="H124" s="1743">
        <f t="shared" si="84"/>
        <v>0</v>
      </c>
      <c r="I124" s="1724">
        <f>SUM(G125:G126)</f>
        <v>1</v>
      </c>
      <c r="J124" s="1724">
        <f>SUM(H125:H126)</f>
        <v>0</v>
      </c>
      <c r="K124" s="1743">
        <f>IF(スコア表示!W124=0,0,1)</f>
        <v>1</v>
      </c>
      <c r="L124" s="1743">
        <f>IF(スコア表示!AA124=0,0,1)</f>
        <v>0</v>
      </c>
      <c r="M124" s="1743">
        <f t="shared" si="85"/>
        <v>0.5</v>
      </c>
      <c r="N124" s="1743">
        <f t="shared" si="102"/>
        <v>0</v>
      </c>
      <c r="O124"/>
      <c r="P124" s="1641">
        <f t="shared" si="103"/>
        <v>3</v>
      </c>
      <c r="Q124" s="1641" t="str">
        <f t="shared" si="104"/>
        <v>LR1</v>
      </c>
      <c r="R124" s="1780" t="str">
        <f t="shared" si="86"/>
        <v>設備システムの高効率化</v>
      </c>
      <c r="S124" s="1643">
        <f t="shared" ref="S124:S159" si="110">IF($P$3=1,BA124,IF($P$3=2,BR124,AJ124))</f>
        <v>0.5</v>
      </c>
      <c r="T124" s="1643">
        <f t="shared" ref="T124:T159" si="111">IF($P$3=1,BB124,IF($P$3=2,BS124,AK124))</f>
        <v>0.5</v>
      </c>
      <c r="U124" s="1643">
        <f t="shared" ref="U124:U159" si="112">IF($P$3=1,BC124,IF($P$3=2,BT124,AL124))</f>
        <v>0.5</v>
      </c>
      <c r="V124" s="1643">
        <f t="shared" ref="V124:V159" si="113">IF($P$3=1,BD124,IF($P$3=2,BU124,AM124))</f>
        <v>0.5</v>
      </c>
      <c r="W124" s="1643">
        <f t="shared" ref="W124:W159" si="114">IF($P$3=1,BE124,IF($P$3=2,BV124,AN124))</f>
        <v>0.5</v>
      </c>
      <c r="X124" s="1643">
        <f t="shared" ref="X124:X159" si="115">IF($P$3=1,BF124,IF($P$3=2,BW124,AO124))</f>
        <v>0.5</v>
      </c>
      <c r="Y124" s="1643">
        <f t="shared" ref="Y124:Y159" si="116">IF($P$3=1,BG124,IF($P$3=2,BX124,AP124))</f>
        <v>0.5</v>
      </c>
      <c r="Z124" s="1611">
        <f t="shared" ref="Z124:Z159" si="117">IF($P$3=1,BH124,IF($P$3=2,BY124,AQ124))</f>
        <v>0.5</v>
      </c>
      <c r="AA124" s="1643">
        <f t="shared" ref="AA124:AA159" si="118">IF($P$3=1,BI124,IF($P$3=2,BZ124,AR124))</f>
        <v>0.625</v>
      </c>
      <c r="AB124" s="1643">
        <f t="shared" ref="AB124:AB159" si="119">IF($P$3=1,BJ124,IF($P$3=2,CA124,AS124))</f>
        <v>0.5</v>
      </c>
      <c r="AC124" s="1659">
        <f t="shared" si="107"/>
        <v>0</v>
      </c>
      <c r="AD124" s="1610">
        <f t="shared" si="108"/>
        <v>0</v>
      </c>
      <c r="AE124" s="1610">
        <f t="shared" si="109"/>
        <v>0</v>
      </c>
      <c r="AF124"/>
      <c r="AG124" s="1641">
        <v>3</v>
      </c>
      <c r="AH124" s="1744" t="s">
        <v>369</v>
      </c>
      <c r="AI124" s="1780" t="s">
        <v>786</v>
      </c>
      <c r="AJ124" s="2079">
        <v>0.5</v>
      </c>
      <c r="AK124" s="2079">
        <v>0.5</v>
      </c>
      <c r="AL124" s="2079">
        <v>0.5</v>
      </c>
      <c r="AM124" s="2079">
        <v>0.5</v>
      </c>
      <c r="AN124" s="2079">
        <v>0.5</v>
      </c>
      <c r="AO124" s="2079">
        <v>0.5</v>
      </c>
      <c r="AP124" s="2079">
        <v>0.5</v>
      </c>
      <c r="AQ124" s="2079">
        <v>0.5</v>
      </c>
      <c r="AR124" s="2352">
        <v>0.625</v>
      </c>
      <c r="AS124" s="2079">
        <v>0.5</v>
      </c>
      <c r="AT124" s="2063"/>
      <c r="AU124" s="1711"/>
      <c r="AV124" s="1711"/>
      <c r="AW124"/>
      <c r="AX124" s="1641">
        <v>3</v>
      </c>
      <c r="AY124" s="1744" t="s">
        <v>369</v>
      </c>
      <c r="AZ124" s="1780" t="s">
        <v>786</v>
      </c>
      <c r="BA124" s="2079">
        <v>0.5</v>
      </c>
      <c r="BB124" s="2079">
        <v>0.5</v>
      </c>
      <c r="BC124" s="2079">
        <v>0.5</v>
      </c>
      <c r="BD124" s="2079">
        <v>0.5</v>
      </c>
      <c r="BE124" s="2079">
        <v>0.5</v>
      </c>
      <c r="BF124" s="2079">
        <v>0.5</v>
      </c>
      <c r="BG124" s="2079">
        <v>0.5</v>
      </c>
      <c r="BH124" s="2079">
        <v>0.5</v>
      </c>
      <c r="BI124" s="2352">
        <v>0.625</v>
      </c>
      <c r="BJ124" s="2079">
        <v>0.5</v>
      </c>
      <c r="BK124" s="2063"/>
      <c r="BL124" s="1711"/>
      <c r="BM124" s="1711"/>
      <c r="BN124"/>
      <c r="BO124" s="1641">
        <v>3</v>
      </c>
      <c r="BP124" s="1744" t="s">
        <v>369</v>
      </c>
      <c r="BQ124" s="1780" t="s">
        <v>786</v>
      </c>
      <c r="BR124" s="2079">
        <v>0.5</v>
      </c>
      <c r="BS124" s="2079">
        <v>0.5</v>
      </c>
      <c r="BT124" s="2079">
        <v>0.5</v>
      </c>
      <c r="BU124" s="2079">
        <v>0.5</v>
      </c>
      <c r="BV124" s="2079">
        <v>0.5</v>
      </c>
      <c r="BW124" s="2079">
        <v>0.5</v>
      </c>
      <c r="BX124" s="2079">
        <v>0.5</v>
      </c>
      <c r="BY124" s="2079">
        <v>0.5</v>
      </c>
      <c r="BZ124" s="2352">
        <v>0.625</v>
      </c>
      <c r="CA124" s="2079">
        <v>0.5</v>
      </c>
      <c r="CB124" s="2063"/>
      <c r="CC124" s="1711"/>
      <c r="CD124" s="1711"/>
      <c r="CE124"/>
    </row>
    <row r="125" spans="1:83" s="1605" customFormat="1">
      <c r="A125"/>
      <c r="B125" s="1597" t="str">
        <f t="shared" si="100"/>
        <v>3a.3b</v>
      </c>
      <c r="C125" s="1641" t="str">
        <f t="shared" si="82"/>
        <v>非住宅部分</v>
      </c>
      <c r="D125" s="2062">
        <f>IF(I$124=0,0,G125/I$124)</f>
        <v>1</v>
      </c>
      <c r="E125" s="1743">
        <f>IF(J$124=0,0,H125/J$124)</f>
        <v>0</v>
      </c>
      <c r="F125"/>
      <c r="G125" s="1743">
        <f t="shared" si="83"/>
        <v>1</v>
      </c>
      <c r="H125" s="1743">
        <f>L125*N125</f>
        <v>0</v>
      </c>
      <c r="I125" s="1743"/>
      <c r="J125" s="1743"/>
      <c r="K125" s="1743">
        <f>IF(スコア表示!W125=0,0,1)</f>
        <v>1</v>
      </c>
      <c r="L125" s="1743">
        <f>IF(スコア表示!AA125=0,0,1)</f>
        <v>0</v>
      </c>
      <c r="M125" s="1743">
        <f t="shared" si="85"/>
        <v>1</v>
      </c>
      <c r="N125" s="1743">
        <f t="shared" si="102"/>
        <v>0</v>
      </c>
      <c r="O125"/>
      <c r="P125" s="1641" t="str">
        <f t="shared" si="103"/>
        <v>3a.3b</v>
      </c>
      <c r="Q125" s="1641" t="str">
        <f t="shared" si="104"/>
        <v>LR1 3</v>
      </c>
      <c r="R125" s="1780" t="str">
        <f t="shared" si="86"/>
        <v>非住宅部分</v>
      </c>
      <c r="S125" s="1643">
        <f t="shared" si="110"/>
        <v>1</v>
      </c>
      <c r="T125" s="1643">
        <f t="shared" si="111"/>
        <v>1</v>
      </c>
      <c r="U125" s="1643">
        <f t="shared" si="112"/>
        <v>1</v>
      </c>
      <c r="V125" s="1643">
        <f t="shared" si="113"/>
        <v>1</v>
      </c>
      <c r="W125" s="1643">
        <f t="shared" si="114"/>
        <v>1</v>
      </c>
      <c r="X125" s="1643">
        <f t="shared" si="115"/>
        <v>1</v>
      </c>
      <c r="Y125" s="1643">
        <f t="shared" si="116"/>
        <v>0</v>
      </c>
      <c r="Z125" s="1643">
        <f t="shared" si="117"/>
        <v>1</v>
      </c>
      <c r="AA125" s="1643">
        <f t="shared" si="118"/>
        <v>1</v>
      </c>
      <c r="AB125" s="1643">
        <f t="shared" si="119"/>
        <v>1</v>
      </c>
      <c r="AC125" s="1659">
        <f t="shared" si="107"/>
        <v>0</v>
      </c>
      <c r="AD125" s="1610">
        <f t="shared" si="108"/>
        <v>0</v>
      </c>
      <c r="AE125" s="1610">
        <f t="shared" si="109"/>
        <v>0</v>
      </c>
      <c r="AF125"/>
      <c r="AG125" s="1641" t="s">
        <v>1716</v>
      </c>
      <c r="AH125" s="1744" t="s">
        <v>1717</v>
      </c>
      <c r="AI125" s="1780" t="s">
        <v>1577</v>
      </c>
      <c r="AJ125" s="1736">
        <v>1</v>
      </c>
      <c r="AK125" s="1736">
        <v>1</v>
      </c>
      <c r="AL125" s="1736">
        <v>1</v>
      </c>
      <c r="AM125" s="1736">
        <v>1</v>
      </c>
      <c r="AN125" s="1736">
        <v>1</v>
      </c>
      <c r="AO125" s="1736">
        <v>1</v>
      </c>
      <c r="AP125" s="1736"/>
      <c r="AQ125" s="1736">
        <v>1</v>
      </c>
      <c r="AR125" s="1736">
        <v>1</v>
      </c>
      <c r="AS125" s="1736">
        <v>1</v>
      </c>
      <c r="AT125" s="2063"/>
      <c r="AU125" s="1711"/>
      <c r="AV125" s="1711"/>
      <c r="AW125"/>
      <c r="AX125" s="1641" t="s">
        <v>1575</v>
      </c>
      <c r="AY125" s="1744" t="s">
        <v>1576</v>
      </c>
      <c r="AZ125" s="1780" t="s">
        <v>1577</v>
      </c>
      <c r="BA125" s="1736">
        <v>1</v>
      </c>
      <c r="BB125" s="1736">
        <v>1</v>
      </c>
      <c r="BC125" s="1736">
        <v>1</v>
      </c>
      <c r="BD125" s="1736">
        <v>1</v>
      </c>
      <c r="BE125" s="1736">
        <v>1</v>
      </c>
      <c r="BF125" s="1736">
        <v>1</v>
      </c>
      <c r="BG125" s="1736"/>
      <c r="BH125" s="1736">
        <v>1</v>
      </c>
      <c r="BI125" s="1736">
        <v>1</v>
      </c>
      <c r="BJ125" s="1736">
        <v>1</v>
      </c>
      <c r="BK125" s="2063"/>
      <c r="BL125" s="1711"/>
      <c r="BM125" s="1711"/>
      <c r="BN125"/>
      <c r="BO125" s="1641" t="s">
        <v>1575</v>
      </c>
      <c r="BP125" s="1744" t="s">
        <v>1576</v>
      </c>
      <c r="BQ125" s="1780" t="s">
        <v>1577</v>
      </c>
      <c r="BR125" s="1736">
        <v>1</v>
      </c>
      <c r="BS125" s="1736">
        <v>1</v>
      </c>
      <c r="BT125" s="1736">
        <v>1</v>
      </c>
      <c r="BU125" s="1736">
        <v>1</v>
      </c>
      <c r="BV125" s="1736">
        <v>1</v>
      </c>
      <c r="BW125" s="1736">
        <v>1</v>
      </c>
      <c r="BX125" s="1736"/>
      <c r="BY125" s="1736">
        <v>1</v>
      </c>
      <c r="BZ125" s="1736">
        <v>1</v>
      </c>
      <c r="CA125" s="1736">
        <v>1</v>
      </c>
      <c r="CB125" s="2063"/>
      <c r="CC125" s="1711"/>
      <c r="CD125" s="1711"/>
      <c r="CE125"/>
    </row>
    <row r="126" spans="1:83" s="1605" customFormat="1">
      <c r="A126"/>
      <c r="B126" s="1597" t="str">
        <f t="shared" si="100"/>
        <v>3b.c</v>
      </c>
      <c r="C126" s="1641" t="str">
        <f t="shared" si="82"/>
        <v>集合住宅の評価</v>
      </c>
      <c r="D126" s="2062">
        <f>IF(I$124=0,0,G126/I$124)</f>
        <v>0</v>
      </c>
      <c r="E126" s="1743">
        <f>IF(J$124=0,0,H126/J$124)</f>
        <v>0</v>
      </c>
      <c r="F126"/>
      <c r="G126" s="1743">
        <f t="shared" si="83"/>
        <v>0</v>
      </c>
      <c r="H126" s="1743">
        <f t="shared" si="84"/>
        <v>0</v>
      </c>
      <c r="I126" s="1743"/>
      <c r="J126" s="1743"/>
      <c r="K126" s="1743">
        <f>IF(スコア表示!W126=0,0,1)</f>
        <v>0</v>
      </c>
      <c r="L126" s="1743">
        <f>IF(スコア表示!AA126=0,0,1)</f>
        <v>0</v>
      </c>
      <c r="M126" s="1743">
        <f>SUMPRODUCT($S$7:$AB$7,S126:AB126)</f>
        <v>0</v>
      </c>
      <c r="N126" s="1743">
        <f t="shared" si="102"/>
        <v>0</v>
      </c>
      <c r="O126"/>
      <c r="P126" s="1641" t="str">
        <f t="shared" si="103"/>
        <v>3b.c</v>
      </c>
      <c r="Q126" s="1641" t="str">
        <f t="shared" si="104"/>
        <v>LR1 3</v>
      </c>
      <c r="R126" s="1780" t="str">
        <f t="shared" si="86"/>
        <v>集合住宅の評価</v>
      </c>
      <c r="S126" s="1643">
        <f t="shared" si="110"/>
        <v>0</v>
      </c>
      <c r="T126" s="1643">
        <f t="shared" si="111"/>
        <v>0</v>
      </c>
      <c r="U126" s="1643">
        <f t="shared" si="112"/>
        <v>0</v>
      </c>
      <c r="V126" s="1643">
        <f t="shared" si="113"/>
        <v>0</v>
      </c>
      <c r="W126" s="1643">
        <f t="shared" si="114"/>
        <v>0</v>
      </c>
      <c r="X126" s="1643">
        <f t="shared" si="115"/>
        <v>0</v>
      </c>
      <c r="Y126" s="1643">
        <f t="shared" si="116"/>
        <v>1</v>
      </c>
      <c r="Z126" s="1643">
        <f t="shared" si="117"/>
        <v>0</v>
      </c>
      <c r="AA126" s="1643">
        <f t="shared" si="118"/>
        <v>0</v>
      </c>
      <c r="AB126" s="1643">
        <f t="shared" si="119"/>
        <v>0</v>
      </c>
      <c r="AC126" s="1659">
        <f t="shared" si="107"/>
        <v>0</v>
      </c>
      <c r="AD126" s="1610">
        <f t="shared" si="108"/>
        <v>0</v>
      </c>
      <c r="AE126" s="1610">
        <f t="shared" si="109"/>
        <v>0</v>
      </c>
      <c r="AF126"/>
      <c r="AG126" s="1641" t="s">
        <v>1718</v>
      </c>
      <c r="AH126" s="1744" t="s">
        <v>1717</v>
      </c>
      <c r="AI126" s="1780" t="s">
        <v>138</v>
      </c>
      <c r="AJ126" s="1675"/>
      <c r="AK126" s="1675"/>
      <c r="AL126" s="1675"/>
      <c r="AM126" s="1675"/>
      <c r="AN126" s="1675"/>
      <c r="AO126" s="1675"/>
      <c r="AP126" s="1736">
        <v>1</v>
      </c>
      <c r="AQ126" s="1675"/>
      <c r="AR126" s="1675"/>
      <c r="AS126" s="1736"/>
      <c r="AT126" s="2063"/>
      <c r="AU126" s="1711"/>
      <c r="AV126" s="1711"/>
      <c r="AW126"/>
      <c r="AX126" s="1641" t="s">
        <v>1578</v>
      </c>
      <c r="AY126" s="1744" t="s">
        <v>1576</v>
      </c>
      <c r="AZ126" s="1780" t="s">
        <v>138</v>
      </c>
      <c r="BA126" s="1675"/>
      <c r="BB126" s="1675"/>
      <c r="BC126" s="1675"/>
      <c r="BD126" s="1675"/>
      <c r="BE126" s="1675"/>
      <c r="BF126" s="1675"/>
      <c r="BG126" s="1736">
        <v>1</v>
      </c>
      <c r="BH126" s="1675"/>
      <c r="BI126" s="1675"/>
      <c r="BJ126" s="1736"/>
      <c r="BK126" s="2063"/>
      <c r="BL126" s="1711"/>
      <c r="BM126" s="1711"/>
      <c r="BN126"/>
      <c r="BO126" s="1641" t="s">
        <v>1578</v>
      </c>
      <c r="BP126" s="1744" t="s">
        <v>1576</v>
      </c>
      <c r="BQ126" s="1780" t="s">
        <v>138</v>
      </c>
      <c r="BR126" s="1675"/>
      <c r="BS126" s="1675"/>
      <c r="BT126" s="1675"/>
      <c r="BU126" s="1675"/>
      <c r="BV126" s="1675"/>
      <c r="BW126" s="1675"/>
      <c r="BX126" s="1736">
        <v>1</v>
      </c>
      <c r="BY126" s="1675"/>
      <c r="BZ126" s="1675"/>
      <c r="CA126" s="1736"/>
      <c r="CB126" s="2063"/>
      <c r="CC126" s="1711"/>
      <c r="CD126" s="1711"/>
      <c r="CE126"/>
    </row>
    <row r="127" spans="1:83" hidden="1">
      <c r="B127" s="1597">
        <f t="shared" si="100"/>
        <v>3.1</v>
      </c>
      <c r="C127" s="1647" t="str">
        <f t="shared" si="82"/>
        <v>空調設備</v>
      </c>
      <c r="D127" s="1716">
        <f t="shared" ref="D127:E131" si="120">IF(I$126=0,0,G127/I$126)</f>
        <v>0</v>
      </c>
      <c r="E127" s="1691">
        <f t="shared" si="120"/>
        <v>0</v>
      </c>
      <c r="G127" s="1691">
        <f t="shared" si="83"/>
        <v>0</v>
      </c>
      <c r="H127" s="1691">
        <f t="shared" si="84"/>
        <v>0</v>
      </c>
      <c r="I127" s="1691"/>
      <c r="J127" s="1691"/>
      <c r="K127" s="1691">
        <f>IF(スコア表示!W127=0,0,1)</f>
        <v>0</v>
      </c>
      <c r="L127" s="1691">
        <f>IF(スコア表示!AA127=0,0,1)</f>
        <v>0</v>
      </c>
      <c r="M127" s="1691">
        <f t="shared" si="85"/>
        <v>0</v>
      </c>
      <c r="N127" s="1691">
        <f t="shared" si="102"/>
        <v>0</v>
      </c>
      <c r="P127" s="1647">
        <f t="shared" si="103"/>
        <v>3.1</v>
      </c>
      <c r="Q127" s="1647" t="str">
        <f t="shared" si="104"/>
        <v>LR1 3b</v>
      </c>
      <c r="R127" s="1737" t="str">
        <f t="shared" si="86"/>
        <v>空調設備</v>
      </c>
      <c r="S127" s="1618">
        <f t="shared" si="110"/>
        <v>0</v>
      </c>
      <c r="T127" s="1618">
        <f t="shared" si="111"/>
        <v>0</v>
      </c>
      <c r="U127" s="1618">
        <f t="shared" si="112"/>
        <v>0</v>
      </c>
      <c r="V127" s="1618">
        <f t="shared" si="113"/>
        <v>0</v>
      </c>
      <c r="W127" s="1618">
        <f t="shared" si="114"/>
        <v>0</v>
      </c>
      <c r="X127" s="1618">
        <f t="shared" si="115"/>
        <v>0</v>
      </c>
      <c r="Y127" s="1618">
        <f t="shared" si="116"/>
        <v>0</v>
      </c>
      <c r="Z127" s="1626">
        <f t="shared" si="117"/>
        <v>0</v>
      </c>
      <c r="AA127" s="1618">
        <f t="shared" si="118"/>
        <v>0</v>
      </c>
      <c r="AB127" s="1618">
        <f t="shared" si="119"/>
        <v>0.65</v>
      </c>
      <c r="AC127" s="1619">
        <f t="shared" si="107"/>
        <v>0</v>
      </c>
      <c r="AD127" s="1618">
        <f t="shared" si="108"/>
        <v>0</v>
      </c>
      <c r="AE127" s="1618">
        <f t="shared" si="109"/>
        <v>0</v>
      </c>
      <c r="AG127" s="1647">
        <v>3.1</v>
      </c>
      <c r="AH127" s="1693" t="s">
        <v>1579</v>
      </c>
      <c r="AI127" s="1737" t="s">
        <v>787</v>
      </c>
      <c r="AJ127" s="1623"/>
      <c r="AK127" s="1623"/>
      <c r="AL127" s="1623"/>
      <c r="AM127" s="1623"/>
      <c r="AN127" s="1623"/>
      <c r="AO127" s="1623"/>
      <c r="AP127" s="1623"/>
      <c r="AQ127" s="1624"/>
      <c r="AR127" s="1623"/>
      <c r="AS127" s="2357">
        <v>0.65</v>
      </c>
      <c r="AT127" s="1625"/>
      <c r="AU127" s="1623"/>
      <c r="AV127" s="1623"/>
      <c r="AX127" s="1647">
        <v>3.1</v>
      </c>
      <c r="AY127" s="1693" t="s">
        <v>1580</v>
      </c>
      <c r="AZ127" s="1737" t="s">
        <v>787</v>
      </c>
      <c r="BA127" s="1623"/>
      <c r="BB127" s="1623"/>
      <c r="BC127" s="1623"/>
      <c r="BD127" s="1623"/>
      <c r="BE127" s="1623"/>
      <c r="BF127" s="1623"/>
      <c r="BG127" s="1623"/>
      <c r="BH127" s="1624"/>
      <c r="BI127" s="1623"/>
      <c r="BJ127" s="1623"/>
      <c r="BK127" s="1625"/>
      <c r="BL127" s="1623"/>
      <c r="BM127" s="1623"/>
      <c r="BO127" s="1647">
        <v>3.1</v>
      </c>
      <c r="BP127" s="1693" t="s">
        <v>1580</v>
      </c>
      <c r="BQ127" s="1737" t="s">
        <v>787</v>
      </c>
      <c r="BR127" s="1623"/>
      <c r="BS127" s="1623"/>
      <c r="BT127" s="1623"/>
      <c r="BU127" s="1623"/>
      <c r="BV127" s="1623"/>
      <c r="BW127" s="1623"/>
      <c r="BX127" s="1623"/>
      <c r="BY127" s="1624"/>
      <c r="BZ127" s="1623"/>
      <c r="CA127" s="1623"/>
      <c r="CB127" s="1625"/>
      <c r="CC127" s="1623"/>
      <c r="CD127" s="1623"/>
      <c r="CE127">
        <f>ROWS($CE$5:CE126)</f>
        <v>122</v>
      </c>
    </row>
    <row r="128" spans="1:83" hidden="1">
      <c r="B128" s="1597">
        <f t="shared" si="100"/>
        <v>3.2</v>
      </c>
      <c r="C128" s="1647" t="str">
        <f t="shared" si="82"/>
        <v>換気設備</v>
      </c>
      <c r="D128" s="1716">
        <f t="shared" si="120"/>
        <v>0</v>
      </c>
      <c r="E128" s="1691">
        <f t="shared" si="120"/>
        <v>0</v>
      </c>
      <c r="G128" s="1691">
        <f t="shared" si="83"/>
        <v>0</v>
      </c>
      <c r="H128" s="1691">
        <f t="shared" si="84"/>
        <v>0</v>
      </c>
      <c r="I128" s="1691"/>
      <c r="J128" s="1691"/>
      <c r="K128" s="1691">
        <f>IF(スコア表示!W128=0,0,1)</f>
        <v>0</v>
      </c>
      <c r="L128" s="1691">
        <f>IF(スコア表示!AA128=0,0,1)</f>
        <v>0</v>
      </c>
      <c r="M128" s="1691">
        <f t="shared" si="85"/>
        <v>0</v>
      </c>
      <c r="N128" s="1691">
        <f t="shared" si="102"/>
        <v>0</v>
      </c>
      <c r="P128" s="1647">
        <f t="shared" si="103"/>
        <v>3.2</v>
      </c>
      <c r="Q128" s="1647" t="str">
        <f t="shared" si="104"/>
        <v>LR1 3b</v>
      </c>
      <c r="R128" s="1737" t="str">
        <f t="shared" si="86"/>
        <v>換気設備</v>
      </c>
      <c r="S128" s="1618">
        <f t="shared" si="110"/>
        <v>0</v>
      </c>
      <c r="T128" s="1618">
        <f t="shared" si="111"/>
        <v>0</v>
      </c>
      <c r="U128" s="1618">
        <f t="shared" si="112"/>
        <v>0</v>
      </c>
      <c r="V128" s="1618">
        <f t="shared" si="113"/>
        <v>0</v>
      </c>
      <c r="W128" s="1618">
        <f t="shared" si="114"/>
        <v>0</v>
      </c>
      <c r="X128" s="1618">
        <f t="shared" si="115"/>
        <v>0</v>
      </c>
      <c r="Y128" s="1618">
        <f t="shared" si="116"/>
        <v>0</v>
      </c>
      <c r="Z128" s="1626">
        <f t="shared" si="117"/>
        <v>0</v>
      </c>
      <c r="AA128" s="1618">
        <f t="shared" si="118"/>
        <v>0</v>
      </c>
      <c r="AB128" s="1618">
        <f t="shared" si="119"/>
        <v>0.1</v>
      </c>
      <c r="AC128" s="1619">
        <f t="shared" si="107"/>
        <v>0</v>
      </c>
      <c r="AD128" s="1618">
        <f t="shared" si="108"/>
        <v>0</v>
      </c>
      <c r="AE128" s="1618">
        <f t="shared" si="109"/>
        <v>0</v>
      </c>
      <c r="AG128" s="1647">
        <v>3.2</v>
      </c>
      <c r="AH128" s="1693" t="s">
        <v>1579</v>
      </c>
      <c r="AI128" s="1737" t="s">
        <v>788</v>
      </c>
      <c r="AJ128" s="1623"/>
      <c r="AK128" s="1623"/>
      <c r="AL128" s="1623"/>
      <c r="AM128" s="1623"/>
      <c r="AN128" s="1623"/>
      <c r="AO128" s="1623"/>
      <c r="AP128" s="1623"/>
      <c r="AQ128" s="1624"/>
      <c r="AR128" s="1623"/>
      <c r="AS128" s="2357">
        <v>0.1</v>
      </c>
      <c r="AT128" s="1625"/>
      <c r="AU128" s="1623"/>
      <c r="AV128" s="1623"/>
      <c r="AX128" s="1647">
        <v>3.2</v>
      </c>
      <c r="AY128" s="1693" t="s">
        <v>1580</v>
      </c>
      <c r="AZ128" s="1737" t="s">
        <v>788</v>
      </c>
      <c r="BA128" s="1623"/>
      <c r="BB128" s="1623"/>
      <c r="BC128" s="1623"/>
      <c r="BD128" s="1623"/>
      <c r="BE128" s="1623"/>
      <c r="BF128" s="1623"/>
      <c r="BG128" s="1623"/>
      <c r="BH128" s="1624"/>
      <c r="BI128" s="1623"/>
      <c r="BJ128" s="1623"/>
      <c r="BK128" s="1625"/>
      <c r="BL128" s="1623"/>
      <c r="BM128" s="1623"/>
      <c r="BO128" s="1647">
        <v>3.2</v>
      </c>
      <c r="BP128" s="1693" t="s">
        <v>1580</v>
      </c>
      <c r="BQ128" s="1737" t="s">
        <v>788</v>
      </c>
      <c r="BR128" s="1623"/>
      <c r="BS128" s="1623"/>
      <c r="BT128" s="1623"/>
      <c r="BU128" s="1623"/>
      <c r="BV128" s="1623"/>
      <c r="BW128" s="1623"/>
      <c r="BX128" s="1623"/>
      <c r="BY128" s="1624"/>
      <c r="BZ128" s="1623"/>
      <c r="CA128" s="1623"/>
      <c r="CB128" s="1625"/>
      <c r="CC128" s="1623"/>
      <c r="CD128" s="1623"/>
      <c r="CE128">
        <f>ROWS($CE$5:CE127)</f>
        <v>123</v>
      </c>
    </row>
    <row r="129" spans="1:83" hidden="1">
      <c r="B129" s="1597">
        <f t="shared" si="100"/>
        <v>3.3</v>
      </c>
      <c r="C129" s="1647" t="str">
        <f t="shared" si="82"/>
        <v>照明設備</v>
      </c>
      <c r="D129" s="1716">
        <f t="shared" si="120"/>
        <v>0</v>
      </c>
      <c r="E129" s="1691">
        <f t="shared" si="120"/>
        <v>0</v>
      </c>
      <c r="G129" s="1691">
        <f t="shared" si="83"/>
        <v>0</v>
      </c>
      <c r="H129" s="1691">
        <f t="shared" si="84"/>
        <v>0</v>
      </c>
      <c r="I129" s="1691"/>
      <c r="J129" s="1691"/>
      <c r="K129" s="1691">
        <f>IF(スコア表示!W129=0,0,1)</f>
        <v>0</v>
      </c>
      <c r="L129" s="1691">
        <f>IF(スコア表示!AA129=0,0,1)</f>
        <v>0</v>
      </c>
      <c r="M129" s="1691">
        <f t="shared" si="85"/>
        <v>0</v>
      </c>
      <c r="N129" s="1691">
        <f t="shared" si="102"/>
        <v>0</v>
      </c>
      <c r="P129" s="1647">
        <f t="shared" si="103"/>
        <v>3.3</v>
      </c>
      <c r="Q129" s="1647" t="str">
        <f t="shared" si="104"/>
        <v>LR1 3b</v>
      </c>
      <c r="R129" s="1737" t="str">
        <f t="shared" si="86"/>
        <v>照明設備</v>
      </c>
      <c r="S129" s="1618">
        <f t="shared" si="110"/>
        <v>0</v>
      </c>
      <c r="T129" s="1618">
        <f t="shared" si="111"/>
        <v>0</v>
      </c>
      <c r="U129" s="1618">
        <f t="shared" si="112"/>
        <v>0</v>
      </c>
      <c r="V129" s="1618">
        <f t="shared" si="113"/>
        <v>0</v>
      </c>
      <c r="W129" s="1618">
        <f t="shared" si="114"/>
        <v>0</v>
      </c>
      <c r="X129" s="1618">
        <f t="shared" si="115"/>
        <v>0</v>
      </c>
      <c r="Y129" s="1618">
        <f t="shared" si="116"/>
        <v>0</v>
      </c>
      <c r="Z129" s="1626">
        <f t="shared" si="117"/>
        <v>0</v>
      </c>
      <c r="AA129" s="1618">
        <f t="shared" si="118"/>
        <v>0</v>
      </c>
      <c r="AB129" s="1618">
        <f t="shared" si="119"/>
        <v>0.2</v>
      </c>
      <c r="AC129" s="1619">
        <f t="shared" si="107"/>
        <v>0</v>
      </c>
      <c r="AD129" s="1618">
        <f t="shared" si="108"/>
        <v>0</v>
      </c>
      <c r="AE129" s="1618">
        <f t="shared" si="109"/>
        <v>0</v>
      </c>
      <c r="AG129" s="1647">
        <v>3.3</v>
      </c>
      <c r="AH129" s="1693" t="s">
        <v>1579</v>
      </c>
      <c r="AI129" s="1737" t="s">
        <v>789</v>
      </c>
      <c r="AJ129" s="1623"/>
      <c r="AK129" s="1623"/>
      <c r="AL129" s="1623"/>
      <c r="AM129" s="1623"/>
      <c r="AN129" s="1623"/>
      <c r="AO129" s="1623"/>
      <c r="AP129" s="1623"/>
      <c r="AQ129" s="1624"/>
      <c r="AR129" s="1623"/>
      <c r="AS129" s="2357">
        <v>0.2</v>
      </c>
      <c r="AT129" s="1625"/>
      <c r="AU129" s="1623"/>
      <c r="AV129" s="1623"/>
      <c r="AX129" s="1647">
        <v>3.3</v>
      </c>
      <c r="AY129" s="1693" t="s">
        <v>1580</v>
      </c>
      <c r="AZ129" s="1737" t="s">
        <v>789</v>
      </c>
      <c r="BA129" s="1623"/>
      <c r="BB129" s="1623"/>
      <c r="BC129" s="1623"/>
      <c r="BD129" s="1623"/>
      <c r="BE129" s="1623"/>
      <c r="BF129" s="1623"/>
      <c r="BG129" s="1623"/>
      <c r="BH129" s="1624"/>
      <c r="BI129" s="1623"/>
      <c r="BJ129" s="1623"/>
      <c r="BK129" s="1625"/>
      <c r="BL129" s="1623"/>
      <c r="BM129" s="1623"/>
      <c r="BO129" s="1647">
        <v>3.3</v>
      </c>
      <c r="BP129" s="1693" t="s">
        <v>1580</v>
      </c>
      <c r="BQ129" s="1737" t="s">
        <v>789</v>
      </c>
      <c r="BR129" s="1623"/>
      <c r="BS129" s="1623"/>
      <c r="BT129" s="1623"/>
      <c r="BU129" s="1623"/>
      <c r="BV129" s="1623"/>
      <c r="BW129" s="1623"/>
      <c r="BX129" s="1623"/>
      <c r="BY129" s="1624"/>
      <c r="BZ129" s="1623"/>
      <c r="CA129" s="1623"/>
      <c r="CB129" s="1625"/>
      <c r="CC129" s="1623"/>
      <c r="CD129" s="1623"/>
      <c r="CE129">
        <f>ROWS($CE$5:CE128)</f>
        <v>124</v>
      </c>
    </row>
    <row r="130" spans="1:83" hidden="1">
      <c r="B130" s="1597">
        <f t="shared" si="100"/>
        <v>3.4</v>
      </c>
      <c r="C130" s="1647" t="str">
        <f t="shared" si="82"/>
        <v>給湯設備</v>
      </c>
      <c r="D130" s="1716">
        <f t="shared" si="120"/>
        <v>0</v>
      </c>
      <c r="E130" s="1691">
        <f t="shared" si="120"/>
        <v>0</v>
      </c>
      <c r="G130" s="1691">
        <f t="shared" si="83"/>
        <v>0</v>
      </c>
      <c r="H130" s="1691">
        <f t="shared" si="84"/>
        <v>0</v>
      </c>
      <c r="I130" s="1691"/>
      <c r="J130" s="1691"/>
      <c r="K130" s="1691">
        <f>IF(スコア表示!W130=0,0,1)</f>
        <v>0</v>
      </c>
      <c r="L130" s="1691">
        <f>IF(スコア表示!AA130=0,0,1)</f>
        <v>0</v>
      </c>
      <c r="M130" s="1691">
        <f t="shared" si="85"/>
        <v>0</v>
      </c>
      <c r="N130" s="1691">
        <f t="shared" si="102"/>
        <v>0</v>
      </c>
      <c r="P130" s="2092">
        <f t="shared" si="103"/>
        <v>3.4</v>
      </c>
      <c r="Q130" s="1647" t="str">
        <f t="shared" si="104"/>
        <v>LR1 3b</v>
      </c>
      <c r="R130" s="1737" t="str">
        <f t="shared" si="86"/>
        <v>給湯設備</v>
      </c>
      <c r="S130" s="1618">
        <f t="shared" si="110"/>
        <v>0</v>
      </c>
      <c r="T130" s="1618">
        <f t="shared" si="111"/>
        <v>0</v>
      </c>
      <c r="U130" s="1618">
        <f t="shared" si="112"/>
        <v>0</v>
      </c>
      <c r="V130" s="1618">
        <f t="shared" si="113"/>
        <v>0</v>
      </c>
      <c r="W130" s="1618">
        <f t="shared" si="114"/>
        <v>0</v>
      </c>
      <c r="X130" s="1618">
        <f t="shared" si="115"/>
        <v>0</v>
      </c>
      <c r="Y130" s="1618">
        <f t="shared" si="116"/>
        <v>0</v>
      </c>
      <c r="Z130" s="1626">
        <f t="shared" si="117"/>
        <v>0</v>
      </c>
      <c r="AA130" s="1618">
        <f t="shared" si="118"/>
        <v>0</v>
      </c>
      <c r="AB130" s="1618">
        <f t="shared" si="119"/>
        <v>0.05</v>
      </c>
      <c r="AC130" s="1619">
        <f t="shared" si="107"/>
        <v>0</v>
      </c>
      <c r="AD130" s="1618">
        <f t="shared" si="108"/>
        <v>0</v>
      </c>
      <c r="AE130" s="1618">
        <f t="shared" si="109"/>
        <v>0</v>
      </c>
      <c r="AG130" s="2092">
        <v>3.4</v>
      </c>
      <c r="AH130" s="1693" t="s">
        <v>1579</v>
      </c>
      <c r="AI130" s="1737" t="s">
        <v>371</v>
      </c>
      <c r="AJ130" s="1623"/>
      <c r="AK130" s="1623"/>
      <c r="AL130" s="1623"/>
      <c r="AM130" s="1623"/>
      <c r="AN130" s="1623"/>
      <c r="AO130" s="1623"/>
      <c r="AP130" s="1623"/>
      <c r="AQ130" s="1624"/>
      <c r="AR130" s="1623"/>
      <c r="AS130" s="2357">
        <v>0.05</v>
      </c>
      <c r="AT130" s="1625"/>
      <c r="AU130" s="1623"/>
      <c r="AV130" s="1623"/>
      <c r="AX130" s="2092">
        <v>3.4</v>
      </c>
      <c r="AY130" s="1693" t="s">
        <v>1580</v>
      </c>
      <c r="AZ130" s="1737" t="s">
        <v>371</v>
      </c>
      <c r="BA130" s="1623"/>
      <c r="BB130" s="1623"/>
      <c r="BC130" s="1623"/>
      <c r="BD130" s="1623"/>
      <c r="BE130" s="1623"/>
      <c r="BF130" s="1623"/>
      <c r="BG130" s="1623"/>
      <c r="BH130" s="1624"/>
      <c r="BI130" s="1623"/>
      <c r="BJ130" s="1623"/>
      <c r="BK130" s="1625"/>
      <c r="BL130" s="1623"/>
      <c r="BM130" s="1623"/>
      <c r="BO130" s="2092">
        <v>3.4</v>
      </c>
      <c r="BP130" s="1693" t="s">
        <v>1580</v>
      </c>
      <c r="BQ130" s="1737" t="s">
        <v>371</v>
      </c>
      <c r="BR130" s="1623"/>
      <c r="BS130" s="1623"/>
      <c r="BT130" s="1623"/>
      <c r="BU130" s="1623"/>
      <c r="BV130" s="1623"/>
      <c r="BW130" s="1623"/>
      <c r="BX130" s="1623"/>
      <c r="BY130" s="1624"/>
      <c r="BZ130" s="1623"/>
      <c r="CA130" s="1623"/>
      <c r="CB130" s="1625"/>
      <c r="CC130" s="1623"/>
      <c r="CD130" s="1623"/>
      <c r="CE130">
        <f>ROWS($CE$5:CE129)</f>
        <v>125</v>
      </c>
    </row>
    <row r="131" spans="1:83" hidden="1">
      <c r="B131" s="1597">
        <f t="shared" si="100"/>
        <v>3.5</v>
      </c>
      <c r="C131" s="1647" t="str">
        <f t="shared" si="82"/>
        <v>昇降機設備</v>
      </c>
      <c r="D131" s="1716">
        <f t="shared" si="120"/>
        <v>0</v>
      </c>
      <c r="E131" s="1691">
        <f t="shared" si="120"/>
        <v>0</v>
      </c>
      <c r="G131" s="1691">
        <f t="shared" si="83"/>
        <v>0</v>
      </c>
      <c r="H131" s="1691">
        <f t="shared" si="84"/>
        <v>0</v>
      </c>
      <c r="I131" s="1691"/>
      <c r="J131" s="1691"/>
      <c r="K131" s="1691">
        <f>IF(スコア表示!W131=0,0,1)</f>
        <v>0</v>
      </c>
      <c r="L131" s="1691">
        <f>IF(スコア表示!AA131=0,0,1)</f>
        <v>0</v>
      </c>
      <c r="M131" s="1691">
        <f t="shared" si="85"/>
        <v>0</v>
      </c>
      <c r="N131" s="1691">
        <f t="shared" si="102"/>
        <v>0</v>
      </c>
      <c r="P131" s="2092">
        <f t="shared" si="103"/>
        <v>3.5</v>
      </c>
      <c r="Q131" s="1647" t="str">
        <f t="shared" si="104"/>
        <v>LR1 3b</v>
      </c>
      <c r="R131" s="1737" t="str">
        <f t="shared" si="86"/>
        <v>昇降機設備</v>
      </c>
      <c r="S131" s="1618">
        <f t="shared" si="110"/>
        <v>0</v>
      </c>
      <c r="T131" s="1618">
        <f t="shared" si="111"/>
        <v>0</v>
      </c>
      <c r="U131" s="1618">
        <f t="shared" si="112"/>
        <v>0</v>
      </c>
      <c r="V131" s="1618">
        <f t="shared" si="113"/>
        <v>0</v>
      </c>
      <c r="W131" s="1618">
        <f t="shared" si="114"/>
        <v>0</v>
      </c>
      <c r="X131" s="1618">
        <f t="shared" si="115"/>
        <v>0</v>
      </c>
      <c r="Y131" s="1618">
        <f t="shared" si="116"/>
        <v>0</v>
      </c>
      <c r="Z131" s="1626">
        <f t="shared" si="117"/>
        <v>0</v>
      </c>
      <c r="AA131" s="1618">
        <f t="shared" si="118"/>
        <v>0</v>
      </c>
      <c r="AB131" s="1618">
        <f t="shared" si="119"/>
        <v>0</v>
      </c>
      <c r="AC131" s="1619">
        <f t="shared" si="107"/>
        <v>0</v>
      </c>
      <c r="AD131" s="1618">
        <f t="shared" si="108"/>
        <v>0</v>
      </c>
      <c r="AE131" s="1618">
        <f t="shared" si="109"/>
        <v>0</v>
      </c>
      <c r="AG131" s="2092">
        <v>3.5</v>
      </c>
      <c r="AH131" s="1693" t="s">
        <v>1579</v>
      </c>
      <c r="AI131" s="1737" t="s">
        <v>790</v>
      </c>
      <c r="AJ131" s="1623"/>
      <c r="AK131" s="1623"/>
      <c r="AL131" s="1623"/>
      <c r="AM131" s="1623"/>
      <c r="AN131" s="1623"/>
      <c r="AO131" s="1623"/>
      <c r="AP131" s="1623"/>
      <c r="AQ131" s="1624"/>
      <c r="AR131" s="1623"/>
      <c r="AS131" s="1623"/>
      <c r="AT131" s="1625"/>
      <c r="AU131" s="1623"/>
      <c r="AV131" s="1623"/>
      <c r="AX131" s="2092">
        <v>3.5</v>
      </c>
      <c r="AY131" s="1693" t="s">
        <v>1580</v>
      </c>
      <c r="AZ131" s="1737" t="s">
        <v>790</v>
      </c>
      <c r="BA131" s="1623"/>
      <c r="BB131" s="1623"/>
      <c r="BC131" s="1623"/>
      <c r="BD131" s="1623"/>
      <c r="BE131" s="1623"/>
      <c r="BF131" s="1623"/>
      <c r="BG131" s="1623"/>
      <c r="BH131" s="1624"/>
      <c r="BI131" s="1623"/>
      <c r="BJ131" s="1623"/>
      <c r="BK131" s="1625"/>
      <c r="BL131" s="1623"/>
      <c r="BM131" s="1623"/>
      <c r="BO131" s="2092">
        <v>3.5</v>
      </c>
      <c r="BP131" s="1693" t="s">
        <v>1580</v>
      </c>
      <c r="BQ131" s="1737" t="s">
        <v>790</v>
      </c>
      <c r="BR131" s="1623"/>
      <c r="BS131" s="1623"/>
      <c r="BT131" s="1623"/>
      <c r="BU131" s="1623"/>
      <c r="BV131" s="1623"/>
      <c r="BW131" s="1623"/>
      <c r="BX131" s="1623"/>
      <c r="BY131" s="1624"/>
      <c r="BZ131" s="1623"/>
      <c r="CA131" s="1623"/>
      <c r="CB131" s="1625"/>
      <c r="CC131" s="1623"/>
      <c r="CD131" s="1623"/>
      <c r="CE131">
        <f>ROWS($CE$5:CE130)</f>
        <v>126</v>
      </c>
    </row>
    <row r="132" spans="1:83">
      <c r="B132" s="1597">
        <f t="shared" si="100"/>
        <v>0</v>
      </c>
      <c r="C132" s="1647" t="str">
        <f t="shared" si="82"/>
        <v>実績値を用いた総合評価</v>
      </c>
      <c r="D132" s="2062">
        <f>IF(I$124=0,0,G132/I$124)</f>
        <v>1</v>
      </c>
      <c r="E132" s="1743"/>
      <c r="F132" s="2416"/>
      <c r="G132" s="1743">
        <f t="shared" si="83"/>
        <v>1</v>
      </c>
      <c r="H132" s="1743">
        <f t="shared" si="84"/>
        <v>0</v>
      </c>
      <c r="I132" s="1743"/>
      <c r="J132" s="1743"/>
      <c r="K132" s="1691">
        <f>IF(スコア表示!W132=0,0,1)</f>
        <v>1</v>
      </c>
      <c r="L132" s="1691">
        <f>IF(スコア表示!AA132=0,0,1)</f>
        <v>0</v>
      </c>
      <c r="M132" s="1691">
        <f t="shared" si="85"/>
        <v>1</v>
      </c>
      <c r="N132" s="1691">
        <f t="shared" si="102"/>
        <v>0</v>
      </c>
      <c r="P132" s="2092">
        <f t="shared" si="103"/>
        <v>0</v>
      </c>
      <c r="Q132" s="2092" t="str">
        <f t="shared" si="104"/>
        <v>LR</v>
      </c>
      <c r="R132" s="1737" t="str">
        <f t="shared" si="86"/>
        <v>実績値を用いた総合評価</v>
      </c>
      <c r="S132" s="1618">
        <f t="shared" si="110"/>
        <v>1</v>
      </c>
      <c r="T132" s="1618">
        <f t="shared" si="111"/>
        <v>1</v>
      </c>
      <c r="U132" s="1618">
        <f t="shared" si="112"/>
        <v>1</v>
      </c>
      <c r="V132" s="1618">
        <f t="shared" si="113"/>
        <v>1</v>
      </c>
      <c r="W132" s="1618">
        <f t="shared" si="114"/>
        <v>1</v>
      </c>
      <c r="X132" s="1618">
        <f t="shared" si="115"/>
        <v>1</v>
      </c>
      <c r="Y132" s="1618">
        <f t="shared" si="116"/>
        <v>0</v>
      </c>
      <c r="Z132" s="1626">
        <f t="shared" si="117"/>
        <v>1</v>
      </c>
      <c r="AA132" s="1618">
        <f t="shared" si="118"/>
        <v>0</v>
      </c>
      <c r="AB132" s="1618">
        <f t="shared" si="119"/>
        <v>1</v>
      </c>
      <c r="AC132" s="1619">
        <f t="shared" si="107"/>
        <v>0</v>
      </c>
      <c r="AD132" s="1618">
        <f t="shared" si="108"/>
        <v>0</v>
      </c>
      <c r="AE132" s="1618">
        <f t="shared" si="109"/>
        <v>0</v>
      </c>
      <c r="AG132" s="2092">
        <v>3</v>
      </c>
      <c r="AH132" s="2358" t="s">
        <v>1719</v>
      </c>
      <c r="AI132" s="1780" t="s">
        <v>1720</v>
      </c>
      <c r="AJ132" s="1623">
        <v>1</v>
      </c>
      <c r="AK132" s="1623">
        <v>1</v>
      </c>
      <c r="AL132" s="1623">
        <v>1</v>
      </c>
      <c r="AM132" s="1623">
        <v>1</v>
      </c>
      <c r="AN132" s="1623">
        <v>1</v>
      </c>
      <c r="AO132" s="1623">
        <v>1</v>
      </c>
      <c r="AP132" s="1623"/>
      <c r="AQ132" s="1623">
        <v>1</v>
      </c>
      <c r="AR132" s="1623"/>
      <c r="AS132" s="1623">
        <v>1</v>
      </c>
      <c r="AT132" s="1625"/>
      <c r="AU132" s="1623"/>
      <c r="AV132" s="1623"/>
      <c r="AX132" s="2092"/>
      <c r="AY132" s="2093" t="s">
        <v>368</v>
      </c>
      <c r="AZ132" s="1737"/>
      <c r="BA132" s="1623"/>
      <c r="BB132" s="1623"/>
      <c r="BC132" s="1623"/>
      <c r="BD132" s="1623"/>
      <c r="BE132" s="1623"/>
      <c r="BF132" s="1623"/>
      <c r="BG132" s="1623"/>
      <c r="BH132" s="1624"/>
      <c r="BI132" s="1623"/>
      <c r="BJ132" s="1623"/>
      <c r="BK132" s="1625"/>
      <c r="BL132" s="1623"/>
      <c r="BM132" s="1623"/>
      <c r="BO132" s="2092"/>
      <c r="BP132" s="2093" t="s">
        <v>368</v>
      </c>
      <c r="BQ132" s="1737"/>
      <c r="BR132" s="1623"/>
      <c r="BS132" s="1623"/>
      <c r="BT132" s="1623"/>
      <c r="BU132" s="1623"/>
      <c r="BV132" s="1623"/>
      <c r="BW132" s="1623"/>
      <c r="BX132" s="1623"/>
      <c r="BY132" s="1624"/>
      <c r="BZ132" s="1623"/>
      <c r="CA132" s="1623"/>
      <c r="CB132" s="1625"/>
      <c r="CC132" s="1623"/>
      <c r="CD132" s="1623"/>
      <c r="CE132">
        <f>ROWS($CE$5:CE131)</f>
        <v>127</v>
      </c>
    </row>
    <row r="133" spans="1:83" s="1605" customFormat="1">
      <c r="A133"/>
      <c r="B133" s="1597">
        <f t="shared" si="100"/>
        <v>4</v>
      </c>
      <c r="C133" s="1641" t="str">
        <f t="shared" si="82"/>
        <v>効率的運用</v>
      </c>
      <c r="D133" s="2062">
        <f>IF(I$117=0,0,G133/I$117)</f>
        <v>0.2</v>
      </c>
      <c r="E133" s="1743">
        <f>IF(J$117=0,0,H133/J$117)</f>
        <v>0</v>
      </c>
      <c r="F133"/>
      <c r="G133" s="1743">
        <f t="shared" si="83"/>
        <v>0.2</v>
      </c>
      <c r="H133" s="1743">
        <f t="shared" si="84"/>
        <v>0</v>
      </c>
      <c r="I133" s="1743">
        <f>G134+G137</f>
        <v>1</v>
      </c>
      <c r="J133" s="1743">
        <f>H134+H137</f>
        <v>0</v>
      </c>
      <c r="K133" s="1743">
        <f>IF(スコア表示!W133=0,0,1)</f>
        <v>1</v>
      </c>
      <c r="L133" s="1743">
        <f>IF(スコア表示!AA133=0,0,1)</f>
        <v>0</v>
      </c>
      <c r="M133" s="1743">
        <f t="shared" si="85"/>
        <v>0.2</v>
      </c>
      <c r="N133" s="1743">
        <f t="shared" si="102"/>
        <v>0</v>
      </c>
      <c r="O133"/>
      <c r="P133" s="1673">
        <f t="shared" si="103"/>
        <v>4</v>
      </c>
      <c r="Q133" s="1641" t="str">
        <f t="shared" si="104"/>
        <v>LR1</v>
      </c>
      <c r="R133" s="1780" t="str">
        <f t="shared" si="86"/>
        <v>効率的運用</v>
      </c>
      <c r="S133" s="1643">
        <f t="shared" si="110"/>
        <v>0.2</v>
      </c>
      <c r="T133" s="1643">
        <f t="shared" si="111"/>
        <v>0.2</v>
      </c>
      <c r="U133" s="1643">
        <f t="shared" si="112"/>
        <v>0.2</v>
      </c>
      <c r="V133" s="1643">
        <f t="shared" si="113"/>
        <v>0.2</v>
      </c>
      <c r="W133" s="1643">
        <f t="shared" si="114"/>
        <v>0.2</v>
      </c>
      <c r="X133" s="1643">
        <f t="shared" si="115"/>
        <v>0.2</v>
      </c>
      <c r="Y133" s="1643">
        <f t="shared" si="116"/>
        <v>0.2</v>
      </c>
      <c r="Z133" s="1611">
        <f t="shared" si="117"/>
        <v>0.2</v>
      </c>
      <c r="AA133" s="1643">
        <f t="shared" si="118"/>
        <v>0.25</v>
      </c>
      <c r="AB133" s="1643">
        <f t="shared" si="119"/>
        <v>0.2</v>
      </c>
      <c r="AC133" s="1659">
        <f t="shared" si="107"/>
        <v>0</v>
      </c>
      <c r="AD133" s="1610">
        <f t="shared" si="108"/>
        <v>0</v>
      </c>
      <c r="AE133" s="1610">
        <f t="shared" si="109"/>
        <v>0</v>
      </c>
      <c r="AF133"/>
      <c r="AG133" s="1673">
        <v>4</v>
      </c>
      <c r="AH133" s="1744" t="s">
        <v>369</v>
      </c>
      <c r="AI133" s="1780" t="s">
        <v>791</v>
      </c>
      <c r="AJ133" s="2079">
        <v>0.2</v>
      </c>
      <c r="AK133" s="2079">
        <v>0.2</v>
      </c>
      <c r="AL133" s="2079">
        <v>0.2</v>
      </c>
      <c r="AM133" s="2079">
        <v>0.2</v>
      </c>
      <c r="AN133" s="2079">
        <v>0.2</v>
      </c>
      <c r="AO133" s="2079">
        <v>0.2</v>
      </c>
      <c r="AP133" s="2079">
        <v>0.2</v>
      </c>
      <c r="AQ133" s="2079">
        <v>0.2</v>
      </c>
      <c r="AR133" s="2079">
        <v>0.25</v>
      </c>
      <c r="AS133" s="2079">
        <v>0.2</v>
      </c>
      <c r="AT133" s="2063"/>
      <c r="AU133" s="1711"/>
      <c r="AV133" s="1711"/>
      <c r="AW133"/>
      <c r="AX133" s="1673">
        <v>4</v>
      </c>
      <c r="AY133" s="1744" t="s">
        <v>369</v>
      </c>
      <c r="AZ133" s="1780" t="s">
        <v>791</v>
      </c>
      <c r="BA133" s="2079">
        <v>0.2</v>
      </c>
      <c r="BB133" s="2079">
        <v>0.2</v>
      </c>
      <c r="BC133" s="2079">
        <v>0.2</v>
      </c>
      <c r="BD133" s="2079">
        <v>0.2</v>
      </c>
      <c r="BE133" s="2079">
        <v>0.2</v>
      </c>
      <c r="BF133" s="2079">
        <v>0.2</v>
      </c>
      <c r="BG133" s="2079">
        <v>0.2</v>
      </c>
      <c r="BH133" s="2079">
        <v>0.2</v>
      </c>
      <c r="BI133" s="2079">
        <v>0.25</v>
      </c>
      <c r="BJ133" s="2079">
        <v>0.2</v>
      </c>
      <c r="BK133" s="2063"/>
      <c r="BL133" s="1711"/>
      <c r="BM133" s="1711"/>
      <c r="BN133"/>
      <c r="BO133" s="1673">
        <v>4</v>
      </c>
      <c r="BP133" s="1744" t="s">
        <v>369</v>
      </c>
      <c r="BQ133" s="1780" t="s">
        <v>791</v>
      </c>
      <c r="BR133" s="2079">
        <v>0.2</v>
      </c>
      <c r="BS133" s="2079">
        <v>0.2</v>
      </c>
      <c r="BT133" s="2079">
        <v>0.2</v>
      </c>
      <c r="BU133" s="2079">
        <v>0.2</v>
      </c>
      <c r="BV133" s="2079">
        <v>0.2</v>
      </c>
      <c r="BW133" s="2079">
        <v>0.2</v>
      </c>
      <c r="BX133" s="2079">
        <v>0.2</v>
      </c>
      <c r="BY133" s="2079">
        <v>0.2</v>
      </c>
      <c r="BZ133" s="2079">
        <v>0.25</v>
      </c>
      <c r="CA133" s="2079">
        <v>0.2</v>
      </c>
      <c r="CB133" s="2063"/>
      <c r="CC133" s="1711"/>
      <c r="CD133" s="1711"/>
      <c r="CE133">
        <f>ROWS($CE$5:CE132)</f>
        <v>128</v>
      </c>
    </row>
    <row r="134" spans="1:83">
      <c r="B134" s="1597">
        <f t="shared" si="100"/>
        <v>4.0999999999999996</v>
      </c>
      <c r="C134" s="1647" t="str">
        <f t="shared" si="82"/>
        <v>住宅以外の評価</v>
      </c>
      <c r="D134" s="1716">
        <f>IF(I$133=0,0,G134/I$133)</f>
        <v>1</v>
      </c>
      <c r="E134" s="1716">
        <f>IF(J$133=0,0,H134/J$133)</f>
        <v>0</v>
      </c>
      <c r="G134" s="1691">
        <f t="shared" si="83"/>
        <v>1</v>
      </c>
      <c r="H134" s="1691">
        <f t="shared" si="84"/>
        <v>0</v>
      </c>
      <c r="I134" s="1691">
        <f>SUM(G135:G136)</f>
        <v>1</v>
      </c>
      <c r="J134" s="1691">
        <f>SUM(H135:H136)</f>
        <v>0</v>
      </c>
      <c r="K134" s="1691">
        <f>IF(スコア表示!W134=0,0,1)</f>
        <v>1</v>
      </c>
      <c r="L134" s="1691">
        <f>IF(スコア表示!AA134=0,0,1)</f>
        <v>0</v>
      </c>
      <c r="M134" s="1691">
        <f t="shared" si="85"/>
        <v>1</v>
      </c>
      <c r="N134" s="1691">
        <f t="shared" si="102"/>
        <v>0</v>
      </c>
      <c r="P134" s="1647">
        <f t="shared" si="103"/>
        <v>4.0999999999999996</v>
      </c>
      <c r="Q134" s="1647" t="str">
        <f t="shared" si="104"/>
        <v>LR1 4</v>
      </c>
      <c r="R134" s="1737" t="str">
        <f t="shared" si="86"/>
        <v>住宅以外の評価</v>
      </c>
      <c r="S134" s="1618">
        <f t="shared" si="110"/>
        <v>1</v>
      </c>
      <c r="T134" s="1618">
        <f t="shared" si="111"/>
        <v>1</v>
      </c>
      <c r="U134" s="1618">
        <f t="shared" si="112"/>
        <v>1</v>
      </c>
      <c r="V134" s="1618">
        <f t="shared" si="113"/>
        <v>1</v>
      </c>
      <c r="W134" s="1618">
        <f t="shared" si="114"/>
        <v>1</v>
      </c>
      <c r="X134" s="1618">
        <f t="shared" si="115"/>
        <v>1</v>
      </c>
      <c r="Y134" s="1618">
        <f t="shared" si="116"/>
        <v>0</v>
      </c>
      <c r="Z134" s="1626">
        <f t="shared" si="117"/>
        <v>1</v>
      </c>
      <c r="AA134" s="1618">
        <f t="shared" si="118"/>
        <v>1</v>
      </c>
      <c r="AB134" s="1618">
        <f t="shared" si="119"/>
        <v>1</v>
      </c>
      <c r="AC134" s="1619">
        <f t="shared" si="107"/>
        <v>0</v>
      </c>
      <c r="AD134" s="1661">
        <f t="shared" si="108"/>
        <v>0</v>
      </c>
      <c r="AE134" s="1661">
        <f t="shared" si="109"/>
        <v>0</v>
      </c>
      <c r="AG134" s="1647">
        <v>4.0999999999999996</v>
      </c>
      <c r="AH134" s="1693" t="s">
        <v>372</v>
      </c>
      <c r="AI134" s="1737" t="s">
        <v>1581</v>
      </c>
      <c r="AJ134" s="1623">
        <v>1</v>
      </c>
      <c r="AK134" s="1623">
        <v>1</v>
      </c>
      <c r="AL134" s="1623">
        <v>1</v>
      </c>
      <c r="AM134" s="1623">
        <v>1</v>
      </c>
      <c r="AN134" s="1623">
        <v>1</v>
      </c>
      <c r="AO134" s="1623">
        <v>1</v>
      </c>
      <c r="AP134" s="1623"/>
      <c r="AQ134" s="1623">
        <v>1</v>
      </c>
      <c r="AR134" s="1623">
        <v>1</v>
      </c>
      <c r="AS134" s="1623">
        <v>1</v>
      </c>
      <c r="AT134" s="1625"/>
      <c r="AU134" s="2087"/>
      <c r="AV134" s="2087"/>
      <c r="AX134" s="1647">
        <v>4.0999999999999996</v>
      </c>
      <c r="AY134" s="1693" t="s">
        <v>372</v>
      </c>
      <c r="AZ134" s="1737" t="s">
        <v>1581</v>
      </c>
      <c r="BA134" s="1623">
        <v>1</v>
      </c>
      <c r="BB134" s="1623">
        <v>1</v>
      </c>
      <c r="BC134" s="1623">
        <v>1</v>
      </c>
      <c r="BD134" s="1623">
        <v>1</v>
      </c>
      <c r="BE134" s="1623">
        <v>1</v>
      </c>
      <c r="BF134" s="1623">
        <v>1</v>
      </c>
      <c r="BG134" s="1623"/>
      <c r="BH134" s="1623">
        <v>1</v>
      </c>
      <c r="BI134" s="1623">
        <v>1</v>
      </c>
      <c r="BJ134" s="1623">
        <v>1</v>
      </c>
      <c r="BK134" s="1625"/>
      <c r="BL134" s="2087"/>
      <c r="BM134" s="2087"/>
      <c r="BO134" s="1647">
        <v>4.0999999999999996</v>
      </c>
      <c r="BP134" s="1693" t="s">
        <v>372</v>
      </c>
      <c r="BQ134" s="1737" t="s">
        <v>1581</v>
      </c>
      <c r="BR134" s="1623">
        <v>1</v>
      </c>
      <c r="BS134" s="1623">
        <v>1</v>
      </c>
      <c r="BT134" s="1623">
        <v>1</v>
      </c>
      <c r="BU134" s="1623">
        <v>1</v>
      </c>
      <c r="BV134" s="1623">
        <v>1</v>
      </c>
      <c r="BW134" s="1623">
        <v>1</v>
      </c>
      <c r="BX134" s="1623"/>
      <c r="BY134" s="1623">
        <v>1</v>
      </c>
      <c r="BZ134" s="1623">
        <v>1</v>
      </c>
      <c r="CA134" s="1623">
        <v>1</v>
      </c>
      <c r="CB134" s="1625"/>
      <c r="CC134" s="2087"/>
      <c r="CD134" s="2087"/>
      <c r="CE134">
        <f>ROWS($CE$5:CE133)</f>
        <v>129</v>
      </c>
    </row>
    <row r="135" spans="1:83">
      <c r="B135" s="1597" t="str">
        <f t="shared" ref="B135:B139" si="121">P135</f>
        <v>4.1.1</v>
      </c>
      <c r="C135" s="1647" t="str">
        <f t="shared" ref="C135:C139" si="122">R135</f>
        <v>モニタリング</v>
      </c>
      <c r="D135" s="1716">
        <f>IF(I$134=0,0,G135/I$134)</f>
        <v>0.5</v>
      </c>
      <c r="E135" s="1716">
        <f>IF(J$134=0,0,H135/J$134)</f>
        <v>0</v>
      </c>
      <c r="G135" s="1691">
        <f t="shared" si="83"/>
        <v>0.5</v>
      </c>
      <c r="H135" s="1691">
        <f t="shared" si="84"/>
        <v>0</v>
      </c>
      <c r="I135" s="1691"/>
      <c r="J135" s="1691"/>
      <c r="K135" s="1691">
        <f>IF(スコア表示!W135=0,0,1)</f>
        <v>1</v>
      </c>
      <c r="L135" s="1691">
        <f>IF(スコア表示!AA135=0,0,1)</f>
        <v>0</v>
      </c>
      <c r="M135" s="1691">
        <f t="shared" ref="M135:M139" si="123">SUMPRODUCT($S$7:$AB$7,S135:AB135)</f>
        <v>0.5</v>
      </c>
      <c r="N135" s="1691">
        <f t="shared" ref="N135:N139" si="124">(AC$7*AC135)+(AD$7*AD135)+(AE$7*AE135)</f>
        <v>0</v>
      </c>
      <c r="P135" s="1647" t="str">
        <f t="shared" ref="P135:P139" si="125">IF($P$3=1,AX135,BO135)</f>
        <v>4.1.1</v>
      </c>
      <c r="Q135" s="1647" t="str">
        <f t="shared" ref="Q135:Q139" si="126">IF($P$3=1,AY135,BP135)</f>
        <v>LR1 4.1</v>
      </c>
      <c r="R135" s="1737" t="str">
        <f t="shared" ref="R135:R139" si="127">AI135</f>
        <v>モニタリング</v>
      </c>
      <c r="S135" s="1618">
        <f t="shared" ref="S135:S139" si="128">IF($P$3=1,BA135,IF($P$3=2,BR135,AJ135))</f>
        <v>0.5</v>
      </c>
      <c r="T135" s="1618">
        <f t="shared" ref="T135:T139" si="129">IF($P$3=1,BB135,IF($P$3=2,BS135,AK135))</f>
        <v>0.5</v>
      </c>
      <c r="U135" s="1618">
        <f t="shared" ref="U135:U139" si="130">IF($P$3=1,BC135,IF($P$3=2,BT135,AL135))</f>
        <v>0.5</v>
      </c>
      <c r="V135" s="1618">
        <f t="shared" ref="V135:V139" si="131">IF($P$3=1,BD135,IF($P$3=2,BU135,AM135))</f>
        <v>0.5</v>
      </c>
      <c r="W135" s="1618">
        <f t="shared" ref="W135:W139" si="132">IF($P$3=1,BE135,IF($P$3=2,BV135,AN135))</f>
        <v>0.5</v>
      </c>
      <c r="X135" s="1618">
        <f t="shared" ref="X135:X139" si="133">IF($P$3=1,BF135,IF($P$3=2,BW135,AO135))</f>
        <v>0.5</v>
      </c>
      <c r="Y135" s="1618">
        <f t="shared" ref="Y135:Y139" si="134">IF($P$3=1,BG135,IF($P$3=2,BX135,AP135))</f>
        <v>0</v>
      </c>
      <c r="Z135" s="1626">
        <f t="shared" ref="Z135:Z139" si="135">IF($P$3=1,BH135,IF($P$3=2,BY135,AQ135))</f>
        <v>0.5</v>
      </c>
      <c r="AA135" s="1618">
        <f t="shared" ref="AA135:AA139" si="136">IF($P$3=1,BI135,IF($P$3=2,BZ135,AR135))</f>
        <v>0.5</v>
      </c>
      <c r="AB135" s="1618">
        <f t="shared" ref="AB135:AB139" si="137">IF($P$3=1,BJ135,IF($P$3=2,CA135,AS135))</f>
        <v>0.5</v>
      </c>
      <c r="AC135" s="1619"/>
      <c r="AD135" s="1661"/>
      <c r="AE135" s="1661"/>
      <c r="AG135" s="1647" t="s">
        <v>1501</v>
      </c>
      <c r="AH135" s="1693" t="s">
        <v>1583</v>
      </c>
      <c r="AI135" s="1737" t="s">
        <v>1721</v>
      </c>
      <c r="AJ135" s="1623">
        <v>0.5</v>
      </c>
      <c r="AK135" s="1623">
        <v>0.5</v>
      </c>
      <c r="AL135" s="1623">
        <v>0.5</v>
      </c>
      <c r="AM135" s="1623">
        <v>0.5</v>
      </c>
      <c r="AN135" s="1623">
        <v>0.5</v>
      </c>
      <c r="AO135" s="1623">
        <v>0.5</v>
      </c>
      <c r="AP135" s="1623"/>
      <c r="AQ135" s="1623">
        <v>0.5</v>
      </c>
      <c r="AR135" s="1623">
        <v>0.5</v>
      </c>
      <c r="AS135" s="1623">
        <v>0.5</v>
      </c>
      <c r="AT135" s="1625"/>
      <c r="AU135" s="2087"/>
      <c r="AV135" s="2087"/>
      <c r="AX135" s="1647" t="s">
        <v>1582</v>
      </c>
      <c r="AY135" s="1693" t="s">
        <v>1584</v>
      </c>
      <c r="AZ135" s="1737" t="s">
        <v>1585</v>
      </c>
      <c r="BA135" s="1623">
        <v>0.5</v>
      </c>
      <c r="BB135" s="1623">
        <v>0.5</v>
      </c>
      <c r="BC135" s="1623">
        <v>0.5</v>
      </c>
      <c r="BD135" s="1623">
        <v>0.5</v>
      </c>
      <c r="BE135" s="1623">
        <v>0.5</v>
      </c>
      <c r="BF135" s="1623">
        <v>0.5</v>
      </c>
      <c r="BG135" s="1623"/>
      <c r="BH135" s="1623">
        <v>0.5</v>
      </c>
      <c r="BI135" s="1623">
        <v>0.5</v>
      </c>
      <c r="BJ135" s="1623">
        <v>0.5</v>
      </c>
      <c r="BK135" s="1625"/>
      <c r="BL135" s="2087"/>
      <c r="BM135" s="2087"/>
      <c r="BO135" s="1647" t="s">
        <v>1582</v>
      </c>
      <c r="BP135" s="1693" t="s">
        <v>1584</v>
      </c>
      <c r="BQ135" s="1737" t="s">
        <v>1585</v>
      </c>
      <c r="BR135" s="1623">
        <v>0.5</v>
      </c>
      <c r="BS135" s="1623">
        <v>0.5</v>
      </c>
      <c r="BT135" s="1623">
        <v>0.5</v>
      </c>
      <c r="BU135" s="1623">
        <v>0.5</v>
      </c>
      <c r="BV135" s="1623">
        <v>0.5</v>
      </c>
      <c r="BW135" s="1623">
        <v>0.5</v>
      </c>
      <c r="BX135" s="1623"/>
      <c r="BY135" s="1623">
        <v>0.5</v>
      </c>
      <c r="BZ135" s="1623">
        <v>0.5</v>
      </c>
      <c r="CA135" s="1623">
        <v>0.5</v>
      </c>
      <c r="CB135" s="1625"/>
      <c r="CC135" s="2087"/>
      <c r="CD135" s="2087"/>
    </row>
    <row r="136" spans="1:83">
      <c r="B136" s="1597" t="str">
        <f t="shared" si="121"/>
        <v>4.1.2</v>
      </c>
      <c r="C136" s="1647" t="str">
        <f t="shared" si="122"/>
        <v>運用管理体制</v>
      </c>
      <c r="D136" s="1721">
        <f>IF(I$134&gt;0,G136/I$134,0)</f>
        <v>0.5</v>
      </c>
      <c r="E136" s="1721">
        <f>IF(J$134&gt;0,H136/J$134,0)</f>
        <v>0</v>
      </c>
      <c r="G136" s="1691">
        <f t="shared" si="83"/>
        <v>0.5</v>
      </c>
      <c r="H136" s="1691">
        <f t="shared" si="84"/>
        <v>0</v>
      </c>
      <c r="I136" s="1691"/>
      <c r="J136" s="1691"/>
      <c r="K136" s="1691">
        <f>IF(スコア表示!W136=0,0,1)</f>
        <v>1</v>
      </c>
      <c r="L136" s="1691">
        <f>IF(スコア表示!AA136=0,0,1)</f>
        <v>0</v>
      </c>
      <c r="M136" s="1691">
        <f t="shared" si="123"/>
        <v>0.5</v>
      </c>
      <c r="N136" s="1691">
        <f t="shared" si="124"/>
        <v>0</v>
      </c>
      <c r="P136" s="1647" t="str">
        <f t="shared" si="125"/>
        <v>4.1.2</v>
      </c>
      <c r="Q136" s="1647" t="str">
        <f t="shared" si="126"/>
        <v>LR1 4.1</v>
      </c>
      <c r="R136" s="1737" t="str">
        <f t="shared" si="127"/>
        <v>運用管理体制</v>
      </c>
      <c r="S136" s="1618">
        <f t="shared" si="128"/>
        <v>0.5</v>
      </c>
      <c r="T136" s="1618">
        <f t="shared" si="129"/>
        <v>0.5</v>
      </c>
      <c r="U136" s="1618">
        <f t="shared" si="130"/>
        <v>0.5</v>
      </c>
      <c r="V136" s="1618">
        <f t="shared" si="131"/>
        <v>0.5</v>
      </c>
      <c r="W136" s="1618">
        <f t="shared" si="132"/>
        <v>0.5</v>
      </c>
      <c r="X136" s="1618">
        <f t="shared" si="133"/>
        <v>0.5</v>
      </c>
      <c r="Y136" s="1618">
        <f t="shared" si="134"/>
        <v>0</v>
      </c>
      <c r="Z136" s="1626">
        <f t="shared" si="135"/>
        <v>0.5</v>
      </c>
      <c r="AA136" s="1618">
        <f t="shared" si="136"/>
        <v>0.5</v>
      </c>
      <c r="AB136" s="1618">
        <f t="shared" si="137"/>
        <v>0.5</v>
      </c>
      <c r="AC136" s="1619"/>
      <c r="AD136" s="1661"/>
      <c r="AE136" s="1661"/>
      <c r="AG136" s="1647" t="s">
        <v>1502</v>
      </c>
      <c r="AH136" s="1693" t="s">
        <v>1583</v>
      </c>
      <c r="AI136" s="2064" t="s">
        <v>792</v>
      </c>
      <c r="AJ136" s="1623">
        <v>0.5</v>
      </c>
      <c r="AK136" s="1623">
        <v>0.5</v>
      </c>
      <c r="AL136" s="1623">
        <v>0.5</v>
      </c>
      <c r="AM136" s="1623">
        <v>0.5</v>
      </c>
      <c r="AN136" s="1623">
        <v>0.5</v>
      </c>
      <c r="AO136" s="1623">
        <v>0.5</v>
      </c>
      <c r="AP136" s="1623"/>
      <c r="AQ136" s="1623">
        <v>0.5</v>
      </c>
      <c r="AR136" s="1623">
        <v>0.5</v>
      </c>
      <c r="AS136" s="1623">
        <v>0.5</v>
      </c>
      <c r="AT136" s="1625"/>
      <c r="AU136" s="2087"/>
      <c r="AV136" s="2087"/>
      <c r="AX136" s="1647" t="s">
        <v>1586</v>
      </c>
      <c r="AY136" s="1693" t="s">
        <v>1584</v>
      </c>
      <c r="AZ136" s="2064" t="s">
        <v>792</v>
      </c>
      <c r="BA136" s="1623">
        <v>0.5</v>
      </c>
      <c r="BB136" s="1623">
        <v>0.5</v>
      </c>
      <c r="BC136" s="1623">
        <v>0.5</v>
      </c>
      <c r="BD136" s="1623">
        <v>0.5</v>
      </c>
      <c r="BE136" s="1623">
        <v>0.5</v>
      </c>
      <c r="BF136" s="1623">
        <v>0.5</v>
      </c>
      <c r="BG136" s="1623"/>
      <c r="BH136" s="1623">
        <v>0.5</v>
      </c>
      <c r="BI136" s="1623">
        <v>0.5</v>
      </c>
      <c r="BJ136" s="1623">
        <v>0.5</v>
      </c>
      <c r="BK136" s="1625"/>
      <c r="BL136" s="2087"/>
      <c r="BM136" s="2087"/>
      <c r="BO136" s="1647" t="s">
        <v>1586</v>
      </c>
      <c r="BP136" s="1693" t="s">
        <v>1584</v>
      </c>
      <c r="BQ136" s="2064" t="s">
        <v>792</v>
      </c>
      <c r="BR136" s="1623">
        <v>0.5</v>
      </c>
      <c r="BS136" s="1623">
        <v>0.5</v>
      </c>
      <c r="BT136" s="1623">
        <v>0.5</v>
      </c>
      <c r="BU136" s="1623">
        <v>0.5</v>
      </c>
      <c r="BV136" s="1623">
        <v>0.5</v>
      </c>
      <c r="BW136" s="1623">
        <v>0.5</v>
      </c>
      <c r="BX136" s="1623"/>
      <c r="BY136" s="1623">
        <v>0.5</v>
      </c>
      <c r="BZ136" s="1623">
        <v>0.5</v>
      </c>
      <c r="CA136" s="1623">
        <v>0.5</v>
      </c>
      <c r="CB136" s="1625"/>
      <c r="CC136" s="2087"/>
      <c r="CD136" s="2087"/>
    </row>
    <row r="137" spans="1:83" s="1680" customFormat="1">
      <c r="A137"/>
      <c r="B137" s="1597">
        <f t="shared" si="121"/>
        <v>4.2</v>
      </c>
      <c r="C137" s="1647" t="str">
        <f t="shared" si="122"/>
        <v>住宅の評価</v>
      </c>
      <c r="D137" s="1716">
        <f>IF(I$133=0,0,G137/I$133)</f>
        <v>0</v>
      </c>
      <c r="E137" s="1716">
        <f>IF(J$133=0,0,H137/J$133)</f>
        <v>0</v>
      </c>
      <c r="F137"/>
      <c r="G137" s="1691">
        <f t="shared" ref="G137:G168" si="138">K137*M137</f>
        <v>0</v>
      </c>
      <c r="H137" s="1691">
        <f t="shared" ref="H137:H168" si="139">L137*N137</f>
        <v>0</v>
      </c>
      <c r="I137" s="1691">
        <f>SUM(G138:G139)</f>
        <v>0</v>
      </c>
      <c r="J137" s="1691">
        <f>SUM(H138:H139)</f>
        <v>0</v>
      </c>
      <c r="K137" s="1691">
        <f>IF(スコア表示!W137=0,0,1)</f>
        <v>0</v>
      </c>
      <c r="L137" s="1691">
        <f>IF(スコア表示!AA137=0,0,1)</f>
        <v>0</v>
      </c>
      <c r="M137" s="1691">
        <f t="shared" si="123"/>
        <v>0</v>
      </c>
      <c r="N137" s="1691">
        <f t="shared" si="124"/>
        <v>0</v>
      </c>
      <c r="O137"/>
      <c r="P137" s="1647">
        <f t="shared" si="125"/>
        <v>4.2</v>
      </c>
      <c r="Q137" s="1647" t="str">
        <f t="shared" si="126"/>
        <v>LR1 4</v>
      </c>
      <c r="R137" s="1737" t="str">
        <f t="shared" si="127"/>
        <v>住宅の評価</v>
      </c>
      <c r="S137" s="1618">
        <f t="shared" si="128"/>
        <v>0</v>
      </c>
      <c r="T137" s="1618">
        <f t="shared" si="129"/>
        <v>0</v>
      </c>
      <c r="U137" s="1618">
        <f t="shared" si="130"/>
        <v>0</v>
      </c>
      <c r="V137" s="1618">
        <f t="shared" si="131"/>
        <v>0</v>
      </c>
      <c r="W137" s="1618">
        <f t="shared" si="132"/>
        <v>0</v>
      </c>
      <c r="X137" s="1618">
        <f t="shared" si="133"/>
        <v>0</v>
      </c>
      <c r="Y137" s="1618">
        <f t="shared" si="134"/>
        <v>1</v>
      </c>
      <c r="Z137" s="1626">
        <f t="shared" si="135"/>
        <v>0</v>
      </c>
      <c r="AA137" s="1618">
        <f t="shared" si="136"/>
        <v>0</v>
      </c>
      <c r="AB137" s="1618">
        <f t="shared" si="137"/>
        <v>0</v>
      </c>
      <c r="AC137" s="1619">
        <f t="shared" si="107"/>
        <v>0</v>
      </c>
      <c r="AD137" s="1661">
        <f t="shared" si="108"/>
        <v>0</v>
      </c>
      <c r="AE137" s="1661">
        <f t="shared" si="109"/>
        <v>0</v>
      </c>
      <c r="AF137"/>
      <c r="AG137" s="1647">
        <v>4.2</v>
      </c>
      <c r="AH137" s="1693" t="s">
        <v>372</v>
      </c>
      <c r="AI137" s="2064" t="s">
        <v>1587</v>
      </c>
      <c r="AJ137" s="1623"/>
      <c r="AK137" s="1623"/>
      <c r="AL137" s="1623"/>
      <c r="AM137" s="1623"/>
      <c r="AN137" s="1623"/>
      <c r="AO137" s="1623"/>
      <c r="AP137" s="1623">
        <v>1</v>
      </c>
      <c r="AQ137" s="1624"/>
      <c r="AR137" s="1623"/>
      <c r="AS137" s="1623"/>
      <c r="AT137" s="1625"/>
      <c r="AU137" s="2087"/>
      <c r="AV137" s="2087"/>
      <c r="AW137"/>
      <c r="AX137" s="1647">
        <v>4.2</v>
      </c>
      <c r="AY137" s="1693" t="s">
        <v>372</v>
      </c>
      <c r="AZ137" s="2064" t="s">
        <v>1587</v>
      </c>
      <c r="BA137" s="1623"/>
      <c r="BB137" s="1623"/>
      <c r="BC137" s="1623"/>
      <c r="BD137" s="1623"/>
      <c r="BE137" s="1623"/>
      <c r="BF137" s="1623"/>
      <c r="BG137" s="1623">
        <v>1</v>
      </c>
      <c r="BH137" s="1624"/>
      <c r="BI137" s="1623"/>
      <c r="BJ137" s="1623"/>
      <c r="BK137" s="1625"/>
      <c r="BL137" s="2087"/>
      <c r="BM137" s="2087"/>
      <c r="BN137"/>
      <c r="BO137" s="1647">
        <v>4.2</v>
      </c>
      <c r="BP137" s="1693" t="s">
        <v>372</v>
      </c>
      <c r="BQ137" s="2064" t="s">
        <v>1587</v>
      </c>
      <c r="BR137" s="1623"/>
      <c r="BS137" s="1623"/>
      <c r="BT137" s="1623"/>
      <c r="BU137" s="1623"/>
      <c r="BV137" s="1623"/>
      <c r="BW137" s="1623"/>
      <c r="BX137" s="1623">
        <v>1</v>
      </c>
      <c r="BY137" s="1624"/>
      <c r="BZ137" s="1623"/>
      <c r="CA137" s="1623"/>
      <c r="CB137" s="1625"/>
      <c r="CC137" s="2087"/>
      <c r="CD137" s="2087"/>
      <c r="CE137"/>
    </row>
    <row r="138" spans="1:83" s="1680" customFormat="1">
      <c r="A138"/>
      <c r="B138" s="1597" t="str">
        <f t="shared" si="121"/>
        <v>4.2.1</v>
      </c>
      <c r="C138" s="1647" t="str">
        <f t="shared" si="122"/>
        <v>住まい方の提示</v>
      </c>
      <c r="D138" s="1721">
        <f>IF(I$137&gt;0,G138/I$137,0)</f>
        <v>0</v>
      </c>
      <c r="E138" s="1721">
        <f>IF(J$137&gt;0,H138/J$137,0)</f>
        <v>0</v>
      </c>
      <c r="F138"/>
      <c r="G138" s="1691">
        <f t="shared" si="138"/>
        <v>0</v>
      </c>
      <c r="H138" s="1691">
        <f t="shared" si="139"/>
        <v>0</v>
      </c>
      <c r="I138" s="1691"/>
      <c r="J138" s="1691"/>
      <c r="K138" s="1691">
        <f>IF(スコア表示!W138=0,0,1)</f>
        <v>0</v>
      </c>
      <c r="L138" s="1691">
        <f>IF(スコア表示!AA138=0,0,1)</f>
        <v>0</v>
      </c>
      <c r="M138" s="1691">
        <f t="shared" si="123"/>
        <v>0</v>
      </c>
      <c r="N138" s="1691">
        <f t="shared" si="124"/>
        <v>0</v>
      </c>
      <c r="O138"/>
      <c r="P138" s="1647" t="str">
        <f t="shared" si="125"/>
        <v>4.2.1</v>
      </c>
      <c r="Q138" s="1647" t="str">
        <f t="shared" si="126"/>
        <v>LR1 4.2</v>
      </c>
      <c r="R138" s="1737" t="str">
        <f t="shared" si="127"/>
        <v>住まい方の提示</v>
      </c>
      <c r="S138" s="1618">
        <f t="shared" si="128"/>
        <v>0</v>
      </c>
      <c r="T138" s="1618">
        <f t="shared" si="129"/>
        <v>0</v>
      </c>
      <c r="U138" s="1618">
        <f t="shared" si="130"/>
        <v>0</v>
      </c>
      <c r="V138" s="1618">
        <f t="shared" si="131"/>
        <v>0</v>
      </c>
      <c r="W138" s="1618">
        <f t="shared" si="132"/>
        <v>0</v>
      </c>
      <c r="X138" s="1618">
        <f t="shared" si="133"/>
        <v>0</v>
      </c>
      <c r="Y138" s="1618">
        <f t="shared" si="134"/>
        <v>0.5</v>
      </c>
      <c r="Z138" s="1626">
        <f t="shared" si="135"/>
        <v>0</v>
      </c>
      <c r="AA138" s="1618">
        <f t="shared" si="136"/>
        <v>0</v>
      </c>
      <c r="AB138" s="1618">
        <f t="shared" si="137"/>
        <v>0</v>
      </c>
      <c r="AC138" s="1619"/>
      <c r="AD138" s="1661"/>
      <c r="AE138" s="1661"/>
      <c r="AF138"/>
      <c r="AG138" s="1647" t="s">
        <v>1588</v>
      </c>
      <c r="AH138" s="1693" t="s">
        <v>1589</v>
      </c>
      <c r="AI138" s="2064" t="s">
        <v>1722</v>
      </c>
      <c r="AJ138" s="1623"/>
      <c r="AK138" s="1623"/>
      <c r="AL138" s="1623"/>
      <c r="AM138" s="1623"/>
      <c r="AN138" s="1623"/>
      <c r="AO138" s="1623"/>
      <c r="AP138" s="1623">
        <v>0.5</v>
      </c>
      <c r="AQ138" s="1624"/>
      <c r="AR138" s="1623"/>
      <c r="AS138" s="1623"/>
      <c r="AT138" s="1625"/>
      <c r="AU138" s="2087"/>
      <c r="AV138" s="2087"/>
      <c r="AW138"/>
      <c r="AX138" s="1647" t="s">
        <v>1506</v>
      </c>
      <c r="AY138" s="1693" t="s">
        <v>1590</v>
      </c>
      <c r="AZ138" s="2064" t="s">
        <v>1591</v>
      </c>
      <c r="BA138" s="1623"/>
      <c r="BB138" s="1623"/>
      <c r="BC138" s="1623"/>
      <c r="BD138" s="1623"/>
      <c r="BE138" s="1623"/>
      <c r="BF138" s="1623"/>
      <c r="BG138" s="1623">
        <v>0.5</v>
      </c>
      <c r="BH138" s="1624"/>
      <c r="BI138" s="1623"/>
      <c r="BJ138" s="1623"/>
      <c r="BK138" s="1625"/>
      <c r="BL138" s="2087"/>
      <c r="BM138" s="2087"/>
      <c r="BN138"/>
      <c r="BO138" s="1647" t="s">
        <v>1506</v>
      </c>
      <c r="BP138" s="1693" t="s">
        <v>1590</v>
      </c>
      <c r="BQ138" s="2064" t="s">
        <v>1591</v>
      </c>
      <c r="BR138" s="1623"/>
      <c r="BS138" s="1623"/>
      <c r="BT138" s="1623"/>
      <c r="BU138" s="1623"/>
      <c r="BV138" s="1623"/>
      <c r="BW138" s="1623"/>
      <c r="BX138" s="1623">
        <v>0.5</v>
      </c>
      <c r="BY138" s="1624"/>
      <c r="BZ138" s="1623"/>
      <c r="CA138" s="1623"/>
      <c r="CB138" s="1625"/>
      <c r="CC138" s="2087"/>
      <c r="CD138" s="2087"/>
      <c r="CE138"/>
    </row>
    <row r="139" spans="1:83" s="1680" customFormat="1">
      <c r="A139"/>
      <c r="B139" s="1597" t="str">
        <f t="shared" si="121"/>
        <v>4.2.2</v>
      </c>
      <c r="C139" s="1647" t="str">
        <f t="shared" si="122"/>
        <v>エネルギーの管理と制御</v>
      </c>
      <c r="D139" s="1721">
        <f>IF(I$137&gt;0,G139/I$137,0)</f>
        <v>0</v>
      </c>
      <c r="E139" s="1721">
        <f>IF(J$137&gt;0,H139/J$137,0)</f>
        <v>0</v>
      </c>
      <c r="F139"/>
      <c r="G139" s="1691">
        <f t="shared" si="138"/>
        <v>0</v>
      </c>
      <c r="H139" s="1691">
        <f t="shared" si="139"/>
        <v>0</v>
      </c>
      <c r="I139" s="1691"/>
      <c r="J139" s="1691"/>
      <c r="K139" s="1691">
        <f>IF(スコア表示!W139=0,0,1)</f>
        <v>0</v>
      </c>
      <c r="L139" s="1691">
        <f>IF(スコア表示!AA139=0,0,1)</f>
        <v>0</v>
      </c>
      <c r="M139" s="1691">
        <f t="shared" si="123"/>
        <v>0</v>
      </c>
      <c r="N139" s="1691">
        <f t="shared" si="124"/>
        <v>0</v>
      </c>
      <c r="O139"/>
      <c r="P139" s="1647" t="str">
        <f t="shared" si="125"/>
        <v>4.2.2</v>
      </c>
      <c r="Q139" s="1647" t="str">
        <f t="shared" si="126"/>
        <v>LR1 4.2</v>
      </c>
      <c r="R139" s="1737" t="str">
        <f t="shared" si="127"/>
        <v>エネルギーの管理と制御</v>
      </c>
      <c r="S139" s="1618">
        <f t="shared" si="128"/>
        <v>0</v>
      </c>
      <c r="T139" s="1618">
        <f t="shared" si="129"/>
        <v>0</v>
      </c>
      <c r="U139" s="1618">
        <f t="shared" si="130"/>
        <v>0</v>
      </c>
      <c r="V139" s="1618">
        <f t="shared" si="131"/>
        <v>0</v>
      </c>
      <c r="W139" s="1618">
        <f t="shared" si="132"/>
        <v>0</v>
      </c>
      <c r="X139" s="1618">
        <f t="shared" si="133"/>
        <v>0</v>
      </c>
      <c r="Y139" s="1618">
        <f t="shared" si="134"/>
        <v>0.5</v>
      </c>
      <c r="Z139" s="1626">
        <f t="shared" si="135"/>
        <v>0</v>
      </c>
      <c r="AA139" s="1618">
        <f t="shared" si="136"/>
        <v>0</v>
      </c>
      <c r="AB139" s="1618">
        <f t="shared" si="137"/>
        <v>0</v>
      </c>
      <c r="AC139" s="1619"/>
      <c r="AD139" s="1661"/>
      <c r="AE139" s="1661"/>
      <c r="AF139"/>
      <c r="AG139" s="1647" t="s">
        <v>1507</v>
      </c>
      <c r="AH139" s="1693" t="s">
        <v>1589</v>
      </c>
      <c r="AI139" s="2064" t="s">
        <v>1723</v>
      </c>
      <c r="AJ139" s="1623"/>
      <c r="AK139" s="1623"/>
      <c r="AL139" s="1623"/>
      <c r="AM139" s="1623"/>
      <c r="AN139" s="1623"/>
      <c r="AO139" s="1623"/>
      <c r="AP139" s="1623">
        <v>0.5</v>
      </c>
      <c r="AQ139" s="1624"/>
      <c r="AR139" s="1623"/>
      <c r="AS139" s="1623"/>
      <c r="AT139" s="1625"/>
      <c r="AU139" s="2087"/>
      <c r="AV139" s="2087"/>
      <c r="AW139"/>
      <c r="AX139" s="1647" t="s">
        <v>1508</v>
      </c>
      <c r="AY139" s="1693" t="s">
        <v>1590</v>
      </c>
      <c r="AZ139" s="2064" t="s">
        <v>1592</v>
      </c>
      <c r="BA139" s="1623"/>
      <c r="BB139" s="1623"/>
      <c r="BC139" s="1623"/>
      <c r="BD139" s="1623"/>
      <c r="BE139" s="1623"/>
      <c r="BF139" s="1623"/>
      <c r="BG139" s="1623">
        <v>0.5</v>
      </c>
      <c r="BH139" s="1624"/>
      <c r="BI139" s="1623"/>
      <c r="BJ139" s="1623"/>
      <c r="BK139" s="1625"/>
      <c r="BL139" s="2087"/>
      <c r="BM139" s="2087"/>
      <c r="BN139"/>
      <c r="BO139" s="1647" t="s">
        <v>1508</v>
      </c>
      <c r="BP139" s="1693" t="s">
        <v>1590</v>
      </c>
      <c r="BQ139" s="2064" t="s">
        <v>1592</v>
      </c>
      <c r="BR139" s="1623"/>
      <c r="BS139" s="1623"/>
      <c r="BT139" s="1623"/>
      <c r="BU139" s="1623"/>
      <c r="BV139" s="1623"/>
      <c r="BW139" s="1623"/>
      <c r="BX139" s="1623">
        <v>0.5</v>
      </c>
      <c r="BY139" s="1624"/>
      <c r="BZ139" s="1623"/>
      <c r="CA139" s="1623"/>
      <c r="CB139" s="1625"/>
      <c r="CC139" s="2087"/>
      <c r="CD139" s="2087"/>
      <c r="CE139"/>
    </row>
    <row r="140" spans="1:83" s="1605" customFormat="1">
      <c r="A140"/>
      <c r="B140" s="1597" t="str">
        <f t="shared" si="100"/>
        <v>LR2</v>
      </c>
      <c r="C140" s="1597" t="str">
        <f t="shared" si="82"/>
        <v>資源・マテリアル</v>
      </c>
      <c r="D140" s="2091">
        <f>IF(I$116=0,0,G140/I$116)</f>
        <v>0.3</v>
      </c>
      <c r="E140" s="2057">
        <f>IF(J$116=0,0,H140/J$116)</f>
        <v>0</v>
      </c>
      <c r="F140"/>
      <c r="G140" s="2057">
        <f t="shared" si="138"/>
        <v>0.3</v>
      </c>
      <c r="H140" s="2057">
        <f t="shared" si="139"/>
        <v>0</v>
      </c>
      <c r="I140" s="2057">
        <f>G141+G146+G153</f>
        <v>1</v>
      </c>
      <c r="J140" s="2057">
        <f>H141+H146+H153</f>
        <v>0</v>
      </c>
      <c r="K140" s="2057">
        <f>IF(スコア表示!W140=0,0,1)</f>
        <v>1</v>
      </c>
      <c r="L140" s="2057">
        <f>IF(スコア表示!AA140=0,0,1)</f>
        <v>0</v>
      </c>
      <c r="M140" s="2057">
        <f t="shared" si="85"/>
        <v>0.3</v>
      </c>
      <c r="N140" s="2057">
        <f t="shared" si="102"/>
        <v>0</v>
      </c>
      <c r="O140"/>
      <c r="P140" s="1598" t="str">
        <f t="shared" si="103"/>
        <v>LR2</v>
      </c>
      <c r="Q140" s="1598" t="str">
        <f t="shared" si="104"/>
        <v>LR</v>
      </c>
      <c r="R140" s="2058" t="str">
        <f t="shared" si="86"/>
        <v>資源・マテリアル</v>
      </c>
      <c r="S140" s="1603">
        <f t="shared" si="110"/>
        <v>0.3</v>
      </c>
      <c r="T140" s="1603">
        <f t="shared" si="111"/>
        <v>0.3</v>
      </c>
      <c r="U140" s="1603">
        <f t="shared" si="112"/>
        <v>0.3</v>
      </c>
      <c r="V140" s="1603">
        <f t="shared" si="113"/>
        <v>0.3</v>
      </c>
      <c r="W140" s="1603">
        <f t="shared" si="114"/>
        <v>0.3</v>
      </c>
      <c r="X140" s="1603">
        <f t="shared" si="115"/>
        <v>0.3</v>
      </c>
      <c r="Y140" s="1603">
        <f t="shared" si="116"/>
        <v>0.3</v>
      </c>
      <c r="Z140" s="1682">
        <f t="shared" si="117"/>
        <v>0.3</v>
      </c>
      <c r="AA140" s="1603">
        <f t="shared" si="118"/>
        <v>0.3</v>
      </c>
      <c r="AB140" s="1603">
        <f t="shared" si="119"/>
        <v>0.3</v>
      </c>
      <c r="AC140" s="1683">
        <f t="shared" si="107"/>
        <v>0</v>
      </c>
      <c r="AD140" s="1684">
        <f t="shared" si="108"/>
        <v>0</v>
      </c>
      <c r="AE140" s="1684">
        <f t="shared" si="109"/>
        <v>0</v>
      </c>
      <c r="AF140"/>
      <c r="AG140" s="1598" t="s">
        <v>1724</v>
      </c>
      <c r="AH140" s="2094" t="s">
        <v>1566</v>
      </c>
      <c r="AI140" s="2058" t="s">
        <v>1725</v>
      </c>
      <c r="AJ140" s="2060">
        <v>0.3</v>
      </c>
      <c r="AK140" s="2060">
        <v>0.3</v>
      </c>
      <c r="AL140" s="2060">
        <v>0.3</v>
      </c>
      <c r="AM140" s="2060">
        <v>0.3</v>
      </c>
      <c r="AN140" s="2060">
        <v>0.3</v>
      </c>
      <c r="AO140" s="2060">
        <v>0.3</v>
      </c>
      <c r="AP140" s="2060">
        <v>0.3</v>
      </c>
      <c r="AQ140" s="2095">
        <v>0.3</v>
      </c>
      <c r="AR140" s="2060">
        <v>0.3</v>
      </c>
      <c r="AS140" s="2060">
        <v>0.3</v>
      </c>
      <c r="AT140" s="2096"/>
      <c r="AU140" s="2097"/>
      <c r="AV140" s="2097"/>
      <c r="AW140"/>
      <c r="AX140" s="1598" t="s">
        <v>1593</v>
      </c>
      <c r="AY140" s="2094" t="s">
        <v>1567</v>
      </c>
      <c r="AZ140" s="2058" t="s">
        <v>1594</v>
      </c>
      <c r="BA140" s="2060">
        <v>0.3</v>
      </c>
      <c r="BB140" s="2060">
        <v>0.3</v>
      </c>
      <c r="BC140" s="2060">
        <v>0.3</v>
      </c>
      <c r="BD140" s="2060">
        <v>0.3</v>
      </c>
      <c r="BE140" s="2060">
        <v>0.3</v>
      </c>
      <c r="BF140" s="2060">
        <v>0.3</v>
      </c>
      <c r="BG140" s="2060">
        <v>0.3</v>
      </c>
      <c r="BH140" s="2095">
        <v>0.3</v>
      </c>
      <c r="BI140" s="2060">
        <v>0.3</v>
      </c>
      <c r="BJ140" s="2060">
        <v>0.3</v>
      </c>
      <c r="BK140" s="2096"/>
      <c r="BL140" s="2097"/>
      <c r="BM140" s="2097"/>
      <c r="BN140"/>
      <c r="BO140" s="1598" t="s">
        <v>1593</v>
      </c>
      <c r="BP140" s="2094" t="s">
        <v>1567</v>
      </c>
      <c r="BQ140" s="2058" t="s">
        <v>1594</v>
      </c>
      <c r="BR140" s="2060">
        <v>0.3</v>
      </c>
      <c r="BS140" s="2060">
        <v>0.3</v>
      </c>
      <c r="BT140" s="2060">
        <v>0.3</v>
      </c>
      <c r="BU140" s="2060">
        <v>0.3</v>
      </c>
      <c r="BV140" s="2060">
        <v>0.3</v>
      </c>
      <c r="BW140" s="2060">
        <v>0.3</v>
      </c>
      <c r="BX140" s="2060">
        <v>0.3</v>
      </c>
      <c r="BY140" s="2095">
        <v>0.3</v>
      </c>
      <c r="BZ140" s="2060">
        <v>0.3</v>
      </c>
      <c r="CA140" s="2060">
        <v>0.3</v>
      </c>
      <c r="CB140" s="2096"/>
      <c r="CC140" s="2097"/>
      <c r="CD140" s="2097"/>
      <c r="CE140"/>
    </row>
    <row r="141" spans="1:83" s="1605" customFormat="1">
      <c r="A141"/>
      <c r="B141" s="1597">
        <f t="shared" si="100"/>
        <v>1</v>
      </c>
      <c r="C141" s="1641" t="str">
        <f t="shared" ref="C141:C172" si="140">R141</f>
        <v>水資源保護</v>
      </c>
      <c r="D141" s="2062">
        <f>IF(I$140=0,0,G141/I$140)</f>
        <v>0.2</v>
      </c>
      <c r="E141" s="1743">
        <f>IF(J$140=0,0,H141/J$140)</f>
        <v>0</v>
      </c>
      <c r="F141"/>
      <c r="G141" s="1743">
        <f t="shared" si="138"/>
        <v>0.2</v>
      </c>
      <c r="H141" s="1743">
        <f t="shared" si="139"/>
        <v>0</v>
      </c>
      <c r="I141" s="1743">
        <f>G142+G143</f>
        <v>1</v>
      </c>
      <c r="J141" s="1743">
        <f>H142+H143</f>
        <v>0</v>
      </c>
      <c r="K141" s="1743">
        <f>IF(スコア表示!W141=0,0,1)</f>
        <v>1</v>
      </c>
      <c r="L141" s="1743">
        <f>IF(スコア表示!AA141=0,0,1)</f>
        <v>0</v>
      </c>
      <c r="M141" s="1743">
        <f t="shared" ref="M141:M172" si="141">SUMPRODUCT($S$7:$AB$7,S141:AB141)</f>
        <v>0.2</v>
      </c>
      <c r="N141" s="1743">
        <f t="shared" si="102"/>
        <v>0</v>
      </c>
      <c r="O141"/>
      <c r="P141" s="1673">
        <f t="shared" si="103"/>
        <v>1</v>
      </c>
      <c r="Q141" s="1641" t="str">
        <f t="shared" si="104"/>
        <v>LR2</v>
      </c>
      <c r="R141" s="1780" t="str">
        <f t="shared" ref="R141:R172" si="142">AI141</f>
        <v>水資源保護</v>
      </c>
      <c r="S141" s="1610">
        <f t="shared" si="110"/>
        <v>0.2</v>
      </c>
      <c r="T141" s="1610">
        <f t="shared" si="111"/>
        <v>0.2</v>
      </c>
      <c r="U141" s="1610">
        <f t="shared" si="112"/>
        <v>0.2</v>
      </c>
      <c r="V141" s="1610">
        <f t="shared" si="113"/>
        <v>0.2</v>
      </c>
      <c r="W141" s="1610">
        <f t="shared" si="114"/>
        <v>0.2</v>
      </c>
      <c r="X141" s="1610">
        <f t="shared" si="115"/>
        <v>0.2</v>
      </c>
      <c r="Y141" s="1610">
        <f t="shared" si="116"/>
        <v>0.2</v>
      </c>
      <c r="Z141" s="1646">
        <f t="shared" si="117"/>
        <v>0.2</v>
      </c>
      <c r="AA141" s="1610">
        <f t="shared" si="118"/>
        <v>0.2</v>
      </c>
      <c r="AB141" s="1610">
        <f t="shared" si="119"/>
        <v>0.2</v>
      </c>
      <c r="AC141" s="1686">
        <f t="shared" si="107"/>
        <v>0</v>
      </c>
      <c r="AD141" s="1687">
        <f t="shared" si="108"/>
        <v>0</v>
      </c>
      <c r="AE141" s="1687">
        <f t="shared" si="109"/>
        <v>0</v>
      </c>
      <c r="AF141"/>
      <c r="AG141" s="1673">
        <v>1</v>
      </c>
      <c r="AH141" s="1744" t="s">
        <v>373</v>
      </c>
      <c r="AI141" s="1780" t="s">
        <v>795</v>
      </c>
      <c r="AJ141" s="1711">
        <v>0.2</v>
      </c>
      <c r="AK141" s="1711">
        <v>0.2</v>
      </c>
      <c r="AL141" s="1711">
        <v>0.2</v>
      </c>
      <c r="AM141" s="1711">
        <v>0.2</v>
      </c>
      <c r="AN141" s="1711">
        <v>0.2</v>
      </c>
      <c r="AO141" s="1711">
        <v>0.2</v>
      </c>
      <c r="AP141" s="1711">
        <v>0.2</v>
      </c>
      <c r="AQ141" s="2083">
        <v>0.2</v>
      </c>
      <c r="AR141" s="1711">
        <v>0.2</v>
      </c>
      <c r="AS141" s="1711">
        <v>0.2</v>
      </c>
      <c r="AT141" s="2098"/>
      <c r="AU141" s="2099"/>
      <c r="AV141" s="2099"/>
      <c r="AW141"/>
      <c r="AX141" s="1673">
        <v>1</v>
      </c>
      <c r="AY141" s="1744" t="s">
        <v>373</v>
      </c>
      <c r="AZ141" s="1780" t="s">
        <v>795</v>
      </c>
      <c r="BA141" s="1711">
        <v>0.2</v>
      </c>
      <c r="BB141" s="1711">
        <v>0.2</v>
      </c>
      <c r="BC141" s="1711">
        <v>0.2</v>
      </c>
      <c r="BD141" s="1711">
        <v>0.2</v>
      </c>
      <c r="BE141" s="1711">
        <v>0.2</v>
      </c>
      <c r="BF141" s="1711">
        <v>0.2</v>
      </c>
      <c r="BG141" s="1711">
        <v>0.2</v>
      </c>
      <c r="BH141" s="2083">
        <v>0.2</v>
      </c>
      <c r="BI141" s="1711">
        <v>0.2</v>
      </c>
      <c r="BJ141" s="1711">
        <v>0.2</v>
      </c>
      <c r="BK141" s="2098"/>
      <c r="BL141" s="2099"/>
      <c r="BM141" s="2099"/>
      <c r="BN141"/>
      <c r="BO141" s="1673">
        <v>1</v>
      </c>
      <c r="BP141" s="1744" t="s">
        <v>373</v>
      </c>
      <c r="BQ141" s="1780" t="s">
        <v>795</v>
      </c>
      <c r="BR141" s="1711">
        <v>0.2</v>
      </c>
      <c r="BS141" s="1711">
        <v>0.2</v>
      </c>
      <c r="BT141" s="1711">
        <v>0.2</v>
      </c>
      <c r="BU141" s="1711">
        <v>0.2</v>
      </c>
      <c r="BV141" s="1711">
        <v>0.2</v>
      </c>
      <c r="BW141" s="1711">
        <v>0.2</v>
      </c>
      <c r="BX141" s="1711">
        <v>0.2</v>
      </c>
      <c r="BY141" s="2083">
        <v>0.2</v>
      </c>
      <c r="BZ141" s="1711">
        <v>0.2</v>
      </c>
      <c r="CA141" s="1711">
        <v>0.2</v>
      </c>
      <c r="CB141" s="2098"/>
      <c r="CC141" s="2099"/>
      <c r="CD141" s="2099"/>
      <c r="CE141"/>
    </row>
    <row r="142" spans="1:83">
      <c r="B142" s="1597">
        <f t="shared" si="100"/>
        <v>1.1000000000000001</v>
      </c>
      <c r="C142" s="1614" t="str">
        <f t="shared" si="140"/>
        <v>節水</v>
      </c>
      <c r="D142" s="1716">
        <f>IF(I$141=0,0,G142/I$141)</f>
        <v>0.4</v>
      </c>
      <c r="E142" s="1691">
        <f>IF(J$141=0,0,H142/J$141)</f>
        <v>0</v>
      </c>
      <c r="G142" s="1691">
        <f t="shared" si="138"/>
        <v>0.4</v>
      </c>
      <c r="H142" s="1691">
        <f t="shared" si="139"/>
        <v>0</v>
      </c>
      <c r="I142" s="1691"/>
      <c r="J142" s="1691"/>
      <c r="K142" s="1691">
        <f>IF(スコア表示!W142=0,0,1)</f>
        <v>1</v>
      </c>
      <c r="L142" s="1691">
        <f>IF(スコア表示!AA142=0,0,1)</f>
        <v>0</v>
      </c>
      <c r="M142" s="1691">
        <f t="shared" si="141"/>
        <v>0.4</v>
      </c>
      <c r="N142" s="1691">
        <f t="shared" si="102"/>
        <v>0</v>
      </c>
      <c r="P142" s="1647">
        <f t="shared" si="103"/>
        <v>1.1000000000000001</v>
      </c>
      <c r="Q142" s="1647" t="str">
        <f t="shared" si="104"/>
        <v>LR2 1</v>
      </c>
      <c r="R142" s="1737" t="str">
        <f t="shared" si="142"/>
        <v>節水</v>
      </c>
      <c r="S142" s="1618">
        <f t="shared" si="110"/>
        <v>0.4</v>
      </c>
      <c r="T142" s="1618">
        <f t="shared" si="111"/>
        <v>0.4</v>
      </c>
      <c r="U142" s="1618">
        <f t="shared" si="112"/>
        <v>0.4</v>
      </c>
      <c r="V142" s="1618">
        <f t="shared" si="113"/>
        <v>0.4</v>
      </c>
      <c r="W142" s="1618">
        <f t="shared" si="114"/>
        <v>0.4</v>
      </c>
      <c r="X142" s="1618">
        <f t="shared" si="115"/>
        <v>0.4</v>
      </c>
      <c r="Y142" s="1618">
        <f t="shared" si="116"/>
        <v>0.4</v>
      </c>
      <c r="Z142" s="1626">
        <f t="shared" si="117"/>
        <v>0.4</v>
      </c>
      <c r="AA142" s="1618">
        <f t="shared" si="118"/>
        <v>0.4</v>
      </c>
      <c r="AB142" s="1618">
        <f t="shared" si="119"/>
        <v>0.4</v>
      </c>
      <c r="AC142" s="1688">
        <f t="shared" si="107"/>
        <v>0</v>
      </c>
      <c r="AD142" s="1633">
        <f t="shared" si="108"/>
        <v>0</v>
      </c>
      <c r="AE142" s="1633">
        <f t="shared" si="109"/>
        <v>0</v>
      </c>
      <c r="AG142" s="1647">
        <v>1.1000000000000001</v>
      </c>
      <c r="AH142" s="1693" t="s">
        <v>374</v>
      </c>
      <c r="AI142" s="2064" t="s">
        <v>796</v>
      </c>
      <c r="AJ142" s="1623">
        <v>0.4</v>
      </c>
      <c r="AK142" s="1623">
        <v>0.4</v>
      </c>
      <c r="AL142" s="1623">
        <v>0.4</v>
      </c>
      <c r="AM142" s="1623">
        <v>0.4</v>
      </c>
      <c r="AN142" s="1623">
        <v>0.4</v>
      </c>
      <c r="AO142" s="1623">
        <v>0.4</v>
      </c>
      <c r="AP142" s="1623">
        <v>0.4</v>
      </c>
      <c r="AQ142" s="1624">
        <v>0.4</v>
      </c>
      <c r="AR142" s="1623">
        <v>0.4</v>
      </c>
      <c r="AS142" s="1623">
        <v>0.4</v>
      </c>
      <c r="AT142" s="1870"/>
      <c r="AU142" s="1715"/>
      <c r="AV142" s="1715"/>
      <c r="AX142" s="1647">
        <v>1.1000000000000001</v>
      </c>
      <c r="AY142" s="1693" t="s">
        <v>374</v>
      </c>
      <c r="AZ142" s="2064" t="s">
        <v>796</v>
      </c>
      <c r="BA142" s="1623">
        <v>0.4</v>
      </c>
      <c r="BB142" s="1623">
        <v>0.4</v>
      </c>
      <c r="BC142" s="1623">
        <v>0.4</v>
      </c>
      <c r="BD142" s="1623">
        <v>0.4</v>
      </c>
      <c r="BE142" s="1623">
        <v>0.4</v>
      </c>
      <c r="BF142" s="1623">
        <v>0.4</v>
      </c>
      <c r="BG142" s="1623">
        <v>0.4</v>
      </c>
      <c r="BH142" s="1624">
        <v>0.4</v>
      </c>
      <c r="BI142" s="1623">
        <v>0.4</v>
      </c>
      <c r="BJ142" s="1623">
        <v>0.4</v>
      </c>
      <c r="BK142" s="1870"/>
      <c r="BL142" s="1715"/>
      <c r="BM142" s="1715"/>
      <c r="BO142" s="1647">
        <v>1.1000000000000001</v>
      </c>
      <c r="BP142" s="1693" t="s">
        <v>374</v>
      </c>
      <c r="BQ142" s="2064" t="s">
        <v>796</v>
      </c>
      <c r="BR142" s="1623">
        <v>0.4</v>
      </c>
      <c r="BS142" s="1623">
        <v>0.4</v>
      </c>
      <c r="BT142" s="1623">
        <v>0.4</v>
      </c>
      <c r="BU142" s="1623">
        <v>0.4</v>
      </c>
      <c r="BV142" s="1623">
        <v>0.4</v>
      </c>
      <c r="BW142" s="1623">
        <v>0.4</v>
      </c>
      <c r="BX142" s="1623">
        <v>0.4</v>
      </c>
      <c r="BY142" s="1624">
        <v>0.4</v>
      </c>
      <c r="BZ142" s="1623">
        <v>0.4</v>
      </c>
      <c r="CA142" s="1623">
        <v>0.4</v>
      </c>
      <c r="CB142" s="1870"/>
      <c r="CC142" s="1715"/>
      <c r="CD142" s="1715"/>
    </row>
    <row r="143" spans="1:83">
      <c r="B143" s="1597">
        <f t="shared" ref="B143:B174" si="143">P143</f>
        <v>1.2</v>
      </c>
      <c r="C143" s="1647" t="str">
        <f t="shared" si="140"/>
        <v>雨水利用・雑排水再利用</v>
      </c>
      <c r="D143" s="1716">
        <f>IF(I$141=0,0,G143/I$141)</f>
        <v>0.6</v>
      </c>
      <c r="E143" s="1691">
        <f>IF(J$141=0,0,H143/J$141)</f>
        <v>0</v>
      </c>
      <c r="G143" s="1691">
        <f t="shared" si="138"/>
        <v>0.6</v>
      </c>
      <c r="H143" s="1691">
        <f t="shared" si="139"/>
        <v>0</v>
      </c>
      <c r="I143" s="1691">
        <f>SUM(G144:G145)</f>
        <v>1</v>
      </c>
      <c r="J143" s="1691">
        <f>SUM(H144:H145)</f>
        <v>0</v>
      </c>
      <c r="K143" s="1691">
        <f>IF(スコア表示!W143=0,0,1)</f>
        <v>1</v>
      </c>
      <c r="L143" s="1691">
        <f>IF(スコア表示!AA143=0,0,1)</f>
        <v>0</v>
      </c>
      <c r="M143" s="1691">
        <f t="shared" si="141"/>
        <v>0.6</v>
      </c>
      <c r="N143" s="1691">
        <f t="shared" si="102"/>
        <v>0</v>
      </c>
      <c r="P143" s="2092">
        <f t="shared" si="103"/>
        <v>1.2</v>
      </c>
      <c r="Q143" s="1647" t="str">
        <f t="shared" si="104"/>
        <v>LR2 1</v>
      </c>
      <c r="R143" s="1737" t="str">
        <f t="shared" si="142"/>
        <v>雨水利用・雑排水再利用</v>
      </c>
      <c r="S143" s="1618">
        <f t="shared" si="110"/>
        <v>0.6</v>
      </c>
      <c r="T143" s="1618">
        <f t="shared" si="111"/>
        <v>0.6</v>
      </c>
      <c r="U143" s="1618">
        <f t="shared" si="112"/>
        <v>0.6</v>
      </c>
      <c r="V143" s="1618">
        <f t="shared" si="113"/>
        <v>0.6</v>
      </c>
      <c r="W143" s="1618">
        <f t="shared" si="114"/>
        <v>0.6</v>
      </c>
      <c r="X143" s="1618">
        <f t="shared" si="115"/>
        <v>0.6</v>
      </c>
      <c r="Y143" s="1618">
        <f t="shared" si="116"/>
        <v>0.6</v>
      </c>
      <c r="Z143" s="1626">
        <f t="shared" si="117"/>
        <v>0.6</v>
      </c>
      <c r="AA143" s="1618">
        <f t="shared" si="118"/>
        <v>0.6</v>
      </c>
      <c r="AB143" s="1618">
        <f t="shared" si="119"/>
        <v>0.6</v>
      </c>
      <c r="AC143" s="1688">
        <f t="shared" si="107"/>
        <v>0</v>
      </c>
      <c r="AD143" s="1633">
        <f t="shared" si="108"/>
        <v>0</v>
      </c>
      <c r="AE143" s="1633">
        <f t="shared" si="109"/>
        <v>0</v>
      </c>
      <c r="AG143" s="2092">
        <v>1.2</v>
      </c>
      <c r="AH143" s="1693" t="s">
        <v>374</v>
      </c>
      <c r="AI143" s="1737" t="s">
        <v>797</v>
      </c>
      <c r="AJ143" s="1623">
        <v>0.6</v>
      </c>
      <c r="AK143" s="1623">
        <v>0.6</v>
      </c>
      <c r="AL143" s="1623">
        <v>0.6</v>
      </c>
      <c r="AM143" s="1623">
        <v>0.6</v>
      </c>
      <c r="AN143" s="1623">
        <v>0.6</v>
      </c>
      <c r="AO143" s="1623">
        <v>0.6</v>
      </c>
      <c r="AP143" s="1623">
        <v>0.6</v>
      </c>
      <c r="AQ143" s="1624">
        <v>0.6</v>
      </c>
      <c r="AR143" s="1623">
        <v>0.6</v>
      </c>
      <c r="AS143" s="1623">
        <v>0.6</v>
      </c>
      <c r="AT143" s="1870"/>
      <c r="AU143" s="1715"/>
      <c r="AV143" s="1715"/>
      <c r="AX143" s="2092">
        <v>1.2</v>
      </c>
      <c r="AY143" s="1693" t="s">
        <v>374</v>
      </c>
      <c r="AZ143" s="1737" t="s">
        <v>797</v>
      </c>
      <c r="BA143" s="1623">
        <v>0.6</v>
      </c>
      <c r="BB143" s="1623">
        <v>0.6</v>
      </c>
      <c r="BC143" s="1623">
        <v>0.6</v>
      </c>
      <c r="BD143" s="1623">
        <v>0.6</v>
      </c>
      <c r="BE143" s="1623">
        <v>0.6</v>
      </c>
      <c r="BF143" s="1623">
        <v>0.6</v>
      </c>
      <c r="BG143" s="1623">
        <v>0.6</v>
      </c>
      <c r="BH143" s="1624">
        <v>0.6</v>
      </c>
      <c r="BI143" s="1623">
        <v>0.6</v>
      </c>
      <c r="BJ143" s="1623">
        <v>0.6</v>
      </c>
      <c r="BK143" s="1870"/>
      <c r="BL143" s="1715"/>
      <c r="BM143" s="1715"/>
      <c r="BO143" s="2092">
        <v>1.2</v>
      </c>
      <c r="BP143" s="1693" t="s">
        <v>374</v>
      </c>
      <c r="BQ143" s="1737" t="s">
        <v>797</v>
      </c>
      <c r="BR143" s="1623">
        <v>0.6</v>
      </c>
      <c r="BS143" s="1623">
        <v>0.6</v>
      </c>
      <c r="BT143" s="1623">
        <v>0.6</v>
      </c>
      <c r="BU143" s="1623">
        <v>0.6</v>
      </c>
      <c r="BV143" s="1623">
        <v>0.6</v>
      </c>
      <c r="BW143" s="1623">
        <v>0.6</v>
      </c>
      <c r="BX143" s="1623">
        <v>0.6</v>
      </c>
      <c r="BY143" s="1624">
        <v>0.6</v>
      </c>
      <c r="BZ143" s="1623">
        <v>0.6</v>
      </c>
      <c r="CA143" s="1623">
        <v>0.6</v>
      </c>
      <c r="CB143" s="1870"/>
      <c r="CC143" s="1715"/>
      <c r="CD143" s="1715"/>
    </row>
    <row r="144" spans="1:83">
      <c r="B144" s="1597" t="str">
        <f t="shared" si="143"/>
        <v>1.2.1</v>
      </c>
      <c r="C144" s="1614" t="str">
        <f t="shared" si="140"/>
        <v>雨水利用システム導入の有無</v>
      </c>
      <c r="D144" s="1721">
        <f>IF(I$143&gt;0,G144/I$143,0)</f>
        <v>0.7</v>
      </c>
      <c r="E144" s="1691">
        <f>IF(J$143&gt;0,H144/J$143,0)</f>
        <v>0</v>
      </c>
      <c r="G144" s="1691">
        <f t="shared" si="138"/>
        <v>0.7</v>
      </c>
      <c r="H144" s="1691">
        <f t="shared" si="139"/>
        <v>0</v>
      </c>
      <c r="I144" s="1691"/>
      <c r="J144" s="1691"/>
      <c r="K144" s="1691">
        <f>IF(スコア表示!W144=0,0,1)</f>
        <v>1</v>
      </c>
      <c r="L144" s="1691">
        <f>IF(スコア表示!AA144=0,0,1)</f>
        <v>0</v>
      </c>
      <c r="M144" s="1691">
        <f t="shared" si="141"/>
        <v>0.7</v>
      </c>
      <c r="N144" s="1691">
        <f t="shared" si="102"/>
        <v>0</v>
      </c>
      <c r="P144" s="1647" t="str">
        <f t="shared" si="103"/>
        <v>1.2.1</v>
      </c>
      <c r="Q144" s="1647" t="str">
        <f t="shared" si="104"/>
        <v>LR2 1.2</v>
      </c>
      <c r="R144" s="1737" t="str">
        <f t="shared" si="142"/>
        <v>雨水利用システム導入の有無</v>
      </c>
      <c r="S144" s="1618">
        <f t="shared" si="110"/>
        <v>0.7</v>
      </c>
      <c r="T144" s="1618">
        <f t="shared" si="111"/>
        <v>0.7</v>
      </c>
      <c r="U144" s="1618">
        <f t="shared" si="112"/>
        <v>0.7</v>
      </c>
      <c r="V144" s="1618">
        <f t="shared" si="113"/>
        <v>0.7</v>
      </c>
      <c r="W144" s="1618">
        <f t="shared" si="114"/>
        <v>0.7</v>
      </c>
      <c r="X144" s="1618">
        <f t="shared" si="115"/>
        <v>0.7</v>
      </c>
      <c r="Y144" s="1618">
        <f t="shared" si="116"/>
        <v>0.7</v>
      </c>
      <c r="Z144" s="1626">
        <f t="shared" si="117"/>
        <v>0.7</v>
      </c>
      <c r="AA144" s="1618">
        <f t="shared" si="118"/>
        <v>0.7</v>
      </c>
      <c r="AB144" s="1618">
        <f t="shared" si="119"/>
        <v>0.7</v>
      </c>
      <c r="AC144" s="1688">
        <f t="shared" si="107"/>
        <v>0</v>
      </c>
      <c r="AD144" s="1633">
        <f t="shared" si="108"/>
        <v>0</v>
      </c>
      <c r="AE144" s="1633">
        <f t="shared" si="109"/>
        <v>0</v>
      </c>
      <c r="AG144" s="1647" t="s">
        <v>1626</v>
      </c>
      <c r="AH144" s="1693" t="s">
        <v>375</v>
      </c>
      <c r="AI144" s="2064" t="s">
        <v>1726</v>
      </c>
      <c r="AJ144" s="1623">
        <v>0.7</v>
      </c>
      <c r="AK144" s="1623">
        <v>0.7</v>
      </c>
      <c r="AL144" s="1623">
        <v>0.7</v>
      </c>
      <c r="AM144" s="1623">
        <v>0.7</v>
      </c>
      <c r="AN144" s="1623">
        <v>0.7</v>
      </c>
      <c r="AO144" s="1623">
        <v>0.7</v>
      </c>
      <c r="AP144" s="1623">
        <v>0.7</v>
      </c>
      <c r="AQ144" s="1624">
        <v>0.7</v>
      </c>
      <c r="AR144" s="1623">
        <v>0.7</v>
      </c>
      <c r="AS144" s="1623">
        <v>0.7</v>
      </c>
      <c r="AT144" s="1870"/>
      <c r="AU144" s="1715"/>
      <c r="AV144" s="1715"/>
      <c r="AX144" s="1647" t="s">
        <v>1522</v>
      </c>
      <c r="AY144" s="1693" t="s">
        <v>375</v>
      </c>
      <c r="AZ144" s="2064" t="s">
        <v>1595</v>
      </c>
      <c r="BA144" s="1623">
        <v>0.7</v>
      </c>
      <c r="BB144" s="1623">
        <v>0.7</v>
      </c>
      <c r="BC144" s="1623">
        <v>0.7</v>
      </c>
      <c r="BD144" s="1623">
        <v>0.7</v>
      </c>
      <c r="BE144" s="1623">
        <v>0.7</v>
      </c>
      <c r="BF144" s="1623">
        <v>0.7</v>
      </c>
      <c r="BG144" s="1623">
        <v>0.7</v>
      </c>
      <c r="BH144" s="1624">
        <v>0.7</v>
      </c>
      <c r="BI144" s="1623">
        <v>0.7</v>
      </c>
      <c r="BJ144" s="1623">
        <v>0.7</v>
      </c>
      <c r="BK144" s="1870"/>
      <c r="BL144" s="1715"/>
      <c r="BM144" s="1715"/>
      <c r="BO144" s="1647" t="s">
        <v>1522</v>
      </c>
      <c r="BP144" s="1693" t="s">
        <v>375</v>
      </c>
      <c r="BQ144" s="2064" t="s">
        <v>1595</v>
      </c>
      <c r="BR144" s="1623">
        <v>0.7</v>
      </c>
      <c r="BS144" s="1623">
        <v>0.7</v>
      </c>
      <c r="BT144" s="1623">
        <v>0.7</v>
      </c>
      <c r="BU144" s="1623">
        <v>0.7</v>
      </c>
      <c r="BV144" s="1623">
        <v>0.7</v>
      </c>
      <c r="BW144" s="1623">
        <v>0.7</v>
      </c>
      <c r="BX144" s="1623">
        <v>0.7</v>
      </c>
      <c r="BY144" s="1624">
        <v>0.7</v>
      </c>
      <c r="BZ144" s="1623">
        <v>0.7</v>
      </c>
      <c r="CA144" s="1623">
        <v>0.7</v>
      </c>
      <c r="CB144" s="1870"/>
      <c r="CC144" s="1715"/>
      <c r="CD144" s="1715"/>
    </row>
    <row r="145" spans="1:83">
      <c r="B145" s="1597" t="str">
        <f t="shared" si="143"/>
        <v>1.2.2</v>
      </c>
      <c r="C145" s="1614" t="str">
        <f t="shared" si="140"/>
        <v>雑排水等再利用システム導入の有無</v>
      </c>
      <c r="D145" s="1721">
        <f>IF(I$143&gt;0,G145/I$143,0)</f>
        <v>0.3</v>
      </c>
      <c r="E145" s="1691">
        <f>IF(J$143&gt;0,H145/J$143,0)</f>
        <v>0</v>
      </c>
      <c r="G145" s="1691">
        <f t="shared" si="138"/>
        <v>0.3</v>
      </c>
      <c r="H145" s="1691">
        <f t="shared" si="139"/>
        <v>0</v>
      </c>
      <c r="I145" s="1691"/>
      <c r="J145" s="1691"/>
      <c r="K145" s="1691">
        <f>IF(スコア表示!W145=0,0,1)</f>
        <v>1</v>
      </c>
      <c r="L145" s="1691">
        <f>IF(スコア表示!AA145=0,0,1)</f>
        <v>0</v>
      </c>
      <c r="M145" s="1691">
        <f t="shared" si="141"/>
        <v>0.3</v>
      </c>
      <c r="N145" s="1691">
        <f t="shared" si="102"/>
        <v>0</v>
      </c>
      <c r="P145" s="1647" t="str">
        <f t="shared" si="103"/>
        <v>1.2.2</v>
      </c>
      <c r="Q145" s="1647" t="str">
        <f t="shared" si="104"/>
        <v>LR2 1.2</v>
      </c>
      <c r="R145" s="1737" t="str">
        <f t="shared" si="142"/>
        <v>雑排水等再利用システム導入の有無</v>
      </c>
      <c r="S145" s="1618">
        <f t="shared" si="110"/>
        <v>0.3</v>
      </c>
      <c r="T145" s="1618">
        <f t="shared" si="111"/>
        <v>0.3</v>
      </c>
      <c r="U145" s="1618">
        <f t="shared" si="112"/>
        <v>0.3</v>
      </c>
      <c r="V145" s="1618">
        <f t="shared" si="113"/>
        <v>0.3</v>
      </c>
      <c r="W145" s="1618">
        <f t="shared" si="114"/>
        <v>0.3</v>
      </c>
      <c r="X145" s="1618">
        <f t="shared" si="115"/>
        <v>0.3</v>
      </c>
      <c r="Y145" s="1618">
        <f t="shared" si="116"/>
        <v>0.3</v>
      </c>
      <c r="Z145" s="1626">
        <f t="shared" si="117"/>
        <v>0.3</v>
      </c>
      <c r="AA145" s="1618">
        <f t="shared" si="118"/>
        <v>0.3</v>
      </c>
      <c r="AB145" s="1618">
        <f t="shared" si="119"/>
        <v>0.3</v>
      </c>
      <c r="AC145" s="1688">
        <f t="shared" si="107"/>
        <v>0</v>
      </c>
      <c r="AD145" s="1633">
        <f t="shared" si="108"/>
        <v>0</v>
      </c>
      <c r="AE145" s="1633">
        <f t="shared" si="109"/>
        <v>0</v>
      </c>
      <c r="AG145" s="1647" t="s">
        <v>1628</v>
      </c>
      <c r="AH145" s="1693" t="s">
        <v>375</v>
      </c>
      <c r="AI145" s="2064" t="s">
        <v>946</v>
      </c>
      <c r="AJ145" s="1623">
        <v>0.3</v>
      </c>
      <c r="AK145" s="1623">
        <v>0.3</v>
      </c>
      <c r="AL145" s="1623">
        <v>0.3</v>
      </c>
      <c r="AM145" s="1623">
        <v>0.3</v>
      </c>
      <c r="AN145" s="1623">
        <v>0.3</v>
      </c>
      <c r="AO145" s="1623">
        <v>0.3</v>
      </c>
      <c r="AP145" s="1623">
        <v>0.3</v>
      </c>
      <c r="AQ145" s="1624">
        <v>0.3</v>
      </c>
      <c r="AR145" s="1623">
        <v>0.3</v>
      </c>
      <c r="AS145" s="1623">
        <v>0.3</v>
      </c>
      <c r="AT145" s="1870"/>
      <c r="AU145" s="1715"/>
      <c r="AV145" s="1715"/>
      <c r="AX145" s="1647" t="s">
        <v>1523</v>
      </c>
      <c r="AY145" s="1693" t="s">
        <v>375</v>
      </c>
      <c r="AZ145" s="2064" t="s">
        <v>946</v>
      </c>
      <c r="BA145" s="1623">
        <v>0.3</v>
      </c>
      <c r="BB145" s="1623">
        <v>0.3</v>
      </c>
      <c r="BC145" s="1623">
        <v>0.3</v>
      </c>
      <c r="BD145" s="1623">
        <v>0.3</v>
      </c>
      <c r="BE145" s="1623">
        <v>0.3</v>
      </c>
      <c r="BF145" s="1623">
        <v>0.3</v>
      </c>
      <c r="BG145" s="1623">
        <v>0.3</v>
      </c>
      <c r="BH145" s="1624">
        <v>0.3</v>
      </c>
      <c r="BI145" s="1623">
        <v>0.3</v>
      </c>
      <c r="BJ145" s="1623">
        <v>0.3</v>
      </c>
      <c r="BK145" s="1870"/>
      <c r="BL145" s="1715"/>
      <c r="BM145" s="1715"/>
      <c r="BO145" s="1647" t="s">
        <v>1523</v>
      </c>
      <c r="BP145" s="1693" t="s">
        <v>375</v>
      </c>
      <c r="BQ145" s="2064" t="s">
        <v>946</v>
      </c>
      <c r="BR145" s="1623">
        <v>0.3</v>
      </c>
      <c r="BS145" s="1623">
        <v>0.3</v>
      </c>
      <c r="BT145" s="1623">
        <v>0.3</v>
      </c>
      <c r="BU145" s="1623">
        <v>0.3</v>
      </c>
      <c r="BV145" s="1623">
        <v>0.3</v>
      </c>
      <c r="BW145" s="1623">
        <v>0.3</v>
      </c>
      <c r="BX145" s="1623">
        <v>0.3</v>
      </c>
      <c r="BY145" s="1624">
        <v>0.3</v>
      </c>
      <c r="BZ145" s="1623">
        <v>0.3</v>
      </c>
      <c r="CA145" s="1623">
        <v>0.3</v>
      </c>
      <c r="CB145" s="1870"/>
      <c r="CC145" s="1715"/>
      <c r="CD145" s="1715"/>
    </row>
    <row r="146" spans="1:83" s="1605" customFormat="1">
      <c r="A146"/>
      <c r="B146" s="1597">
        <f t="shared" si="143"/>
        <v>2</v>
      </c>
      <c r="C146" s="1689" t="str">
        <f t="shared" si="140"/>
        <v>非再生性資源の使用量削減</v>
      </c>
      <c r="D146" s="2062">
        <f>IF(I$140=0,0,G146/I$140)</f>
        <v>0.6</v>
      </c>
      <c r="E146" s="1743">
        <f>IF(J$140=0,0,H146/J$140)</f>
        <v>0</v>
      </c>
      <c r="F146"/>
      <c r="G146" s="1743">
        <f t="shared" si="138"/>
        <v>0.6</v>
      </c>
      <c r="H146" s="1743">
        <f t="shared" si="139"/>
        <v>0</v>
      </c>
      <c r="I146" s="1743">
        <f>G147+G148+G149+G150+G151+G152</f>
        <v>1</v>
      </c>
      <c r="J146" s="1743">
        <f>H147+H148+H149+H150+H151+H152</f>
        <v>0</v>
      </c>
      <c r="K146" s="1743">
        <f>IF(スコア表示!W146=0,0,1)</f>
        <v>1</v>
      </c>
      <c r="L146" s="1743">
        <f>IF(スコア表示!AA146=0,0,1)</f>
        <v>0</v>
      </c>
      <c r="M146" s="1743">
        <f t="shared" si="141"/>
        <v>0.6</v>
      </c>
      <c r="N146" s="1743">
        <f t="shared" si="102"/>
        <v>0</v>
      </c>
      <c r="O146"/>
      <c r="P146" s="1641">
        <f t="shared" si="103"/>
        <v>2</v>
      </c>
      <c r="Q146" s="1641" t="str">
        <f t="shared" si="104"/>
        <v>LR2</v>
      </c>
      <c r="R146" s="1780" t="str">
        <f t="shared" si="142"/>
        <v>非再生性資源の使用量削減</v>
      </c>
      <c r="S146" s="1610">
        <f t="shared" si="110"/>
        <v>0.6</v>
      </c>
      <c r="T146" s="1610">
        <f t="shared" si="111"/>
        <v>0.6</v>
      </c>
      <c r="U146" s="1610">
        <f t="shared" si="112"/>
        <v>0.6</v>
      </c>
      <c r="V146" s="1610">
        <f t="shared" si="113"/>
        <v>0.6</v>
      </c>
      <c r="W146" s="1610">
        <f t="shared" si="114"/>
        <v>0.6</v>
      </c>
      <c r="X146" s="1610">
        <f t="shared" si="115"/>
        <v>0.6</v>
      </c>
      <c r="Y146" s="1610">
        <f t="shared" si="116"/>
        <v>0.6</v>
      </c>
      <c r="Z146" s="1646">
        <f t="shared" si="117"/>
        <v>0.6</v>
      </c>
      <c r="AA146" s="1610">
        <f t="shared" si="118"/>
        <v>0.6</v>
      </c>
      <c r="AB146" s="1610">
        <f t="shared" si="119"/>
        <v>0.6</v>
      </c>
      <c r="AC146" s="1686">
        <f t="shared" si="107"/>
        <v>0</v>
      </c>
      <c r="AD146" s="1687">
        <f t="shared" si="108"/>
        <v>0</v>
      </c>
      <c r="AE146" s="1687">
        <f t="shared" si="109"/>
        <v>0</v>
      </c>
      <c r="AF146"/>
      <c r="AG146" s="1641">
        <v>2</v>
      </c>
      <c r="AH146" s="1744" t="s">
        <v>373</v>
      </c>
      <c r="AI146" s="1787" t="s">
        <v>801</v>
      </c>
      <c r="AJ146" s="1711">
        <v>0.6</v>
      </c>
      <c r="AK146" s="1711">
        <v>0.6</v>
      </c>
      <c r="AL146" s="1711">
        <v>0.6</v>
      </c>
      <c r="AM146" s="1711">
        <v>0.6</v>
      </c>
      <c r="AN146" s="1711">
        <v>0.6</v>
      </c>
      <c r="AO146" s="1711">
        <v>0.6</v>
      </c>
      <c r="AP146" s="1711">
        <v>0.6</v>
      </c>
      <c r="AQ146" s="1711">
        <v>0.6</v>
      </c>
      <c r="AR146" s="1711">
        <v>0.6</v>
      </c>
      <c r="AS146" s="1711">
        <v>0.6</v>
      </c>
      <c r="AT146" s="2098"/>
      <c r="AU146" s="2099"/>
      <c r="AV146" s="2099"/>
      <c r="AW146"/>
      <c r="AX146" s="1641">
        <v>2</v>
      </c>
      <c r="AY146" s="1744" t="s">
        <v>373</v>
      </c>
      <c r="AZ146" s="1787" t="s">
        <v>801</v>
      </c>
      <c r="BA146" s="1711">
        <v>0.6</v>
      </c>
      <c r="BB146" s="1711">
        <v>0.6</v>
      </c>
      <c r="BC146" s="1711">
        <v>0.6</v>
      </c>
      <c r="BD146" s="1711">
        <v>0.6</v>
      </c>
      <c r="BE146" s="1711">
        <v>0.6</v>
      </c>
      <c r="BF146" s="1711">
        <v>0.6</v>
      </c>
      <c r="BG146" s="1711">
        <v>0.6</v>
      </c>
      <c r="BH146" s="1711">
        <v>0.6</v>
      </c>
      <c r="BI146" s="1711">
        <v>0.6</v>
      </c>
      <c r="BJ146" s="1711">
        <v>0.6</v>
      </c>
      <c r="BK146" s="2098"/>
      <c r="BL146" s="2099"/>
      <c r="BM146" s="2099"/>
      <c r="BN146"/>
      <c r="BO146" s="1641">
        <v>2</v>
      </c>
      <c r="BP146" s="1744" t="s">
        <v>373</v>
      </c>
      <c r="BQ146" s="1787" t="s">
        <v>801</v>
      </c>
      <c r="BR146" s="1711">
        <v>0.6</v>
      </c>
      <c r="BS146" s="1711">
        <v>0.6</v>
      </c>
      <c r="BT146" s="1711">
        <v>0.6</v>
      </c>
      <c r="BU146" s="1711">
        <v>0.6</v>
      </c>
      <c r="BV146" s="1711">
        <v>0.6</v>
      </c>
      <c r="BW146" s="1711">
        <v>0.6</v>
      </c>
      <c r="BX146" s="1711">
        <v>0.6</v>
      </c>
      <c r="BY146" s="1711">
        <v>0.6</v>
      </c>
      <c r="BZ146" s="1711">
        <v>0.6</v>
      </c>
      <c r="CA146" s="1711">
        <v>0.6</v>
      </c>
      <c r="CB146" s="2098"/>
      <c r="CC146" s="2099"/>
      <c r="CD146" s="2099"/>
      <c r="CE146"/>
    </row>
    <row r="147" spans="1:83" s="1605" customFormat="1">
      <c r="A147"/>
      <c r="B147" s="1597" t="str">
        <f t="shared" si="143"/>
        <v>2.1</v>
      </c>
      <c r="C147" s="1647" t="str">
        <f t="shared" si="140"/>
        <v>材料使用量の削減</v>
      </c>
      <c r="D147" s="1716">
        <f t="shared" ref="D147:E152" si="144">IF(I$146=0,0,G147/I$146)</f>
        <v>0.1</v>
      </c>
      <c r="E147" s="1691">
        <f t="shared" si="144"/>
        <v>0</v>
      </c>
      <c r="F147"/>
      <c r="G147" s="1691">
        <f t="shared" si="138"/>
        <v>0.1</v>
      </c>
      <c r="H147" s="1691">
        <f t="shared" si="139"/>
        <v>0</v>
      </c>
      <c r="I147" s="1691"/>
      <c r="J147" s="1691"/>
      <c r="K147" s="1691">
        <f>IF(スコア表示!W147=0,0,1)</f>
        <v>1</v>
      </c>
      <c r="L147" s="1691">
        <f>IF(スコア表示!AA147=0,0,1)</f>
        <v>0</v>
      </c>
      <c r="M147" s="1691">
        <f t="shared" si="141"/>
        <v>0.1</v>
      </c>
      <c r="N147" s="1691">
        <f t="shared" si="102"/>
        <v>0</v>
      </c>
      <c r="O147"/>
      <c r="P147" s="1647" t="str">
        <f t="shared" si="103"/>
        <v>2.1</v>
      </c>
      <c r="Q147" s="1647" t="str">
        <f t="shared" si="104"/>
        <v>LR2 2</v>
      </c>
      <c r="R147" s="1737" t="str">
        <f t="shared" si="142"/>
        <v>材料使用量の削減</v>
      </c>
      <c r="S147" s="1618">
        <f t="shared" si="110"/>
        <v>0.1</v>
      </c>
      <c r="T147" s="1618">
        <f t="shared" si="111"/>
        <v>0.1</v>
      </c>
      <c r="U147" s="1618">
        <f t="shared" si="112"/>
        <v>0.1</v>
      </c>
      <c r="V147" s="1618">
        <f t="shared" si="113"/>
        <v>0.1</v>
      </c>
      <c r="W147" s="1618">
        <f t="shared" si="114"/>
        <v>0.1</v>
      </c>
      <c r="X147" s="1618">
        <f t="shared" si="115"/>
        <v>0.1</v>
      </c>
      <c r="Y147" s="1618">
        <f t="shared" si="116"/>
        <v>0.1</v>
      </c>
      <c r="Z147" s="1626">
        <f t="shared" si="117"/>
        <v>0.1</v>
      </c>
      <c r="AA147" s="1618">
        <f t="shared" si="118"/>
        <v>0.1</v>
      </c>
      <c r="AB147" s="1618">
        <f t="shared" si="119"/>
        <v>0.1</v>
      </c>
      <c r="AC147" s="1688">
        <f t="shared" si="107"/>
        <v>0</v>
      </c>
      <c r="AD147" s="1633">
        <f t="shared" si="108"/>
        <v>0</v>
      </c>
      <c r="AE147" s="1633">
        <f t="shared" si="109"/>
        <v>0</v>
      </c>
      <c r="AF147"/>
      <c r="AG147" s="1647" t="s">
        <v>1571</v>
      </c>
      <c r="AH147" s="1744" t="s">
        <v>376</v>
      </c>
      <c r="AI147" s="2064" t="s">
        <v>802</v>
      </c>
      <c r="AJ147" s="2087">
        <v>0.1</v>
      </c>
      <c r="AK147" s="2087">
        <v>0.1</v>
      </c>
      <c r="AL147" s="2087">
        <v>0.1</v>
      </c>
      <c r="AM147" s="2087">
        <v>0.1</v>
      </c>
      <c r="AN147" s="2087">
        <v>0.1</v>
      </c>
      <c r="AO147" s="2087">
        <v>0.1</v>
      </c>
      <c r="AP147" s="2087">
        <v>0.1</v>
      </c>
      <c r="AQ147" s="2087">
        <v>0.1</v>
      </c>
      <c r="AR147" s="2087">
        <v>0.1</v>
      </c>
      <c r="AS147" s="2087">
        <v>0.1</v>
      </c>
      <c r="AT147" s="2100"/>
      <c r="AU147" s="2099"/>
      <c r="AV147" s="2099"/>
      <c r="AW147"/>
      <c r="AX147" s="1647" t="s">
        <v>1572</v>
      </c>
      <c r="AY147" s="1744" t="s">
        <v>376</v>
      </c>
      <c r="AZ147" s="2064" t="s">
        <v>802</v>
      </c>
      <c r="BA147" s="2087">
        <v>0.1</v>
      </c>
      <c r="BB147" s="2087">
        <v>0.1</v>
      </c>
      <c r="BC147" s="2087">
        <v>0.1</v>
      </c>
      <c r="BD147" s="2087">
        <v>0.1</v>
      </c>
      <c r="BE147" s="2087">
        <v>0.1</v>
      </c>
      <c r="BF147" s="2087">
        <v>0.1</v>
      </c>
      <c r="BG147" s="2087">
        <v>0.1</v>
      </c>
      <c r="BH147" s="2087">
        <v>0.1</v>
      </c>
      <c r="BI147" s="2087">
        <v>0.1</v>
      </c>
      <c r="BJ147" s="2087">
        <v>0.1</v>
      </c>
      <c r="BK147" s="2098"/>
      <c r="BL147" s="2099"/>
      <c r="BM147" s="2099"/>
      <c r="BN147"/>
      <c r="BO147" s="1647" t="s">
        <v>1572</v>
      </c>
      <c r="BP147" s="1744" t="s">
        <v>376</v>
      </c>
      <c r="BQ147" s="2064" t="s">
        <v>802</v>
      </c>
      <c r="BR147" s="2087">
        <v>0.1</v>
      </c>
      <c r="BS147" s="2087">
        <v>0.1</v>
      </c>
      <c r="BT147" s="2087">
        <v>0.1</v>
      </c>
      <c r="BU147" s="2087">
        <v>0.1</v>
      </c>
      <c r="BV147" s="2087">
        <v>0.1</v>
      </c>
      <c r="BW147" s="2087">
        <v>0.1</v>
      </c>
      <c r="BX147" s="2087">
        <v>0.1</v>
      </c>
      <c r="BY147" s="2087">
        <v>0.1</v>
      </c>
      <c r="BZ147" s="2087">
        <v>0.1</v>
      </c>
      <c r="CA147" s="2087">
        <v>0.1</v>
      </c>
      <c r="CB147" s="2098"/>
      <c r="CC147" s="2099"/>
      <c r="CD147" s="2099"/>
      <c r="CE147"/>
    </row>
    <row r="148" spans="1:83">
      <c r="B148" s="1597" t="str">
        <f t="shared" si="143"/>
        <v>2.2</v>
      </c>
      <c r="C148" s="1647" t="str">
        <f t="shared" si="140"/>
        <v>既存建築躯体等の継続使用</v>
      </c>
      <c r="D148" s="1716">
        <f t="shared" si="144"/>
        <v>0.2</v>
      </c>
      <c r="E148" s="1691">
        <f t="shared" si="144"/>
        <v>0</v>
      </c>
      <c r="G148" s="1691">
        <f t="shared" si="138"/>
        <v>0.2</v>
      </c>
      <c r="H148" s="1691">
        <f t="shared" si="139"/>
        <v>0</v>
      </c>
      <c r="I148" s="1691"/>
      <c r="J148" s="1691"/>
      <c r="K148" s="1691">
        <f>IF(スコア表示!W148=0,0,1)</f>
        <v>1</v>
      </c>
      <c r="L148" s="1691">
        <f>IF(スコア表示!AA148=0,0,1)</f>
        <v>0</v>
      </c>
      <c r="M148" s="1691">
        <f t="shared" si="141"/>
        <v>0.2</v>
      </c>
      <c r="N148" s="1691">
        <f t="shared" si="102"/>
        <v>0</v>
      </c>
      <c r="P148" s="1647" t="str">
        <f t="shared" si="103"/>
        <v>2.2</v>
      </c>
      <c r="Q148" s="1647" t="str">
        <f t="shared" si="104"/>
        <v>LR2 2</v>
      </c>
      <c r="R148" s="1737" t="str">
        <f t="shared" si="142"/>
        <v>既存建築躯体等の継続使用</v>
      </c>
      <c r="S148" s="1618">
        <f t="shared" si="110"/>
        <v>0.2</v>
      </c>
      <c r="T148" s="1618">
        <f t="shared" si="111"/>
        <v>0.2</v>
      </c>
      <c r="U148" s="1618">
        <f t="shared" si="112"/>
        <v>0.2</v>
      </c>
      <c r="V148" s="1618">
        <f t="shared" si="113"/>
        <v>0.2</v>
      </c>
      <c r="W148" s="1618">
        <f t="shared" si="114"/>
        <v>0.2</v>
      </c>
      <c r="X148" s="1618">
        <f t="shared" si="115"/>
        <v>0.2</v>
      </c>
      <c r="Y148" s="1618">
        <f t="shared" si="116"/>
        <v>0.2</v>
      </c>
      <c r="Z148" s="1626">
        <f t="shared" si="117"/>
        <v>0.2</v>
      </c>
      <c r="AA148" s="1618">
        <f t="shared" si="118"/>
        <v>0.2</v>
      </c>
      <c r="AB148" s="1618">
        <f t="shared" si="119"/>
        <v>0.2</v>
      </c>
      <c r="AC148" s="1688">
        <f t="shared" si="107"/>
        <v>0</v>
      </c>
      <c r="AD148" s="1633">
        <f t="shared" si="108"/>
        <v>0</v>
      </c>
      <c r="AE148" s="1633">
        <f t="shared" si="109"/>
        <v>0</v>
      </c>
      <c r="AG148" s="1647" t="s">
        <v>1573</v>
      </c>
      <c r="AH148" s="1693" t="s">
        <v>376</v>
      </c>
      <c r="AI148" s="1737" t="s">
        <v>803</v>
      </c>
      <c r="AJ148" s="1623">
        <v>0.2</v>
      </c>
      <c r="AK148" s="1623">
        <v>0.2</v>
      </c>
      <c r="AL148" s="1623">
        <v>0.2</v>
      </c>
      <c r="AM148" s="1623">
        <v>0.2</v>
      </c>
      <c r="AN148" s="1623">
        <v>0.2</v>
      </c>
      <c r="AO148" s="1623">
        <v>0.2</v>
      </c>
      <c r="AP148" s="1623">
        <v>0.2</v>
      </c>
      <c r="AQ148" s="1623">
        <v>0.2</v>
      </c>
      <c r="AR148" s="1623">
        <v>0.2</v>
      </c>
      <c r="AS148" s="1623">
        <v>0.2</v>
      </c>
      <c r="AT148" s="1870"/>
      <c r="AU148" s="1715"/>
      <c r="AV148" s="1715"/>
      <c r="AX148" s="1647" t="s">
        <v>1574</v>
      </c>
      <c r="AY148" s="1693" t="s">
        <v>376</v>
      </c>
      <c r="AZ148" s="1737" t="s">
        <v>803</v>
      </c>
      <c r="BA148" s="1623">
        <v>0.2</v>
      </c>
      <c r="BB148" s="1623">
        <v>0.2</v>
      </c>
      <c r="BC148" s="1623">
        <v>0.2</v>
      </c>
      <c r="BD148" s="1623">
        <v>0.2</v>
      </c>
      <c r="BE148" s="1623">
        <v>0.2</v>
      </c>
      <c r="BF148" s="1623">
        <v>0.2</v>
      </c>
      <c r="BG148" s="1623">
        <v>0.2</v>
      </c>
      <c r="BH148" s="1623">
        <v>0.2</v>
      </c>
      <c r="BI148" s="1623">
        <v>0.2</v>
      </c>
      <c r="BJ148" s="1623">
        <v>0.2</v>
      </c>
      <c r="BK148" s="1870"/>
      <c r="BL148" s="1715"/>
      <c r="BM148" s="1715"/>
      <c r="BO148" s="1647" t="s">
        <v>1574</v>
      </c>
      <c r="BP148" s="1693" t="s">
        <v>376</v>
      </c>
      <c r="BQ148" s="1737" t="s">
        <v>803</v>
      </c>
      <c r="BR148" s="1623">
        <v>0.2</v>
      </c>
      <c r="BS148" s="1623">
        <v>0.2</v>
      </c>
      <c r="BT148" s="1623">
        <v>0.2</v>
      </c>
      <c r="BU148" s="1623">
        <v>0.2</v>
      </c>
      <c r="BV148" s="1623">
        <v>0.2</v>
      </c>
      <c r="BW148" s="1623">
        <v>0.2</v>
      </c>
      <c r="BX148" s="1623">
        <v>0.2</v>
      </c>
      <c r="BY148" s="1623">
        <v>0.2</v>
      </c>
      <c r="BZ148" s="1623">
        <v>0.2</v>
      </c>
      <c r="CA148" s="1623">
        <v>0.2</v>
      </c>
      <c r="CB148" s="1870"/>
      <c r="CC148" s="1715"/>
      <c r="CD148" s="1715"/>
    </row>
    <row r="149" spans="1:83">
      <c r="B149" s="1597" t="str">
        <f t="shared" si="143"/>
        <v>2.3</v>
      </c>
      <c r="C149" s="1647" t="str">
        <f t="shared" si="140"/>
        <v>躯体材料におけるリサイクル材の使用</v>
      </c>
      <c r="D149" s="1716">
        <f t="shared" si="144"/>
        <v>0.2</v>
      </c>
      <c r="E149" s="1691">
        <f t="shared" si="144"/>
        <v>0</v>
      </c>
      <c r="G149" s="1691">
        <f t="shared" si="138"/>
        <v>0.2</v>
      </c>
      <c r="H149" s="1691">
        <f t="shared" si="139"/>
        <v>0</v>
      </c>
      <c r="I149" s="1691"/>
      <c r="J149" s="1691"/>
      <c r="K149" s="1691">
        <f>IF(スコア表示!W149=0,0,1)</f>
        <v>1</v>
      </c>
      <c r="L149" s="1691">
        <f>IF(スコア表示!AA149=0,0,1)</f>
        <v>0</v>
      </c>
      <c r="M149" s="1691">
        <f t="shared" si="141"/>
        <v>0.2</v>
      </c>
      <c r="N149" s="1691">
        <f t="shared" si="102"/>
        <v>0</v>
      </c>
      <c r="P149" s="1647" t="str">
        <f t="shared" si="103"/>
        <v>2.3</v>
      </c>
      <c r="Q149" s="1647" t="str">
        <f t="shared" si="104"/>
        <v>LR2 2</v>
      </c>
      <c r="R149" s="1737" t="str">
        <f t="shared" si="142"/>
        <v>躯体材料におけるリサイクル材の使用</v>
      </c>
      <c r="S149" s="1618">
        <f t="shared" si="110"/>
        <v>0.2</v>
      </c>
      <c r="T149" s="1618">
        <f t="shared" si="111"/>
        <v>0.2</v>
      </c>
      <c r="U149" s="1618">
        <f t="shared" si="112"/>
        <v>0.2</v>
      </c>
      <c r="V149" s="1618">
        <f t="shared" si="113"/>
        <v>0.2</v>
      </c>
      <c r="W149" s="1618">
        <f t="shared" si="114"/>
        <v>0.2</v>
      </c>
      <c r="X149" s="1618">
        <f t="shared" si="115"/>
        <v>0.2</v>
      </c>
      <c r="Y149" s="1618">
        <f t="shared" si="116"/>
        <v>0.2</v>
      </c>
      <c r="Z149" s="1626">
        <f t="shared" si="117"/>
        <v>0.2</v>
      </c>
      <c r="AA149" s="1618">
        <f t="shared" si="118"/>
        <v>0.2</v>
      </c>
      <c r="AB149" s="1618">
        <f t="shared" si="119"/>
        <v>0.2</v>
      </c>
      <c r="AC149" s="1688">
        <f t="shared" si="107"/>
        <v>0</v>
      </c>
      <c r="AD149" s="1633">
        <f t="shared" si="108"/>
        <v>0</v>
      </c>
      <c r="AE149" s="1633">
        <f t="shared" si="109"/>
        <v>0</v>
      </c>
      <c r="AG149" s="1647" t="s">
        <v>1612</v>
      </c>
      <c r="AH149" s="1693" t="s">
        <v>376</v>
      </c>
      <c r="AI149" s="1737" t="s">
        <v>805</v>
      </c>
      <c r="AJ149" s="1623">
        <v>0.2</v>
      </c>
      <c r="AK149" s="1623">
        <v>0.2</v>
      </c>
      <c r="AL149" s="1623">
        <v>0.2</v>
      </c>
      <c r="AM149" s="1623">
        <v>0.2</v>
      </c>
      <c r="AN149" s="1623">
        <v>0.2</v>
      </c>
      <c r="AO149" s="1623">
        <v>0.2</v>
      </c>
      <c r="AP149" s="1623">
        <v>0.2</v>
      </c>
      <c r="AQ149" s="1623">
        <v>0.2</v>
      </c>
      <c r="AR149" s="1623">
        <v>0.2</v>
      </c>
      <c r="AS149" s="1623">
        <v>0.2</v>
      </c>
      <c r="AT149" s="1870"/>
      <c r="AU149" s="1715"/>
      <c r="AV149" s="1715"/>
      <c r="AX149" s="1647" t="s">
        <v>1596</v>
      </c>
      <c r="AY149" s="1693" t="s">
        <v>376</v>
      </c>
      <c r="AZ149" s="1737" t="s">
        <v>805</v>
      </c>
      <c r="BA149" s="1623">
        <v>0.2</v>
      </c>
      <c r="BB149" s="1623">
        <v>0.2</v>
      </c>
      <c r="BC149" s="1623">
        <v>0.2</v>
      </c>
      <c r="BD149" s="1623">
        <v>0.2</v>
      </c>
      <c r="BE149" s="1623">
        <v>0.2</v>
      </c>
      <c r="BF149" s="1623">
        <v>0.2</v>
      </c>
      <c r="BG149" s="1623">
        <v>0.2</v>
      </c>
      <c r="BH149" s="1623">
        <v>0.2</v>
      </c>
      <c r="BI149" s="1623">
        <v>0.2</v>
      </c>
      <c r="BJ149" s="1623">
        <v>0.2</v>
      </c>
      <c r="BK149" s="1870"/>
      <c r="BL149" s="1715"/>
      <c r="BM149" s="1715"/>
      <c r="BO149" s="1647" t="s">
        <v>1596</v>
      </c>
      <c r="BP149" s="1693" t="s">
        <v>376</v>
      </c>
      <c r="BQ149" s="1737" t="s">
        <v>805</v>
      </c>
      <c r="BR149" s="1623">
        <v>0.2</v>
      </c>
      <c r="BS149" s="1623">
        <v>0.2</v>
      </c>
      <c r="BT149" s="1623">
        <v>0.2</v>
      </c>
      <c r="BU149" s="1623">
        <v>0.2</v>
      </c>
      <c r="BV149" s="1623">
        <v>0.2</v>
      </c>
      <c r="BW149" s="1623">
        <v>0.2</v>
      </c>
      <c r="BX149" s="1623">
        <v>0.2</v>
      </c>
      <c r="BY149" s="1623">
        <v>0.2</v>
      </c>
      <c r="BZ149" s="1623">
        <v>0.2</v>
      </c>
      <c r="CA149" s="1623">
        <v>0.2</v>
      </c>
      <c r="CB149" s="1870"/>
      <c r="CC149" s="1715"/>
      <c r="CD149" s="1715"/>
    </row>
    <row r="150" spans="1:83">
      <c r="B150" s="1597" t="str">
        <f t="shared" si="143"/>
        <v>2.4</v>
      </c>
      <c r="C150" s="1614" t="str">
        <f t="shared" si="140"/>
        <v>躯体材料以外におけるリサイクル材の使用</v>
      </c>
      <c r="D150" s="1716">
        <f t="shared" si="144"/>
        <v>0.2</v>
      </c>
      <c r="E150" s="1691">
        <f t="shared" si="144"/>
        <v>0</v>
      </c>
      <c r="G150" s="1691">
        <f t="shared" si="138"/>
        <v>0.2</v>
      </c>
      <c r="H150" s="1691">
        <f t="shared" si="139"/>
        <v>0</v>
      </c>
      <c r="I150" s="1691"/>
      <c r="J150" s="1691"/>
      <c r="K150" s="1691">
        <f>IF(スコア表示!W150=0,0,1)</f>
        <v>1</v>
      </c>
      <c r="L150" s="1691">
        <f>IF(スコア表示!AA150=0,0,1)</f>
        <v>0</v>
      </c>
      <c r="M150" s="1691">
        <f t="shared" si="141"/>
        <v>0.2</v>
      </c>
      <c r="N150" s="1691">
        <f t="shared" si="102"/>
        <v>0</v>
      </c>
      <c r="P150" s="1647" t="str">
        <f t="shared" si="103"/>
        <v>2.4</v>
      </c>
      <c r="Q150" s="1647" t="str">
        <f t="shared" si="104"/>
        <v>LR2 2</v>
      </c>
      <c r="R150" s="1737" t="str">
        <f t="shared" si="142"/>
        <v>躯体材料以外におけるリサイクル材の使用</v>
      </c>
      <c r="S150" s="1618">
        <f t="shared" si="110"/>
        <v>0.2</v>
      </c>
      <c r="T150" s="1618">
        <f t="shared" si="111"/>
        <v>0.2</v>
      </c>
      <c r="U150" s="1618">
        <f t="shared" si="112"/>
        <v>0.2</v>
      </c>
      <c r="V150" s="1618">
        <f t="shared" si="113"/>
        <v>0.2</v>
      </c>
      <c r="W150" s="1618">
        <f t="shared" si="114"/>
        <v>0.2</v>
      </c>
      <c r="X150" s="1618">
        <f t="shared" si="115"/>
        <v>0.2</v>
      </c>
      <c r="Y150" s="1618">
        <f t="shared" si="116"/>
        <v>0.2</v>
      </c>
      <c r="Z150" s="1626">
        <f t="shared" si="117"/>
        <v>0.2</v>
      </c>
      <c r="AA150" s="1618">
        <f t="shared" si="118"/>
        <v>0.2</v>
      </c>
      <c r="AB150" s="1618">
        <f t="shared" si="119"/>
        <v>0.2</v>
      </c>
      <c r="AC150" s="1688">
        <f t="shared" si="107"/>
        <v>0</v>
      </c>
      <c r="AD150" s="1633">
        <f t="shared" si="108"/>
        <v>0</v>
      </c>
      <c r="AE150" s="1633">
        <f t="shared" si="109"/>
        <v>0</v>
      </c>
      <c r="AG150" s="1647" t="s">
        <v>1727</v>
      </c>
      <c r="AH150" s="1693" t="s">
        <v>376</v>
      </c>
      <c r="AI150" s="1737" t="s">
        <v>1598</v>
      </c>
      <c r="AJ150" s="1623">
        <v>0.2</v>
      </c>
      <c r="AK150" s="1623">
        <v>0.2</v>
      </c>
      <c r="AL150" s="1623">
        <v>0.2</v>
      </c>
      <c r="AM150" s="1623">
        <v>0.2</v>
      </c>
      <c r="AN150" s="1623">
        <v>0.2</v>
      </c>
      <c r="AO150" s="1623">
        <v>0.2</v>
      </c>
      <c r="AP150" s="1623">
        <v>0.2</v>
      </c>
      <c r="AQ150" s="1623">
        <v>0.2</v>
      </c>
      <c r="AR150" s="1623">
        <v>0.2</v>
      </c>
      <c r="AS150" s="1623">
        <v>0.2</v>
      </c>
      <c r="AT150" s="1870"/>
      <c r="AU150" s="1715"/>
      <c r="AV150" s="1715"/>
      <c r="AX150" s="1647" t="s">
        <v>1597</v>
      </c>
      <c r="AY150" s="1693" t="s">
        <v>376</v>
      </c>
      <c r="AZ150" s="1737" t="s">
        <v>1598</v>
      </c>
      <c r="BA150" s="1623">
        <v>0.2</v>
      </c>
      <c r="BB150" s="1623">
        <v>0.2</v>
      </c>
      <c r="BC150" s="1623">
        <v>0.2</v>
      </c>
      <c r="BD150" s="1623">
        <v>0.2</v>
      </c>
      <c r="BE150" s="1623">
        <v>0.2</v>
      </c>
      <c r="BF150" s="1623">
        <v>0.2</v>
      </c>
      <c r="BG150" s="1623">
        <v>0.2</v>
      </c>
      <c r="BH150" s="1623">
        <v>0.2</v>
      </c>
      <c r="BI150" s="1623">
        <v>0.2</v>
      </c>
      <c r="BJ150" s="1623">
        <v>0.2</v>
      </c>
      <c r="BK150" s="1870"/>
      <c r="BL150" s="1715"/>
      <c r="BM150" s="1715"/>
      <c r="BO150" s="1647" t="s">
        <v>1597</v>
      </c>
      <c r="BP150" s="1693" t="s">
        <v>376</v>
      </c>
      <c r="BQ150" s="1737" t="s">
        <v>1598</v>
      </c>
      <c r="BR150" s="1623">
        <v>0.2</v>
      </c>
      <c r="BS150" s="1623">
        <v>0.2</v>
      </c>
      <c r="BT150" s="1623">
        <v>0.2</v>
      </c>
      <c r="BU150" s="1623">
        <v>0.2</v>
      </c>
      <c r="BV150" s="1623">
        <v>0.2</v>
      </c>
      <c r="BW150" s="1623">
        <v>0.2</v>
      </c>
      <c r="BX150" s="1623">
        <v>0.2</v>
      </c>
      <c r="BY150" s="1623">
        <v>0.2</v>
      </c>
      <c r="BZ150" s="1623">
        <v>0.2</v>
      </c>
      <c r="CA150" s="1623">
        <v>0.2</v>
      </c>
      <c r="CB150" s="1870"/>
      <c r="CC150" s="1715"/>
      <c r="CD150" s="1715"/>
    </row>
    <row r="151" spans="1:83">
      <c r="B151" s="1597" t="str">
        <f t="shared" si="143"/>
        <v>2.5</v>
      </c>
      <c r="C151" s="1614" t="str">
        <f t="shared" si="140"/>
        <v>持続可能な森林から産出された木材</v>
      </c>
      <c r="D151" s="1716">
        <f t="shared" si="144"/>
        <v>0.1</v>
      </c>
      <c r="E151" s="1691">
        <f t="shared" si="144"/>
        <v>0</v>
      </c>
      <c r="G151" s="1691">
        <f t="shared" si="138"/>
        <v>0.1</v>
      </c>
      <c r="H151" s="1691">
        <f t="shared" si="139"/>
        <v>0</v>
      </c>
      <c r="I151" s="1691"/>
      <c r="J151" s="1691"/>
      <c r="K151" s="1691">
        <f>IF(スコア表示!W151=0,0,1)</f>
        <v>1</v>
      </c>
      <c r="L151" s="1691">
        <f>IF(スコア表示!AA151=0,0,1)</f>
        <v>0</v>
      </c>
      <c r="M151" s="1691">
        <f t="shared" si="141"/>
        <v>0.1</v>
      </c>
      <c r="N151" s="1691">
        <f t="shared" si="102"/>
        <v>0</v>
      </c>
      <c r="P151" s="1647" t="str">
        <f t="shared" si="103"/>
        <v>2.5</v>
      </c>
      <c r="Q151" s="1647" t="str">
        <f t="shared" si="104"/>
        <v>LR2 2</v>
      </c>
      <c r="R151" s="1737" t="str">
        <f t="shared" si="142"/>
        <v>持続可能な森林から産出された木材</v>
      </c>
      <c r="S151" s="1618">
        <f t="shared" si="110"/>
        <v>0.1</v>
      </c>
      <c r="T151" s="1618">
        <f t="shared" si="111"/>
        <v>0.1</v>
      </c>
      <c r="U151" s="1618">
        <f t="shared" si="112"/>
        <v>0.1</v>
      </c>
      <c r="V151" s="1618">
        <f t="shared" si="113"/>
        <v>0.1</v>
      </c>
      <c r="W151" s="1618">
        <f t="shared" si="114"/>
        <v>0.1</v>
      </c>
      <c r="X151" s="1618">
        <f t="shared" si="115"/>
        <v>0.1</v>
      </c>
      <c r="Y151" s="1618">
        <f t="shared" si="116"/>
        <v>0.1</v>
      </c>
      <c r="Z151" s="1626">
        <f t="shared" si="117"/>
        <v>0.1</v>
      </c>
      <c r="AA151" s="1618">
        <f t="shared" si="118"/>
        <v>0.1</v>
      </c>
      <c r="AB151" s="1618">
        <f t="shared" si="119"/>
        <v>0.1</v>
      </c>
      <c r="AC151" s="1688">
        <f t="shared" si="107"/>
        <v>0</v>
      </c>
      <c r="AD151" s="1633">
        <f t="shared" si="108"/>
        <v>0</v>
      </c>
      <c r="AE151" s="1633">
        <f t="shared" si="109"/>
        <v>0</v>
      </c>
      <c r="AG151" s="1647" t="s">
        <v>1728</v>
      </c>
      <c r="AH151" s="1693" t="s">
        <v>376</v>
      </c>
      <c r="AI151" s="2064" t="s">
        <v>1729</v>
      </c>
      <c r="AJ151" s="1623">
        <v>0.1</v>
      </c>
      <c r="AK151" s="1623">
        <v>0.1</v>
      </c>
      <c r="AL151" s="1623">
        <v>0.1</v>
      </c>
      <c r="AM151" s="1623">
        <v>0.1</v>
      </c>
      <c r="AN151" s="1623">
        <v>0.1</v>
      </c>
      <c r="AO151" s="1623">
        <v>0.1</v>
      </c>
      <c r="AP151" s="1623">
        <v>0.1</v>
      </c>
      <c r="AQ151" s="1623">
        <v>0.1</v>
      </c>
      <c r="AR151" s="1623">
        <v>0.1</v>
      </c>
      <c r="AS151" s="1623">
        <v>0.1</v>
      </c>
      <c r="AT151" s="1870"/>
      <c r="AU151" s="1715"/>
      <c r="AV151" s="1715"/>
      <c r="AX151" s="1647" t="s">
        <v>1599</v>
      </c>
      <c r="AY151" s="1693" t="s">
        <v>376</v>
      </c>
      <c r="AZ151" s="2064" t="s">
        <v>1600</v>
      </c>
      <c r="BA151" s="1623">
        <v>0.1</v>
      </c>
      <c r="BB151" s="1623">
        <v>0.1</v>
      </c>
      <c r="BC151" s="1623">
        <v>0.1</v>
      </c>
      <c r="BD151" s="1623">
        <v>0.1</v>
      </c>
      <c r="BE151" s="1623">
        <v>0.1</v>
      </c>
      <c r="BF151" s="1623">
        <v>0.1</v>
      </c>
      <c r="BG151" s="1623">
        <v>0.1</v>
      </c>
      <c r="BH151" s="1623">
        <v>0.1</v>
      </c>
      <c r="BI151" s="1623">
        <v>0.1</v>
      </c>
      <c r="BJ151" s="1623">
        <v>0.1</v>
      </c>
      <c r="BK151" s="1870"/>
      <c r="BL151" s="1715"/>
      <c r="BM151" s="1715"/>
      <c r="BO151" s="1647" t="s">
        <v>1599</v>
      </c>
      <c r="BP151" s="1693" t="s">
        <v>376</v>
      </c>
      <c r="BQ151" s="2064" t="s">
        <v>1600</v>
      </c>
      <c r="BR151" s="1623">
        <v>0.1</v>
      </c>
      <c r="BS151" s="1623">
        <v>0.1</v>
      </c>
      <c r="BT151" s="1623">
        <v>0.1</v>
      </c>
      <c r="BU151" s="1623">
        <v>0.1</v>
      </c>
      <c r="BV151" s="1623">
        <v>0.1</v>
      </c>
      <c r="BW151" s="1623">
        <v>0.1</v>
      </c>
      <c r="BX151" s="1623">
        <v>0.1</v>
      </c>
      <c r="BY151" s="1623">
        <v>0.1</v>
      </c>
      <c r="BZ151" s="1623">
        <v>0.1</v>
      </c>
      <c r="CA151" s="1623">
        <v>0.1</v>
      </c>
      <c r="CB151" s="1870"/>
      <c r="CC151" s="1715"/>
      <c r="CD151" s="1715"/>
    </row>
    <row r="152" spans="1:83">
      <c r="B152" s="1597" t="str">
        <f t="shared" si="143"/>
        <v>2.6</v>
      </c>
      <c r="C152" s="1647" t="str">
        <f t="shared" si="140"/>
        <v>部材の再利用可能性向上への取組み</v>
      </c>
      <c r="D152" s="1716">
        <f t="shared" si="144"/>
        <v>0.2</v>
      </c>
      <c r="E152" s="1691">
        <f t="shared" si="144"/>
        <v>0</v>
      </c>
      <c r="G152" s="1691">
        <f t="shared" si="138"/>
        <v>0.2</v>
      </c>
      <c r="H152" s="1691">
        <f t="shared" si="139"/>
        <v>0</v>
      </c>
      <c r="I152" s="1691"/>
      <c r="J152" s="1691"/>
      <c r="K152" s="1691">
        <f>IF(スコア表示!W152=0,0,1)</f>
        <v>1</v>
      </c>
      <c r="L152" s="1691">
        <f>IF(スコア表示!AA152=0,0,1)</f>
        <v>0</v>
      </c>
      <c r="M152" s="1691">
        <f t="shared" si="141"/>
        <v>0.2</v>
      </c>
      <c r="N152" s="1691">
        <f t="shared" ref="N152:N180" si="145">(AC$7*AC152)+(AD$7*AD152)+(AE$7*AE152)</f>
        <v>0</v>
      </c>
      <c r="P152" s="1647" t="str">
        <f t="shared" ref="P152:P180" si="146">IF($P$3=1,AX152,BO152)</f>
        <v>2.6</v>
      </c>
      <c r="Q152" s="1647" t="str">
        <f t="shared" si="104"/>
        <v>LR2 2</v>
      </c>
      <c r="R152" s="1737" t="str">
        <f t="shared" si="142"/>
        <v>部材の再利用可能性向上への取組み</v>
      </c>
      <c r="S152" s="1618">
        <f t="shared" si="110"/>
        <v>0.2</v>
      </c>
      <c r="T152" s="1618">
        <f t="shared" si="111"/>
        <v>0.2</v>
      </c>
      <c r="U152" s="1618">
        <f t="shared" si="112"/>
        <v>0.2</v>
      </c>
      <c r="V152" s="1618">
        <f t="shared" si="113"/>
        <v>0.2</v>
      </c>
      <c r="W152" s="1618">
        <f t="shared" si="114"/>
        <v>0.2</v>
      </c>
      <c r="X152" s="1618">
        <f t="shared" si="115"/>
        <v>0.2</v>
      </c>
      <c r="Y152" s="1618">
        <f t="shared" si="116"/>
        <v>0.2</v>
      </c>
      <c r="Z152" s="1626">
        <f t="shared" si="117"/>
        <v>0.2</v>
      </c>
      <c r="AA152" s="1618">
        <f t="shared" si="118"/>
        <v>0.2</v>
      </c>
      <c r="AB152" s="1618">
        <f t="shared" si="119"/>
        <v>0.2</v>
      </c>
      <c r="AC152" s="1688">
        <f t="shared" si="107"/>
        <v>0</v>
      </c>
      <c r="AD152" s="1633">
        <f t="shared" si="108"/>
        <v>0</v>
      </c>
      <c r="AE152" s="1633">
        <f t="shared" si="109"/>
        <v>0</v>
      </c>
      <c r="AG152" s="1647" t="s">
        <v>1730</v>
      </c>
      <c r="AH152" s="1693" t="s">
        <v>376</v>
      </c>
      <c r="AI152" s="1737" t="s">
        <v>807</v>
      </c>
      <c r="AJ152" s="1623">
        <v>0.2</v>
      </c>
      <c r="AK152" s="1623">
        <v>0.2</v>
      </c>
      <c r="AL152" s="1623">
        <v>0.2</v>
      </c>
      <c r="AM152" s="1623">
        <v>0.2</v>
      </c>
      <c r="AN152" s="1623">
        <v>0.2</v>
      </c>
      <c r="AO152" s="1623">
        <v>0.2</v>
      </c>
      <c r="AP152" s="1623">
        <v>0.2</v>
      </c>
      <c r="AQ152" s="1623">
        <v>0.2</v>
      </c>
      <c r="AR152" s="1623">
        <v>0.2</v>
      </c>
      <c r="AS152" s="1623">
        <v>0.2</v>
      </c>
      <c r="AT152" s="1870"/>
      <c r="AU152" s="1715"/>
      <c r="AV152" s="1715"/>
      <c r="AX152" s="1647" t="s">
        <v>1601</v>
      </c>
      <c r="AY152" s="1693" t="s">
        <v>376</v>
      </c>
      <c r="AZ152" s="1737" t="s">
        <v>807</v>
      </c>
      <c r="BA152" s="1623">
        <v>0.2</v>
      </c>
      <c r="BB152" s="1623">
        <v>0.2</v>
      </c>
      <c r="BC152" s="1623">
        <v>0.2</v>
      </c>
      <c r="BD152" s="1623">
        <v>0.2</v>
      </c>
      <c r="BE152" s="1623">
        <v>0.2</v>
      </c>
      <c r="BF152" s="1623">
        <v>0.2</v>
      </c>
      <c r="BG152" s="1623">
        <v>0.2</v>
      </c>
      <c r="BH152" s="1623">
        <v>0.2</v>
      </c>
      <c r="BI152" s="1623">
        <v>0.2</v>
      </c>
      <c r="BJ152" s="1623">
        <v>0.2</v>
      </c>
      <c r="BK152" s="1870"/>
      <c r="BL152" s="1715"/>
      <c r="BM152" s="1715"/>
      <c r="BO152" s="1647" t="s">
        <v>1601</v>
      </c>
      <c r="BP152" s="1693" t="s">
        <v>376</v>
      </c>
      <c r="BQ152" s="1737" t="s">
        <v>807</v>
      </c>
      <c r="BR152" s="1623">
        <v>0.2</v>
      </c>
      <c r="BS152" s="1623">
        <v>0.2</v>
      </c>
      <c r="BT152" s="1623">
        <v>0.2</v>
      </c>
      <c r="BU152" s="1623">
        <v>0.2</v>
      </c>
      <c r="BV152" s="1623">
        <v>0.2</v>
      </c>
      <c r="BW152" s="1623">
        <v>0.2</v>
      </c>
      <c r="BX152" s="1623">
        <v>0.2</v>
      </c>
      <c r="BY152" s="1623">
        <v>0.2</v>
      </c>
      <c r="BZ152" s="1623">
        <v>0.2</v>
      </c>
      <c r="CA152" s="1623">
        <v>0.2</v>
      </c>
      <c r="CB152" s="1870"/>
      <c r="CC152" s="1715"/>
      <c r="CD152" s="1715"/>
    </row>
    <row r="153" spans="1:83" s="1605" customFormat="1">
      <c r="A153"/>
      <c r="B153" s="1597">
        <f t="shared" si="143"/>
        <v>3</v>
      </c>
      <c r="C153" s="1689" t="str">
        <f t="shared" si="140"/>
        <v>汚染物質含有材料の使用回避</v>
      </c>
      <c r="D153" s="2062">
        <f>IF(I$140=0,0,G153/I$140)</f>
        <v>0.2</v>
      </c>
      <c r="E153" s="1743">
        <f>IF(J$140=0,0,H153/J$140)</f>
        <v>0</v>
      </c>
      <c r="F153"/>
      <c r="G153" s="1743">
        <f t="shared" si="138"/>
        <v>0.2</v>
      </c>
      <c r="H153" s="1743">
        <f t="shared" si="139"/>
        <v>0</v>
      </c>
      <c r="I153" s="1743">
        <f>G154+G155</f>
        <v>1</v>
      </c>
      <c r="J153" s="1743">
        <f>H154+H155</f>
        <v>0</v>
      </c>
      <c r="K153" s="1743">
        <f>IF(スコア表示!W153=0,0,1)</f>
        <v>1</v>
      </c>
      <c r="L153" s="1743">
        <f>IF(スコア表示!AA153=0,0,1)</f>
        <v>0</v>
      </c>
      <c r="M153" s="1743">
        <f t="shared" si="141"/>
        <v>0.2</v>
      </c>
      <c r="N153" s="1743">
        <f t="shared" si="145"/>
        <v>0</v>
      </c>
      <c r="O153"/>
      <c r="P153" s="1641">
        <f t="shared" si="146"/>
        <v>3</v>
      </c>
      <c r="Q153" s="1641" t="str">
        <f t="shared" ref="Q153:Q180" si="147">IF($P$3=1,AY153,BP153)</f>
        <v>LR2</v>
      </c>
      <c r="R153" s="1780" t="str">
        <f t="shared" si="142"/>
        <v>汚染物質含有材料の使用回避</v>
      </c>
      <c r="S153" s="1610">
        <f t="shared" si="110"/>
        <v>0.2</v>
      </c>
      <c r="T153" s="1610">
        <f t="shared" si="111"/>
        <v>0.2</v>
      </c>
      <c r="U153" s="1610">
        <f t="shared" si="112"/>
        <v>0.2</v>
      </c>
      <c r="V153" s="1610">
        <f t="shared" si="113"/>
        <v>0.2</v>
      </c>
      <c r="W153" s="1610">
        <f t="shared" si="114"/>
        <v>0.2</v>
      </c>
      <c r="X153" s="1610">
        <f t="shared" si="115"/>
        <v>0.2</v>
      </c>
      <c r="Y153" s="1610">
        <f t="shared" si="116"/>
        <v>0.2</v>
      </c>
      <c r="Z153" s="1646">
        <f t="shared" si="117"/>
        <v>0.2</v>
      </c>
      <c r="AA153" s="1610">
        <f t="shared" si="118"/>
        <v>0.2</v>
      </c>
      <c r="AB153" s="1610">
        <f t="shared" si="119"/>
        <v>0.2</v>
      </c>
      <c r="AC153" s="1686">
        <f t="shared" si="107"/>
        <v>0</v>
      </c>
      <c r="AD153" s="1687">
        <f t="shared" si="108"/>
        <v>0</v>
      </c>
      <c r="AE153" s="1687">
        <f t="shared" si="109"/>
        <v>0</v>
      </c>
      <c r="AF153"/>
      <c r="AG153" s="1641">
        <v>3</v>
      </c>
      <c r="AH153" s="1744" t="s">
        <v>373</v>
      </c>
      <c r="AI153" s="1787" t="s">
        <v>808</v>
      </c>
      <c r="AJ153" s="1711">
        <v>0.2</v>
      </c>
      <c r="AK153" s="1711">
        <v>0.2</v>
      </c>
      <c r="AL153" s="1711">
        <v>0.2</v>
      </c>
      <c r="AM153" s="1711">
        <v>0.2</v>
      </c>
      <c r="AN153" s="1711">
        <v>0.2</v>
      </c>
      <c r="AO153" s="1711">
        <v>0.2</v>
      </c>
      <c r="AP153" s="1711">
        <v>0.2</v>
      </c>
      <c r="AQ153" s="1711">
        <v>0.2</v>
      </c>
      <c r="AR153" s="1711">
        <v>0.2</v>
      </c>
      <c r="AS153" s="1711">
        <v>0.2</v>
      </c>
      <c r="AT153" s="2098">
        <v>0</v>
      </c>
      <c r="AU153" s="2099">
        <v>0</v>
      </c>
      <c r="AV153" s="2099">
        <v>0</v>
      </c>
      <c r="AW153"/>
      <c r="AX153" s="1641">
        <v>3</v>
      </c>
      <c r="AY153" s="1744" t="s">
        <v>373</v>
      </c>
      <c r="AZ153" s="1787" t="s">
        <v>808</v>
      </c>
      <c r="BA153" s="1711">
        <v>0.2</v>
      </c>
      <c r="BB153" s="1711">
        <v>0.2</v>
      </c>
      <c r="BC153" s="1711">
        <v>0.2</v>
      </c>
      <c r="BD153" s="1711">
        <v>0.2</v>
      </c>
      <c r="BE153" s="1711">
        <v>0.2</v>
      </c>
      <c r="BF153" s="1711">
        <v>0.2</v>
      </c>
      <c r="BG153" s="1711">
        <v>0.2</v>
      </c>
      <c r="BH153" s="1711">
        <v>0.2</v>
      </c>
      <c r="BI153" s="1711">
        <v>0.2</v>
      </c>
      <c r="BJ153" s="1711">
        <v>0.2</v>
      </c>
      <c r="BK153" s="2098"/>
      <c r="BL153" s="2099"/>
      <c r="BM153" s="2099"/>
      <c r="BN153"/>
      <c r="BO153" s="1641">
        <v>3</v>
      </c>
      <c r="BP153" s="1744" t="s">
        <v>373</v>
      </c>
      <c r="BQ153" s="1787" t="s">
        <v>808</v>
      </c>
      <c r="BR153" s="1711">
        <v>0.2</v>
      </c>
      <c r="BS153" s="1711">
        <v>0.2</v>
      </c>
      <c r="BT153" s="1711">
        <v>0.2</v>
      </c>
      <c r="BU153" s="1711">
        <v>0.2</v>
      </c>
      <c r="BV153" s="1711">
        <v>0.2</v>
      </c>
      <c r="BW153" s="1711">
        <v>0.2</v>
      </c>
      <c r="BX153" s="1711">
        <v>0.2</v>
      </c>
      <c r="BY153" s="1711">
        <v>0.2</v>
      </c>
      <c r="BZ153" s="1711">
        <v>0.2</v>
      </c>
      <c r="CA153" s="1711">
        <v>0.2</v>
      </c>
      <c r="CB153" s="2098"/>
      <c r="CC153" s="2099"/>
      <c r="CD153" s="2099"/>
      <c r="CE153"/>
    </row>
    <row r="154" spans="1:83">
      <c r="B154" s="1597" t="str">
        <f t="shared" si="143"/>
        <v>3.1</v>
      </c>
      <c r="C154" s="1647" t="str">
        <f t="shared" si="140"/>
        <v>有害物質を含まない材料の使用</v>
      </c>
      <c r="D154" s="1716">
        <f>IF(I$153=0,0,G154/I$153)</f>
        <v>0.3</v>
      </c>
      <c r="E154" s="1691">
        <f>IF(J$153=0,0,H154/J$153)</f>
        <v>0</v>
      </c>
      <c r="G154" s="1691">
        <f t="shared" si="138"/>
        <v>0.3</v>
      </c>
      <c r="H154" s="1691">
        <f t="shared" si="139"/>
        <v>0</v>
      </c>
      <c r="I154" s="1691"/>
      <c r="J154" s="1691"/>
      <c r="K154" s="1691">
        <f>IF(スコア表示!W154=0,0,1)</f>
        <v>1</v>
      </c>
      <c r="L154" s="1691">
        <f>IF(スコア表示!AA154=0,0,1)</f>
        <v>0</v>
      </c>
      <c r="M154" s="1691">
        <f t="shared" si="141"/>
        <v>0.3</v>
      </c>
      <c r="N154" s="1691">
        <f t="shared" si="145"/>
        <v>0</v>
      </c>
      <c r="P154" s="1647" t="str">
        <f t="shared" si="146"/>
        <v>3.1</v>
      </c>
      <c r="Q154" s="1647" t="str">
        <f t="shared" si="147"/>
        <v>LR2 3</v>
      </c>
      <c r="R154" s="1737" t="str">
        <f t="shared" si="142"/>
        <v>有害物質を含まない材料の使用</v>
      </c>
      <c r="S154" s="1618">
        <f t="shared" si="110"/>
        <v>0.3</v>
      </c>
      <c r="T154" s="1618">
        <f t="shared" si="111"/>
        <v>0.3</v>
      </c>
      <c r="U154" s="1618">
        <f t="shared" si="112"/>
        <v>0.3</v>
      </c>
      <c r="V154" s="1618">
        <f t="shared" si="113"/>
        <v>0.3</v>
      </c>
      <c r="W154" s="1618">
        <f t="shared" si="114"/>
        <v>0.3</v>
      </c>
      <c r="X154" s="1618">
        <f t="shared" si="115"/>
        <v>0.3</v>
      </c>
      <c r="Y154" s="1618">
        <f t="shared" si="116"/>
        <v>0.3</v>
      </c>
      <c r="Z154" s="1626">
        <f t="shared" si="117"/>
        <v>0.3</v>
      </c>
      <c r="AA154" s="1618">
        <f t="shared" si="118"/>
        <v>0.3</v>
      </c>
      <c r="AB154" s="1618">
        <f t="shared" si="119"/>
        <v>0.3</v>
      </c>
      <c r="AC154" s="1688">
        <f t="shared" si="107"/>
        <v>0</v>
      </c>
      <c r="AD154" s="1633">
        <f t="shared" si="108"/>
        <v>0</v>
      </c>
      <c r="AE154" s="1633">
        <f t="shared" si="109"/>
        <v>0</v>
      </c>
      <c r="AG154" s="1647" t="s">
        <v>1556</v>
      </c>
      <c r="AH154" s="1693" t="s">
        <v>377</v>
      </c>
      <c r="AI154" s="1737" t="s">
        <v>809</v>
      </c>
      <c r="AJ154" s="1623">
        <v>0.3</v>
      </c>
      <c r="AK154" s="1623">
        <v>0.3</v>
      </c>
      <c r="AL154" s="1623">
        <v>0.3</v>
      </c>
      <c r="AM154" s="1623">
        <v>0.3</v>
      </c>
      <c r="AN154" s="1623">
        <v>0.3</v>
      </c>
      <c r="AO154" s="1623">
        <v>0.3</v>
      </c>
      <c r="AP154" s="1623">
        <v>0.3</v>
      </c>
      <c r="AQ154" s="1623">
        <v>0.3</v>
      </c>
      <c r="AR154" s="1623">
        <v>0.3</v>
      </c>
      <c r="AS154" s="1623">
        <v>0.3</v>
      </c>
      <c r="AT154" s="1870">
        <v>0</v>
      </c>
      <c r="AU154" s="1715">
        <v>0</v>
      </c>
      <c r="AV154" s="1715">
        <v>0</v>
      </c>
      <c r="AX154" s="1647" t="s">
        <v>1557</v>
      </c>
      <c r="AY154" s="1693" t="s">
        <v>377</v>
      </c>
      <c r="AZ154" s="1737" t="s">
        <v>809</v>
      </c>
      <c r="BA154" s="1623">
        <v>0.3</v>
      </c>
      <c r="BB154" s="1623">
        <v>0.3</v>
      </c>
      <c r="BC154" s="1623">
        <v>0.3</v>
      </c>
      <c r="BD154" s="1623">
        <v>0.3</v>
      </c>
      <c r="BE154" s="1623">
        <v>0.3</v>
      </c>
      <c r="BF154" s="1623">
        <v>0.3</v>
      </c>
      <c r="BG154" s="1623">
        <v>0.3</v>
      </c>
      <c r="BH154" s="1623">
        <v>0.3</v>
      </c>
      <c r="BI154" s="1623">
        <v>0.3</v>
      </c>
      <c r="BJ154" s="1623">
        <v>0.3</v>
      </c>
      <c r="BK154" s="1870"/>
      <c r="BL154" s="1715"/>
      <c r="BM154" s="1715"/>
      <c r="BO154" s="1647" t="s">
        <v>1557</v>
      </c>
      <c r="BP154" s="1693" t="s">
        <v>377</v>
      </c>
      <c r="BQ154" s="1737" t="s">
        <v>809</v>
      </c>
      <c r="BR154" s="1623">
        <v>0.3</v>
      </c>
      <c r="BS154" s="1623">
        <v>0.3</v>
      </c>
      <c r="BT154" s="1623">
        <v>0.3</v>
      </c>
      <c r="BU154" s="1623">
        <v>0.3</v>
      </c>
      <c r="BV154" s="1623">
        <v>0.3</v>
      </c>
      <c r="BW154" s="1623">
        <v>0.3</v>
      </c>
      <c r="BX154" s="1623">
        <v>0.3</v>
      </c>
      <c r="BY154" s="1623">
        <v>0.3</v>
      </c>
      <c r="BZ154" s="1623">
        <v>0.3</v>
      </c>
      <c r="CA154" s="1623">
        <v>0.3</v>
      </c>
      <c r="CB154" s="1870"/>
      <c r="CC154" s="1715"/>
      <c r="CD154" s="1715"/>
    </row>
    <row r="155" spans="1:83">
      <c r="B155" s="1597" t="str">
        <f t="shared" si="143"/>
        <v>3.2</v>
      </c>
      <c r="C155" s="1647" t="str">
        <f t="shared" si="140"/>
        <v>フロン・ハロンの回避</v>
      </c>
      <c r="D155" s="1716">
        <f>IF(I$153=0,0,G155/I$153)</f>
        <v>0.7</v>
      </c>
      <c r="E155" s="1691">
        <f>IF(J$153=0,0,H155/J$153)</f>
        <v>0</v>
      </c>
      <c r="G155" s="1691">
        <f t="shared" si="138"/>
        <v>0.7</v>
      </c>
      <c r="H155" s="1691">
        <f t="shared" si="139"/>
        <v>0</v>
      </c>
      <c r="I155" s="1691">
        <f>SUM(G156:G158)</f>
        <v>1</v>
      </c>
      <c r="J155" s="1691">
        <f>SUM(H156:H158)</f>
        <v>0</v>
      </c>
      <c r="K155" s="1691">
        <f>IF(スコア表示!W155=0,0,1)</f>
        <v>1</v>
      </c>
      <c r="L155" s="1691">
        <f>IF(スコア表示!AA155=0,0,1)</f>
        <v>0</v>
      </c>
      <c r="M155" s="1691">
        <f t="shared" si="141"/>
        <v>0.7</v>
      </c>
      <c r="N155" s="1691">
        <f t="shared" si="145"/>
        <v>0</v>
      </c>
      <c r="P155" s="1647" t="str">
        <f t="shared" si="146"/>
        <v>3.2</v>
      </c>
      <c r="Q155" s="1647" t="str">
        <f t="shared" si="147"/>
        <v>LR2 3</v>
      </c>
      <c r="R155" s="1737" t="str">
        <f t="shared" si="142"/>
        <v>フロン・ハロンの回避</v>
      </c>
      <c r="S155" s="1618">
        <f t="shared" si="110"/>
        <v>0.7</v>
      </c>
      <c r="T155" s="1618">
        <f t="shared" si="111"/>
        <v>0.7</v>
      </c>
      <c r="U155" s="1618">
        <f t="shared" si="112"/>
        <v>0.7</v>
      </c>
      <c r="V155" s="1618">
        <f t="shared" si="113"/>
        <v>0.7</v>
      </c>
      <c r="W155" s="1618">
        <f t="shared" si="114"/>
        <v>0.7</v>
      </c>
      <c r="X155" s="1618">
        <f t="shared" si="115"/>
        <v>0.7</v>
      </c>
      <c r="Y155" s="1618">
        <f t="shared" si="116"/>
        <v>0.7</v>
      </c>
      <c r="Z155" s="1626">
        <f t="shared" si="117"/>
        <v>0.7</v>
      </c>
      <c r="AA155" s="1618">
        <f t="shared" si="118"/>
        <v>0.7</v>
      </c>
      <c r="AB155" s="1618">
        <f t="shared" si="119"/>
        <v>0.7</v>
      </c>
      <c r="AC155" s="1688">
        <f t="shared" si="107"/>
        <v>0</v>
      </c>
      <c r="AD155" s="1633">
        <f t="shared" si="108"/>
        <v>0</v>
      </c>
      <c r="AE155" s="1633">
        <f t="shared" si="109"/>
        <v>0</v>
      </c>
      <c r="AG155" s="1647" t="s">
        <v>1560</v>
      </c>
      <c r="AH155" s="1693" t="s">
        <v>377</v>
      </c>
      <c r="AI155" s="1737" t="s">
        <v>810</v>
      </c>
      <c r="AJ155" s="1623">
        <v>0.7</v>
      </c>
      <c r="AK155" s="1623">
        <v>0.7</v>
      </c>
      <c r="AL155" s="1623">
        <v>0.7</v>
      </c>
      <c r="AM155" s="1623">
        <v>0.7</v>
      </c>
      <c r="AN155" s="1623">
        <v>0.7</v>
      </c>
      <c r="AO155" s="1623">
        <v>0.7</v>
      </c>
      <c r="AP155" s="1623">
        <v>0.7</v>
      </c>
      <c r="AQ155" s="1623">
        <v>0.7</v>
      </c>
      <c r="AR155" s="1623">
        <v>0.7</v>
      </c>
      <c r="AS155" s="1623">
        <v>0.7</v>
      </c>
      <c r="AT155" s="1870">
        <v>0</v>
      </c>
      <c r="AU155" s="1715">
        <v>0</v>
      </c>
      <c r="AV155" s="1715">
        <v>0</v>
      </c>
      <c r="AX155" s="1647" t="s">
        <v>1561</v>
      </c>
      <c r="AY155" s="1693" t="s">
        <v>377</v>
      </c>
      <c r="AZ155" s="1737" t="s">
        <v>810</v>
      </c>
      <c r="BA155" s="1623">
        <v>0.7</v>
      </c>
      <c r="BB155" s="1623">
        <v>0.7</v>
      </c>
      <c r="BC155" s="1623">
        <v>0.7</v>
      </c>
      <c r="BD155" s="1623">
        <v>0.7</v>
      </c>
      <c r="BE155" s="1623">
        <v>0.7</v>
      </c>
      <c r="BF155" s="1623">
        <v>0.7</v>
      </c>
      <c r="BG155" s="1623">
        <v>0.7</v>
      </c>
      <c r="BH155" s="1623">
        <v>0.7</v>
      </c>
      <c r="BI155" s="1623">
        <v>0.7</v>
      </c>
      <c r="BJ155" s="1623">
        <v>0.7</v>
      </c>
      <c r="BK155" s="1870"/>
      <c r="BL155" s="1715"/>
      <c r="BM155" s="1715"/>
      <c r="BO155" s="1647" t="s">
        <v>1561</v>
      </c>
      <c r="BP155" s="1693" t="s">
        <v>377</v>
      </c>
      <c r="BQ155" s="1737" t="s">
        <v>810</v>
      </c>
      <c r="BR155" s="1623">
        <v>0.7</v>
      </c>
      <c r="BS155" s="1623">
        <v>0.7</v>
      </c>
      <c r="BT155" s="1623">
        <v>0.7</v>
      </c>
      <c r="BU155" s="1623">
        <v>0.7</v>
      </c>
      <c r="BV155" s="1623">
        <v>0.7</v>
      </c>
      <c r="BW155" s="1623">
        <v>0.7</v>
      </c>
      <c r="BX155" s="1623">
        <v>0.7</v>
      </c>
      <c r="BY155" s="1623">
        <v>0.7</v>
      </c>
      <c r="BZ155" s="1623">
        <v>0.7</v>
      </c>
      <c r="CA155" s="1623">
        <v>0.7</v>
      </c>
      <c r="CB155" s="1870"/>
      <c r="CC155" s="1715"/>
      <c r="CD155" s="1715"/>
    </row>
    <row r="156" spans="1:83">
      <c r="B156" s="1597" t="str">
        <f t="shared" si="143"/>
        <v>3.2.1</v>
      </c>
      <c r="C156" s="1614" t="str">
        <f t="shared" si="140"/>
        <v>消火剤</v>
      </c>
      <c r="D156" s="1721">
        <f t="shared" ref="D156:E158" si="148">IF(I$155&gt;0,G156/I$155,0)</f>
        <v>0.33333333333333331</v>
      </c>
      <c r="E156" s="1691">
        <f t="shared" si="148"/>
        <v>0</v>
      </c>
      <c r="G156" s="1691">
        <f t="shared" si="138"/>
        <v>0.33333333333333331</v>
      </c>
      <c r="H156" s="1691">
        <f t="shared" si="139"/>
        <v>0</v>
      </c>
      <c r="I156" s="1691"/>
      <c r="J156" s="1691"/>
      <c r="K156" s="1691">
        <f>IF(スコア表示!W156=0,0,1)</f>
        <v>1</v>
      </c>
      <c r="L156" s="1691">
        <f>IF(スコア表示!AA156=0,0,1)</f>
        <v>0</v>
      </c>
      <c r="M156" s="1691">
        <f t="shared" si="141"/>
        <v>0.33333333333333331</v>
      </c>
      <c r="N156" s="1691">
        <f t="shared" si="145"/>
        <v>0</v>
      </c>
      <c r="P156" s="1647" t="str">
        <f t="shared" si="146"/>
        <v>3.2.1</v>
      </c>
      <c r="Q156" s="1647" t="str">
        <f t="shared" si="147"/>
        <v>LR2 3.2</v>
      </c>
      <c r="R156" s="1737" t="str">
        <f t="shared" si="142"/>
        <v>消火剤</v>
      </c>
      <c r="S156" s="1618">
        <f t="shared" si="110"/>
        <v>0.33333333333333331</v>
      </c>
      <c r="T156" s="1618">
        <f t="shared" si="111"/>
        <v>0.33333333333333331</v>
      </c>
      <c r="U156" s="1618">
        <f t="shared" si="112"/>
        <v>0.33333333333333331</v>
      </c>
      <c r="V156" s="1618">
        <f t="shared" si="113"/>
        <v>0.33333333333333331</v>
      </c>
      <c r="W156" s="1618">
        <f t="shared" si="114"/>
        <v>0.33333333333333331</v>
      </c>
      <c r="X156" s="1618">
        <f t="shared" si="115"/>
        <v>0.33333333333333331</v>
      </c>
      <c r="Y156" s="1618">
        <f t="shared" si="116"/>
        <v>0.33333333333333331</v>
      </c>
      <c r="Z156" s="1626">
        <f t="shared" si="117"/>
        <v>0.33333333333333331</v>
      </c>
      <c r="AA156" s="1618">
        <f t="shared" si="118"/>
        <v>0.33333333333333331</v>
      </c>
      <c r="AB156" s="1618">
        <f t="shared" si="119"/>
        <v>0.33333333333333331</v>
      </c>
      <c r="AC156" s="1688">
        <f t="shared" ref="AC156:AC180" si="149">IF($P$3=1,BK156,IF($P$3=2,CB156,AT156))</f>
        <v>0</v>
      </c>
      <c r="AD156" s="1633">
        <f t="shared" ref="AD156:AD180" si="150">IF($P$3=1,BL156,IF($P$3=2,CC156,AU156))</f>
        <v>0</v>
      </c>
      <c r="AE156" s="1633">
        <f t="shared" ref="AE156:AE180" si="151">IF($P$3=1,BM156,IF($P$3=2,CD156,AV156))</f>
        <v>0</v>
      </c>
      <c r="AG156" s="1647" t="s">
        <v>1490</v>
      </c>
      <c r="AH156" s="1693" t="s">
        <v>378</v>
      </c>
      <c r="AI156" s="2064" t="s">
        <v>1603</v>
      </c>
      <c r="AJ156" s="1623">
        <v>0.33333333333333331</v>
      </c>
      <c r="AK156" s="1623">
        <v>0.33333333333333331</v>
      </c>
      <c r="AL156" s="1623">
        <v>0.33333333333333331</v>
      </c>
      <c r="AM156" s="1623">
        <v>0.33333333333333331</v>
      </c>
      <c r="AN156" s="1623">
        <v>0.33333333333333331</v>
      </c>
      <c r="AO156" s="1623">
        <v>0.33333333333333331</v>
      </c>
      <c r="AP156" s="1623">
        <v>0.33333333333333331</v>
      </c>
      <c r="AQ156" s="1623">
        <v>0.33333333333333331</v>
      </c>
      <c r="AR156" s="1623">
        <v>0.33333333333333331</v>
      </c>
      <c r="AS156" s="1623">
        <v>0.33333333333333331</v>
      </c>
      <c r="AT156" s="1870">
        <v>0</v>
      </c>
      <c r="AU156" s="1715">
        <v>0</v>
      </c>
      <c r="AV156" s="1715">
        <v>0</v>
      </c>
      <c r="AX156" s="1647" t="s">
        <v>1602</v>
      </c>
      <c r="AY156" s="1693" t="s">
        <v>378</v>
      </c>
      <c r="AZ156" s="2064" t="s">
        <v>1604</v>
      </c>
      <c r="BA156" s="1623">
        <v>0.33333333333333331</v>
      </c>
      <c r="BB156" s="1623">
        <v>0.33333333333333331</v>
      </c>
      <c r="BC156" s="1623">
        <v>0.33333333333333331</v>
      </c>
      <c r="BD156" s="1623">
        <v>0.33333333333333331</v>
      </c>
      <c r="BE156" s="1623">
        <v>0.33333333333333331</v>
      </c>
      <c r="BF156" s="1623">
        <v>0.33333333333333331</v>
      </c>
      <c r="BG156" s="1623">
        <v>0.33333333333333331</v>
      </c>
      <c r="BH156" s="1623">
        <v>0.33333333333333331</v>
      </c>
      <c r="BI156" s="1623">
        <v>0.33333333333333331</v>
      </c>
      <c r="BJ156" s="1623">
        <v>0.33333333333333331</v>
      </c>
      <c r="BK156" s="1870"/>
      <c r="BL156" s="1715"/>
      <c r="BM156" s="1715"/>
      <c r="BO156" s="1647" t="s">
        <v>1602</v>
      </c>
      <c r="BP156" s="1693" t="s">
        <v>378</v>
      </c>
      <c r="BQ156" s="2064" t="s">
        <v>1604</v>
      </c>
      <c r="BR156" s="1623">
        <v>0.33333333333333331</v>
      </c>
      <c r="BS156" s="1623">
        <v>0.33333333333333331</v>
      </c>
      <c r="BT156" s="1623">
        <v>0.33333333333333331</v>
      </c>
      <c r="BU156" s="1623">
        <v>0.33333333333333331</v>
      </c>
      <c r="BV156" s="1623">
        <v>0.33333333333333331</v>
      </c>
      <c r="BW156" s="1623">
        <v>0.33333333333333331</v>
      </c>
      <c r="BX156" s="1623">
        <v>0.33333333333333331</v>
      </c>
      <c r="BY156" s="1623">
        <v>0.33333333333333331</v>
      </c>
      <c r="BZ156" s="1623">
        <v>0.33333333333333331</v>
      </c>
      <c r="CA156" s="1623">
        <v>0.33333333333333331</v>
      </c>
      <c r="CB156" s="1870"/>
      <c r="CC156" s="1715"/>
      <c r="CD156" s="1715"/>
    </row>
    <row r="157" spans="1:83">
      <c r="B157" s="1597" t="str">
        <f t="shared" si="143"/>
        <v>3.2.2</v>
      </c>
      <c r="C157" s="1614" t="str">
        <f t="shared" si="140"/>
        <v>発泡剤（断熱材等）</v>
      </c>
      <c r="D157" s="1721">
        <f t="shared" si="148"/>
        <v>0.33333333333333331</v>
      </c>
      <c r="E157" s="1691">
        <f t="shared" si="148"/>
        <v>0</v>
      </c>
      <c r="G157" s="1691">
        <f t="shared" si="138"/>
        <v>0.33333333333333331</v>
      </c>
      <c r="H157" s="1691">
        <f t="shared" si="139"/>
        <v>0</v>
      </c>
      <c r="I157" s="1691"/>
      <c r="J157" s="1691"/>
      <c r="K157" s="1691">
        <f>IF(スコア表示!W157=0,0,1)</f>
        <v>1</v>
      </c>
      <c r="L157" s="1691">
        <f>IF(スコア表示!AA157=0,0,1)</f>
        <v>0</v>
      </c>
      <c r="M157" s="1691">
        <f t="shared" si="141"/>
        <v>0.33333333333333331</v>
      </c>
      <c r="N157" s="1691">
        <f t="shared" si="145"/>
        <v>0</v>
      </c>
      <c r="P157" s="1647" t="str">
        <f t="shared" si="146"/>
        <v>3.2.2</v>
      </c>
      <c r="Q157" s="1647" t="str">
        <f t="shared" si="147"/>
        <v>LR2 3.2</v>
      </c>
      <c r="R157" s="1737" t="str">
        <f t="shared" si="142"/>
        <v>発泡剤（断熱材等）</v>
      </c>
      <c r="S157" s="1618">
        <f t="shared" si="110"/>
        <v>0.33333333333333331</v>
      </c>
      <c r="T157" s="1618">
        <f t="shared" si="111"/>
        <v>0.33333333333333331</v>
      </c>
      <c r="U157" s="1618">
        <f t="shared" si="112"/>
        <v>0.33333333333333331</v>
      </c>
      <c r="V157" s="1618">
        <f t="shared" si="113"/>
        <v>0.33333333333333331</v>
      </c>
      <c r="W157" s="1618">
        <f t="shared" si="114"/>
        <v>0.33333333333333331</v>
      </c>
      <c r="X157" s="1618">
        <f t="shared" si="115"/>
        <v>0.33333333333333331</v>
      </c>
      <c r="Y157" s="1618">
        <f t="shared" si="116"/>
        <v>0.33333333333333331</v>
      </c>
      <c r="Z157" s="1626">
        <f t="shared" si="117"/>
        <v>0.33333333333333331</v>
      </c>
      <c r="AA157" s="1618">
        <f t="shared" si="118"/>
        <v>0.33333333333333331</v>
      </c>
      <c r="AB157" s="1618">
        <f t="shared" si="119"/>
        <v>0.33333333333333331</v>
      </c>
      <c r="AC157" s="1688">
        <f t="shared" si="149"/>
        <v>0</v>
      </c>
      <c r="AD157" s="1633">
        <f t="shared" si="150"/>
        <v>0</v>
      </c>
      <c r="AE157" s="1633">
        <f t="shared" si="151"/>
        <v>0</v>
      </c>
      <c r="AG157" s="1647" t="s">
        <v>1492</v>
      </c>
      <c r="AH157" s="1693" t="s">
        <v>378</v>
      </c>
      <c r="AI157" s="2064" t="s">
        <v>947</v>
      </c>
      <c r="AJ157" s="1623">
        <v>0.33333333333333331</v>
      </c>
      <c r="AK157" s="1623">
        <v>0.33333333333333331</v>
      </c>
      <c r="AL157" s="1623">
        <v>0.33333333333333331</v>
      </c>
      <c r="AM157" s="1623">
        <v>0.33333333333333331</v>
      </c>
      <c r="AN157" s="1623">
        <v>0.33333333333333331</v>
      </c>
      <c r="AO157" s="1623">
        <v>0.33333333333333331</v>
      </c>
      <c r="AP157" s="1623">
        <v>0.33333333333333331</v>
      </c>
      <c r="AQ157" s="1623">
        <v>0.33333333333333331</v>
      </c>
      <c r="AR157" s="1623">
        <v>0.33333333333333331</v>
      </c>
      <c r="AS157" s="1623">
        <v>0.33333333333333331</v>
      </c>
      <c r="AT157" s="1870">
        <v>0</v>
      </c>
      <c r="AU157" s="1715">
        <v>0</v>
      </c>
      <c r="AV157" s="1715">
        <v>0</v>
      </c>
      <c r="AX157" s="1647" t="s">
        <v>1605</v>
      </c>
      <c r="AY157" s="1693" t="s">
        <v>378</v>
      </c>
      <c r="AZ157" s="2064" t="s">
        <v>1606</v>
      </c>
      <c r="BA157" s="1623">
        <v>0.33333333333333331</v>
      </c>
      <c r="BB157" s="1623">
        <v>0.33333333333333331</v>
      </c>
      <c r="BC157" s="1623">
        <v>0.33333333333333331</v>
      </c>
      <c r="BD157" s="1623">
        <v>0.33333333333333331</v>
      </c>
      <c r="BE157" s="1623">
        <v>0.33333333333333331</v>
      </c>
      <c r="BF157" s="1623">
        <v>0.33333333333333331</v>
      </c>
      <c r="BG157" s="1623">
        <v>0.33333333333333331</v>
      </c>
      <c r="BH157" s="1623">
        <v>0.33333333333333331</v>
      </c>
      <c r="BI157" s="1623">
        <v>0.33333333333333331</v>
      </c>
      <c r="BJ157" s="1623">
        <v>0.33333333333333331</v>
      </c>
      <c r="BK157" s="1870"/>
      <c r="BL157" s="1715"/>
      <c r="BM157" s="1715"/>
      <c r="BO157" s="1647" t="s">
        <v>1605</v>
      </c>
      <c r="BP157" s="1693" t="s">
        <v>378</v>
      </c>
      <c r="BQ157" s="2064" t="s">
        <v>1606</v>
      </c>
      <c r="BR157" s="1623">
        <v>0.33333333333333331</v>
      </c>
      <c r="BS157" s="1623">
        <v>0.33333333333333331</v>
      </c>
      <c r="BT157" s="1623">
        <v>0.33333333333333331</v>
      </c>
      <c r="BU157" s="1623">
        <v>0.33333333333333331</v>
      </c>
      <c r="BV157" s="1623">
        <v>0.33333333333333331</v>
      </c>
      <c r="BW157" s="1623">
        <v>0.33333333333333331</v>
      </c>
      <c r="BX157" s="1623">
        <v>0.33333333333333331</v>
      </c>
      <c r="BY157" s="1623">
        <v>0.33333333333333331</v>
      </c>
      <c r="BZ157" s="1623">
        <v>0.33333333333333331</v>
      </c>
      <c r="CA157" s="1623">
        <v>0.33333333333333331</v>
      </c>
      <c r="CB157" s="1870"/>
      <c r="CC157" s="1715"/>
      <c r="CD157" s="1715"/>
    </row>
    <row r="158" spans="1:83">
      <c r="B158" s="1597" t="str">
        <f t="shared" si="143"/>
        <v>3.2.3</v>
      </c>
      <c r="C158" s="1614" t="str">
        <f t="shared" si="140"/>
        <v>冷媒</v>
      </c>
      <c r="D158" s="1721">
        <f t="shared" si="148"/>
        <v>0.33333333333333331</v>
      </c>
      <c r="E158" s="1691">
        <f t="shared" si="148"/>
        <v>0</v>
      </c>
      <c r="G158" s="1691">
        <f t="shared" si="138"/>
        <v>0.33333333333333331</v>
      </c>
      <c r="H158" s="1691">
        <f t="shared" si="139"/>
        <v>0</v>
      </c>
      <c r="I158" s="1691"/>
      <c r="J158" s="1691"/>
      <c r="K158" s="1691">
        <f>IF(スコア表示!W158=0,0,1)</f>
        <v>1</v>
      </c>
      <c r="L158" s="1691">
        <f>IF(スコア表示!AA158=0,0,1)</f>
        <v>0</v>
      </c>
      <c r="M158" s="1691">
        <f t="shared" si="141"/>
        <v>0.33333333333333331</v>
      </c>
      <c r="N158" s="1691">
        <f t="shared" si="145"/>
        <v>0</v>
      </c>
      <c r="P158" s="1647" t="str">
        <f t="shared" si="146"/>
        <v>3.2.3</v>
      </c>
      <c r="Q158" s="1647" t="str">
        <f t="shared" si="147"/>
        <v>LR2 3.2</v>
      </c>
      <c r="R158" s="1737" t="str">
        <f t="shared" si="142"/>
        <v>冷媒</v>
      </c>
      <c r="S158" s="1618">
        <f t="shared" si="110"/>
        <v>0.33333333333333331</v>
      </c>
      <c r="T158" s="1618">
        <f t="shared" si="111"/>
        <v>0.33333333333333331</v>
      </c>
      <c r="U158" s="1618">
        <f t="shared" si="112"/>
        <v>0.33333333333333331</v>
      </c>
      <c r="V158" s="1618">
        <f t="shared" si="113"/>
        <v>0.33333333333333331</v>
      </c>
      <c r="W158" s="1618">
        <f t="shared" si="114"/>
        <v>0.33333333333333331</v>
      </c>
      <c r="X158" s="1618">
        <f t="shared" si="115"/>
        <v>0.33333333333333331</v>
      </c>
      <c r="Y158" s="1618">
        <f t="shared" si="116"/>
        <v>0.33333333333333331</v>
      </c>
      <c r="Z158" s="1626">
        <f t="shared" si="117"/>
        <v>0.33333333333333331</v>
      </c>
      <c r="AA158" s="1618">
        <f t="shared" si="118"/>
        <v>0.33333333333333331</v>
      </c>
      <c r="AB158" s="1618">
        <f t="shared" si="119"/>
        <v>0.33333333333333331</v>
      </c>
      <c r="AC158" s="1688">
        <f t="shared" si="149"/>
        <v>0</v>
      </c>
      <c r="AD158" s="1633">
        <f t="shared" si="150"/>
        <v>0</v>
      </c>
      <c r="AE158" s="1633">
        <f t="shared" si="151"/>
        <v>0</v>
      </c>
      <c r="AG158" s="1647" t="s">
        <v>1607</v>
      </c>
      <c r="AH158" s="1693" t="s">
        <v>378</v>
      </c>
      <c r="AI158" s="2064" t="s">
        <v>380</v>
      </c>
      <c r="AJ158" s="1623">
        <v>0.33333333333333331</v>
      </c>
      <c r="AK158" s="1623">
        <v>0.33333333333333331</v>
      </c>
      <c r="AL158" s="1623">
        <v>0.33333333333333331</v>
      </c>
      <c r="AM158" s="1623">
        <v>0.33333333333333331</v>
      </c>
      <c r="AN158" s="1623">
        <v>0.33333333333333331</v>
      </c>
      <c r="AO158" s="1623">
        <v>0.33333333333333331</v>
      </c>
      <c r="AP158" s="1623">
        <v>0.33333333333333331</v>
      </c>
      <c r="AQ158" s="1623">
        <v>0.33333333333333331</v>
      </c>
      <c r="AR158" s="1623">
        <v>0.33333333333333331</v>
      </c>
      <c r="AS158" s="1623">
        <v>0.33333333333333331</v>
      </c>
      <c r="AT158" s="1870">
        <v>0</v>
      </c>
      <c r="AU158" s="1715">
        <v>0</v>
      </c>
      <c r="AV158" s="1715">
        <v>0</v>
      </c>
      <c r="AX158" s="1647" t="s">
        <v>1608</v>
      </c>
      <c r="AY158" s="1693" t="s">
        <v>378</v>
      </c>
      <c r="AZ158" s="2064" t="s">
        <v>380</v>
      </c>
      <c r="BA158" s="1623">
        <v>0.33333333333333331</v>
      </c>
      <c r="BB158" s="1623">
        <v>0.33333333333333331</v>
      </c>
      <c r="BC158" s="1623">
        <v>0.33333333333333331</v>
      </c>
      <c r="BD158" s="1623">
        <v>0.33333333333333331</v>
      </c>
      <c r="BE158" s="1623">
        <v>0.33333333333333331</v>
      </c>
      <c r="BF158" s="1623">
        <v>0.33333333333333331</v>
      </c>
      <c r="BG158" s="1623">
        <v>0.33333333333333331</v>
      </c>
      <c r="BH158" s="1623">
        <v>0.33333333333333331</v>
      </c>
      <c r="BI158" s="1623">
        <v>0.33333333333333331</v>
      </c>
      <c r="BJ158" s="1623">
        <v>0.33333333333333331</v>
      </c>
      <c r="BK158" s="1870"/>
      <c r="BL158" s="1715"/>
      <c r="BM158" s="1715"/>
      <c r="BO158" s="1647" t="s">
        <v>1608</v>
      </c>
      <c r="BP158" s="1693" t="s">
        <v>378</v>
      </c>
      <c r="BQ158" s="2064" t="s">
        <v>380</v>
      </c>
      <c r="BR158" s="1623">
        <v>0.33333333333333331</v>
      </c>
      <c r="BS158" s="1623">
        <v>0.33333333333333331</v>
      </c>
      <c r="BT158" s="1623">
        <v>0.33333333333333331</v>
      </c>
      <c r="BU158" s="1623">
        <v>0.33333333333333331</v>
      </c>
      <c r="BV158" s="1623">
        <v>0.33333333333333331</v>
      </c>
      <c r="BW158" s="1623">
        <v>0.33333333333333331</v>
      </c>
      <c r="BX158" s="1623">
        <v>0.33333333333333331</v>
      </c>
      <c r="BY158" s="1623">
        <v>0.33333333333333331</v>
      </c>
      <c r="BZ158" s="1623">
        <v>0.33333333333333331</v>
      </c>
      <c r="CA158" s="1623">
        <v>0.33333333333333331</v>
      </c>
      <c r="CB158" s="1870"/>
      <c r="CC158" s="1715"/>
      <c r="CD158" s="1715"/>
    </row>
    <row r="159" spans="1:83" s="1605" customFormat="1">
      <c r="A159"/>
      <c r="B159" s="1597" t="str">
        <f t="shared" si="143"/>
        <v>LR3</v>
      </c>
      <c r="C159" s="1598" t="str">
        <f t="shared" si="140"/>
        <v>敷地外環境</v>
      </c>
      <c r="D159" s="2091">
        <f>IF(I$116=0,0,G159/I$116)</f>
        <v>0.3</v>
      </c>
      <c r="E159" s="2057">
        <f>IF(J$116=0,0,H159/J$116)</f>
        <v>0</v>
      </c>
      <c r="F159"/>
      <c r="G159" s="2057">
        <f t="shared" si="138"/>
        <v>0.3</v>
      </c>
      <c r="H159" s="2057">
        <f t="shared" si="139"/>
        <v>0</v>
      </c>
      <c r="I159" s="2057">
        <f>G160+G161+G169</f>
        <v>1</v>
      </c>
      <c r="J159" s="2057">
        <f>H160+H161+H169</f>
        <v>0</v>
      </c>
      <c r="K159" s="2057">
        <f>IF(スコア表示!W159=0,0,1)</f>
        <v>1</v>
      </c>
      <c r="L159" s="2057">
        <f>IF(スコア表示!AA159=0,0,1)</f>
        <v>0</v>
      </c>
      <c r="M159" s="2057">
        <f t="shared" si="141"/>
        <v>0.3</v>
      </c>
      <c r="N159" s="2057">
        <f t="shared" si="145"/>
        <v>0</v>
      </c>
      <c r="O159"/>
      <c r="P159" s="1598" t="str">
        <f t="shared" si="146"/>
        <v>LR3</v>
      </c>
      <c r="Q159" s="1598" t="str">
        <f t="shared" si="147"/>
        <v>LR</v>
      </c>
      <c r="R159" s="2058" t="str">
        <f t="shared" si="142"/>
        <v>敷地外環境</v>
      </c>
      <c r="S159" s="1603">
        <f t="shared" si="110"/>
        <v>0.3</v>
      </c>
      <c r="T159" s="1603">
        <f t="shared" si="111"/>
        <v>0.3</v>
      </c>
      <c r="U159" s="1603">
        <f t="shared" si="112"/>
        <v>0.3</v>
      </c>
      <c r="V159" s="1603">
        <f t="shared" si="113"/>
        <v>0.3</v>
      </c>
      <c r="W159" s="1603">
        <f t="shared" si="114"/>
        <v>0.3</v>
      </c>
      <c r="X159" s="1603">
        <f t="shared" si="115"/>
        <v>0.3</v>
      </c>
      <c r="Y159" s="1603">
        <f t="shared" si="116"/>
        <v>0.3</v>
      </c>
      <c r="Z159" s="1603">
        <f t="shared" si="117"/>
        <v>0.3</v>
      </c>
      <c r="AA159" s="1603">
        <f t="shared" si="118"/>
        <v>0.3</v>
      </c>
      <c r="AB159" s="1603">
        <f t="shared" si="119"/>
        <v>0.3</v>
      </c>
      <c r="AC159" s="1683">
        <f t="shared" si="149"/>
        <v>0</v>
      </c>
      <c r="AD159" s="1684">
        <f t="shared" si="150"/>
        <v>0</v>
      </c>
      <c r="AE159" s="1684">
        <f t="shared" si="151"/>
        <v>0</v>
      </c>
      <c r="AF159"/>
      <c r="AG159" s="1598" t="s">
        <v>1731</v>
      </c>
      <c r="AH159" s="2094" t="s">
        <v>1566</v>
      </c>
      <c r="AI159" s="2058" t="s">
        <v>1732</v>
      </c>
      <c r="AJ159" s="2060">
        <v>0.3</v>
      </c>
      <c r="AK159" s="2060">
        <v>0.3</v>
      </c>
      <c r="AL159" s="2060">
        <v>0.3</v>
      </c>
      <c r="AM159" s="2060">
        <v>0.3</v>
      </c>
      <c r="AN159" s="2060">
        <v>0.3</v>
      </c>
      <c r="AO159" s="2060">
        <v>0.3</v>
      </c>
      <c r="AP159" s="2060">
        <v>0.3</v>
      </c>
      <c r="AQ159" s="2060">
        <v>0.3</v>
      </c>
      <c r="AR159" s="2060">
        <v>0.3</v>
      </c>
      <c r="AS159" s="2060">
        <v>0.3</v>
      </c>
      <c r="AT159" s="2096">
        <v>0</v>
      </c>
      <c r="AU159" s="2097">
        <v>0</v>
      </c>
      <c r="AV159" s="2097">
        <v>0</v>
      </c>
      <c r="AW159"/>
      <c r="AX159" s="1598" t="s">
        <v>1609</v>
      </c>
      <c r="AY159" s="2094" t="s">
        <v>1567</v>
      </c>
      <c r="AZ159" s="2058" t="s">
        <v>1610</v>
      </c>
      <c r="BA159" s="2060">
        <v>0.3</v>
      </c>
      <c r="BB159" s="2060">
        <v>0.3</v>
      </c>
      <c r="BC159" s="2060">
        <v>0.3</v>
      </c>
      <c r="BD159" s="2060">
        <v>0.3</v>
      </c>
      <c r="BE159" s="2060">
        <v>0.3</v>
      </c>
      <c r="BF159" s="2060">
        <v>0.3</v>
      </c>
      <c r="BG159" s="2060">
        <v>0.3</v>
      </c>
      <c r="BH159" s="2060">
        <v>0.3</v>
      </c>
      <c r="BI159" s="2060">
        <v>0.3</v>
      </c>
      <c r="BJ159" s="2060">
        <v>0.3</v>
      </c>
      <c r="BK159" s="2096"/>
      <c r="BL159" s="2097"/>
      <c r="BM159" s="2097"/>
      <c r="BN159"/>
      <c r="BO159" s="1598" t="s">
        <v>1609</v>
      </c>
      <c r="BP159" s="2094" t="s">
        <v>1567</v>
      </c>
      <c r="BQ159" s="2058" t="s">
        <v>1610</v>
      </c>
      <c r="BR159" s="2060">
        <v>0.3</v>
      </c>
      <c r="BS159" s="2060">
        <v>0.3</v>
      </c>
      <c r="BT159" s="2060">
        <v>0.3</v>
      </c>
      <c r="BU159" s="2060">
        <v>0.3</v>
      </c>
      <c r="BV159" s="2060">
        <v>0.3</v>
      </c>
      <c r="BW159" s="2060">
        <v>0.3</v>
      </c>
      <c r="BX159" s="2060">
        <v>0.3</v>
      </c>
      <c r="BY159" s="2060">
        <v>0.3</v>
      </c>
      <c r="BZ159" s="2060">
        <v>0.3</v>
      </c>
      <c r="CA159" s="2060">
        <v>0.3</v>
      </c>
      <c r="CB159" s="2096"/>
      <c r="CC159" s="2097"/>
      <c r="CD159" s="2097"/>
      <c r="CE159"/>
    </row>
    <row r="160" spans="1:83" s="1605" customFormat="1">
      <c r="A160"/>
      <c r="B160" s="2059">
        <f t="shared" si="143"/>
        <v>1</v>
      </c>
      <c r="C160" s="1641" t="str">
        <f t="shared" si="140"/>
        <v>地球温暖化への配慮</v>
      </c>
      <c r="D160" s="2062">
        <f>IF(I$159=0,0,G160/I$159)</f>
        <v>0.33333333333333331</v>
      </c>
      <c r="E160" s="2062">
        <f>IF(J$159=0,0,H160/J$159)</f>
        <v>0</v>
      </c>
      <c r="F160"/>
      <c r="G160" s="1743">
        <f t="shared" si="138"/>
        <v>0.33333333333333331</v>
      </c>
      <c r="H160" s="1743">
        <f t="shared" si="139"/>
        <v>0</v>
      </c>
      <c r="I160" s="1743"/>
      <c r="J160" s="1743"/>
      <c r="K160" s="1743">
        <f>IF(スコア表示!W160=0,0,1)</f>
        <v>1</v>
      </c>
      <c r="L160" s="1743">
        <f>IF(スコア表示!AA160=0,0,1)</f>
        <v>0</v>
      </c>
      <c r="M160" s="1743">
        <f t="shared" si="141"/>
        <v>0.33333333333333331</v>
      </c>
      <c r="N160" s="1743">
        <f t="shared" si="145"/>
        <v>0</v>
      </c>
      <c r="O160"/>
      <c r="P160" s="2101">
        <f t="shared" si="146"/>
        <v>1</v>
      </c>
      <c r="Q160" s="1744" t="str">
        <f t="shared" si="147"/>
        <v>LR3</v>
      </c>
      <c r="R160" s="1780" t="str">
        <f t="shared" si="142"/>
        <v>地球温暖化への配慮</v>
      </c>
      <c r="S160" s="1711">
        <f t="shared" ref="S160:S180" si="152">IF($P$3=1,BA160,IF($P$3=2,BR160,AJ160))</f>
        <v>0.33333333333333331</v>
      </c>
      <c r="T160" s="1711">
        <f t="shared" ref="T160:T180" si="153">IF($P$3=1,BB160,IF($P$3=2,BS160,AK160))</f>
        <v>0.33333333333333331</v>
      </c>
      <c r="U160" s="1711">
        <f t="shared" ref="U160:U180" si="154">IF($P$3=1,BC160,IF($P$3=2,BT160,AL160))</f>
        <v>0.33333333333333331</v>
      </c>
      <c r="V160" s="1711">
        <f t="shared" ref="V160:V180" si="155">IF($P$3=1,BD160,IF($P$3=2,BU160,AM160))</f>
        <v>0.33333333333333331</v>
      </c>
      <c r="W160" s="1711">
        <f t="shared" ref="W160:W180" si="156">IF($P$3=1,BE160,IF($P$3=2,BV160,AN160))</f>
        <v>0.33333333333333331</v>
      </c>
      <c r="X160" s="1711">
        <f t="shared" ref="X160:X180" si="157">IF($P$3=1,BF160,IF($P$3=2,BW160,AO160))</f>
        <v>0.33333333333333331</v>
      </c>
      <c r="Y160" s="1711">
        <f t="shared" ref="Y160:Y180" si="158">IF($P$3=1,BG160,IF($P$3=2,BX160,AP160))</f>
        <v>0.33333333333333331</v>
      </c>
      <c r="Z160" s="1711">
        <f t="shared" ref="Z160:Z180" si="159">IF($P$3=1,BH160,IF($P$3=2,BY160,AQ160))</f>
        <v>0.33333333333333331</v>
      </c>
      <c r="AA160" s="1711">
        <f t="shared" ref="AA160:AA180" si="160">IF($P$3=1,BI160,IF($P$3=2,BZ160,AR160))</f>
        <v>0.33333333333333331</v>
      </c>
      <c r="AB160" s="1711">
        <f t="shared" ref="AB160:AB180" si="161">IF($P$3=1,BJ160,IF($P$3=2,CA160,AS160))</f>
        <v>0.33333333333333331</v>
      </c>
      <c r="AC160" s="1659">
        <f t="shared" si="149"/>
        <v>0</v>
      </c>
      <c r="AD160" s="1610">
        <f t="shared" si="150"/>
        <v>0</v>
      </c>
      <c r="AE160" s="1610">
        <f t="shared" si="151"/>
        <v>0</v>
      </c>
      <c r="AF160"/>
      <c r="AG160" s="1641">
        <v>1</v>
      </c>
      <c r="AH160" s="1744" t="s">
        <v>381</v>
      </c>
      <c r="AI160" s="1780" t="s">
        <v>1149</v>
      </c>
      <c r="AJ160" s="1711">
        <v>0.33333333333333331</v>
      </c>
      <c r="AK160" s="1711">
        <v>0.33333333333333331</v>
      </c>
      <c r="AL160" s="1711">
        <v>0.33333333333333331</v>
      </c>
      <c r="AM160" s="1711">
        <v>0.33333333333333331</v>
      </c>
      <c r="AN160" s="1711">
        <v>0.33333333333333331</v>
      </c>
      <c r="AO160" s="1711">
        <v>0.33333333333333331</v>
      </c>
      <c r="AP160" s="1711">
        <v>0.33333333333333331</v>
      </c>
      <c r="AQ160" s="1711">
        <v>0.33333333333333331</v>
      </c>
      <c r="AR160" s="1711">
        <v>0.33333333333333331</v>
      </c>
      <c r="AS160" s="1711">
        <v>0.33333333333333331</v>
      </c>
      <c r="AT160" s="2063">
        <v>0</v>
      </c>
      <c r="AU160" s="1711">
        <v>0</v>
      </c>
      <c r="AV160" s="1711">
        <v>0</v>
      </c>
      <c r="AW160"/>
      <c r="AX160" s="1641">
        <v>1</v>
      </c>
      <c r="AY160" s="1744" t="s">
        <v>381</v>
      </c>
      <c r="AZ160" s="1780" t="s">
        <v>1149</v>
      </c>
      <c r="BA160" s="1711">
        <f t="shared" ref="BA160:BJ161" si="162">1/3</f>
        <v>0.33333333333333331</v>
      </c>
      <c r="BB160" s="1711">
        <f t="shared" si="162"/>
        <v>0.33333333333333331</v>
      </c>
      <c r="BC160" s="1711">
        <f t="shared" si="162"/>
        <v>0.33333333333333331</v>
      </c>
      <c r="BD160" s="1711">
        <f t="shared" si="162"/>
        <v>0.33333333333333331</v>
      </c>
      <c r="BE160" s="1711">
        <f t="shared" si="162"/>
        <v>0.33333333333333331</v>
      </c>
      <c r="BF160" s="1711">
        <f t="shared" si="162"/>
        <v>0.33333333333333331</v>
      </c>
      <c r="BG160" s="1711">
        <f t="shared" si="162"/>
        <v>0.33333333333333331</v>
      </c>
      <c r="BH160" s="1711">
        <f t="shared" si="162"/>
        <v>0.33333333333333331</v>
      </c>
      <c r="BI160" s="1711">
        <f t="shared" si="162"/>
        <v>0.33333333333333331</v>
      </c>
      <c r="BJ160" s="1711">
        <f t="shared" si="162"/>
        <v>0.33333333333333331</v>
      </c>
      <c r="BK160" s="2063"/>
      <c r="BL160" s="1711"/>
      <c r="BM160" s="1711"/>
      <c r="BN160"/>
      <c r="BO160" s="1641">
        <v>1</v>
      </c>
      <c r="BP160" s="1744" t="s">
        <v>381</v>
      </c>
      <c r="BQ160" s="1780" t="s">
        <v>1149</v>
      </c>
      <c r="BR160" s="1711">
        <f t="shared" ref="BR160:CA161" si="163">1/3</f>
        <v>0.33333333333333331</v>
      </c>
      <c r="BS160" s="1711">
        <f t="shared" si="163"/>
        <v>0.33333333333333331</v>
      </c>
      <c r="BT160" s="1711">
        <f t="shared" si="163"/>
        <v>0.33333333333333331</v>
      </c>
      <c r="BU160" s="1711">
        <f t="shared" si="163"/>
        <v>0.33333333333333331</v>
      </c>
      <c r="BV160" s="1711">
        <f t="shared" si="163"/>
        <v>0.33333333333333331</v>
      </c>
      <c r="BW160" s="1711">
        <f t="shared" si="163"/>
        <v>0.33333333333333331</v>
      </c>
      <c r="BX160" s="1711">
        <f t="shared" si="163"/>
        <v>0.33333333333333331</v>
      </c>
      <c r="BY160" s="1711">
        <f t="shared" si="163"/>
        <v>0.33333333333333331</v>
      </c>
      <c r="BZ160" s="1711">
        <f t="shared" si="163"/>
        <v>0.33333333333333331</v>
      </c>
      <c r="CA160" s="1711">
        <f t="shared" si="163"/>
        <v>0.33333333333333331</v>
      </c>
      <c r="CB160" s="2063"/>
      <c r="CC160" s="1711"/>
      <c r="CD160" s="1711"/>
      <c r="CE160"/>
    </row>
    <row r="161" spans="1:83" s="1605" customFormat="1">
      <c r="A161"/>
      <c r="B161" s="1597">
        <f t="shared" si="143"/>
        <v>2</v>
      </c>
      <c r="C161" s="1641" t="str">
        <f t="shared" si="140"/>
        <v>地域環境への配慮</v>
      </c>
      <c r="D161" s="2062">
        <f>IF(I$159=0,0,G161/I$159)</f>
        <v>0.33333333333333331</v>
      </c>
      <c r="E161" s="2062">
        <f>IF(J$159=0,0,H161/J$159)</f>
        <v>0</v>
      </c>
      <c r="F161"/>
      <c r="G161" s="1743">
        <f t="shared" si="138"/>
        <v>0.33333333333333331</v>
      </c>
      <c r="H161" s="1743">
        <f t="shared" si="139"/>
        <v>0</v>
      </c>
      <c r="I161" s="1743">
        <f>G162+G163+G164</f>
        <v>1</v>
      </c>
      <c r="J161" s="1743">
        <f>H162+H163+H164</f>
        <v>0</v>
      </c>
      <c r="K161" s="1743">
        <f>IF(スコア表示!W161=0,0,1)</f>
        <v>1</v>
      </c>
      <c r="L161" s="1743">
        <f>IF(スコア表示!AA161=0,0,1)</f>
        <v>0</v>
      </c>
      <c r="M161" s="1743">
        <f t="shared" si="141"/>
        <v>0.33333333333333331</v>
      </c>
      <c r="N161" s="1743">
        <f t="shared" si="145"/>
        <v>0</v>
      </c>
      <c r="O161"/>
      <c r="P161" s="2101">
        <f t="shared" si="146"/>
        <v>2</v>
      </c>
      <c r="Q161" s="1744" t="str">
        <f t="shared" si="147"/>
        <v>LR3</v>
      </c>
      <c r="R161" s="1780" t="str">
        <f t="shared" si="142"/>
        <v>地域環境への配慮</v>
      </c>
      <c r="S161" s="1711">
        <f t="shared" si="152"/>
        <v>0.33333333333333331</v>
      </c>
      <c r="T161" s="1711">
        <f t="shared" si="153"/>
        <v>0.33333333333333331</v>
      </c>
      <c r="U161" s="1711">
        <f t="shared" si="154"/>
        <v>0.33333333333333331</v>
      </c>
      <c r="V161" s="1711">
        <f t="shared" si="155"/>
        <v>0.33333333333333331</v>
      </c>
      <c r="W161" s="1711">
        <f t="shared" si="156"/>
        <v>0.33333333333333331</v>
      </c>
      <c r="X161" s="1711">
        <f t="shared" si="157"/>
        <v>0.33333333333333331</v>
      </c>
      <c r="Y161" s="1711">
        <f t="shared" si="158"/>
        <v>0.33333333333333331</v>
      </c>
      <c r="Z161" s="1711">
        <f t="shared" si="159"/>
        <v>0.33333333333333331</v>
      </c>
      <c r="AA161" s="1711">
        <f t="shared" si="160"/>
        <v>0.33333333333333331</v>
      </c>
      <c r="AB161" s="1711">
        <f t="shared" si="161"/>
        <v>0.33333333333333331</v>
      </c>
      <c r="AC161" s="1659">
        <f t="shared" si="149"/>
        <v>0</v>
      </c>
      <c r="AD161" s="1610">
        <f t="shared" si="150"/>
        <v>0</v>
      </c>
      <c r="AE161" s="1610">
        <f t="shared" si="151"/>
        <v>0</v>
      </c>
      <c r="AF161"/>
      <c r="AG161" s="1641">
        <v>2</v>
      </c>
      <c r="AH161" s="1744" t="s">
        <v>381</v>
      </c>
      <c r="AI161" s="1780" t="s">
        <v>1150</v>
      </c>
      <c r="AJ161" s="1711">
        <v>0.33333333333333331</v>
      </c>
      <c r="AK161" s="1711">
        <v>0.33333333333333331</v>
      </c>
      <c r="AL161" s="1711">
        <v>0.33333333333333331</v>
      </c>
      <c r="AM161" s="1711">
        <v>0.33333333333333331</v>
      </c>
      <c r="AN161" s="1711">
        <v>0.33333333333333331</v>
      </c>
      <c r="AO161" s="1711">
        <v>0.33333333333333331</v>
      </c>
      <c r="AP161" s="1711">
        <v>0.33333333333333331</v>
      </c>
      <c r="AQ161" s="1711">
        <v>0.33333333333333331</v>
      </c>
      <c r="AR161" s="1711">
        <v>0.33333333333333331</v>
      </c>
      <c r="AS161" s="1711">
        <v>0.33333333333333331</v>
      </c>
      <c r="AT161" s="2063">
        <v>0</v>
      </c>
      <c r="AU161" s="1711">
        <v>0</v>
      </c>
      <c r="AV161" s="1711">
        <v>0</v>
      </c>
      <c r="AW161"/>
      <c r="AX161" s="1641">
        <v>2</v>
      </c>
      <c r="AY161" s="1744" t="s">
        <v>381</v>
      </c>
      <c r="AZ161" s="1780" t="s">
        <v>1150</v>
      </c>
      <c r="BA161" s="1711">
        <f t="shared" si="162"/>
        <v>0.33333333333333331</v>
      </c>
      <c r="BB161" s="1711">
        <f t="shared" si="162"/>
        <v>0.33333333333333331</v>
      </c>
      <c r="BC161" s="1711">
        <f t="shared" si="162"/>
        <v>0.33333333333333331</v>
      </c>
      <c r="BD161" s="1711">
        <f t="shared" si="162"/>
        <v>0.33333333333333331</v>
      </c>
      <c r="BE161" s="1711">
        <f t="shared" si="162"/>
        <v>0.33333333333333331</v>
      </c>
      <c r="BF161" s="1711">
        <f t="shared" si="162"/>
        <v>0.33333333333333331</v>
      </c>
      <c r="BG161" s="1711">
        <f t="shared" si="162"/>
        <v>0.33333333333333331</v>
      </c>
      <c r="BH161" s="1711">
        <f t="shared" si="162"/>
        <v>0.33333333333333331</v>
      </c>
      <c r="BI161" s="1711">
        <f t="shared" si="162"/>
        <v>0.33333333333333331</v>
      </c>
      <c r="BJ161" s="1711">
        <f t="shared" si="162"/>
        <v>0.33333333333333331</v>
      </c>
      <c r="BK161" s="2063"/>
      <c r="BL161" s="1711"/>
      <c r="BM161" s="1711"/>
      <c r="BN161"/>
      <c r="BO161" s="1641">
        <v>2</v>
      </c>
      <c r="BP161" s="1744" t="s">
        <v>381</v>
      </c>
      <c r="BQ161" s="1780" t="s">
        <v>1150</v>
      </c>
      <c r="BR161" s="1711">
        <f t="shared" si="163"/>
        <v>0.33333333333333331</v>
      </c>
      <c r="BS161" s="1711">
        <f t="shared" si="163"/>
        <v>0.33333333333333331</v>
      </c>
      <c r="BT161" s="1711">
        <f t="shared" si="163"/>
        <v>0.33333333333333331</v>
      </c>
      <c r="BU161" s="1711">
        <f t="shared" si="163"/>
        <v>0.33333333333333331</v>
      </c>
      <c r="BV161" s="1711">
        <f t="shared" si="163"/>
        <v>0.33333333333333331</v>
      </c>
      <c r="BW161" s="1711">
        <f t="shared" si="163"/>
        <v>0.33333333333333331</v>
      </c>
      <c r="BX161" s="1711">
        <f t="shared" si="163"/>
        <v>0.33333333333333331</v>
      </c>
      <c r="BY161" s="1711">
        <f t="shared" si="163"/>
        <v>0.33333333333333331</v>
      </c>
      <c r="BZ161" s="1711">
        <f t="shared" si="163"/>
        <v>0.33333333333333331</v>
      </c>
      <c r="CA161" s="1711">
        <f t="shared" si="163"/>
        <v>0.33333333333333331</v>
      </c>
      <c r="CB161" s="2063"/>
      <c r="CC161" s="1711"/>
      <c r="CD161" s="1711"/>
      <c r="CE161"/>
    </row>
    <row r="162" spans="1:83">
      <c r="B162" s="1597" t="str">
        <f t="shared" si="143"/>
        <v>2.1</v>
      </c>
      <c r="C162" s="1734" t="str">
        <f t="shared" si="140"/>
        <v>大気汚染防止</v>
      </c>
      <c r="D162" s="1716">
        <f t="shared" ref="D162:E164" si="164">IF(I$161=0,0,G162/I$161)</f>
        <v>0.25</v>
      </c>
      <c r="E162" s="1716">
        <f t="shared" si="164"/>
        <v>0</v>
      </c>
      <c r="G162" s="1691">
        <f t="shared" si="138"/>
        <v>0.25</v>
      </c>
      <c r="H162" s="1691">
        <f t="shared" si="139"/>
        <v>0</v>
      </c>
      <c r="I162" s="1691"/>
      <c r="J162" s="1691"/>
      <c r="K162" s="1691">
        <f>IF(スコア表示!W162=0,0,1)</f>
        <v>1</v>
      </c>
      <c r="L162" s="1691">
        <f>IF(スコア表示!AA162=0,0,1)</f>
        <v>0</v>
      </c>
      <c r="M162" s="1691">
        <f t="shared" si="141"/>
        <v>0.25</v>
      </c>
      <c r="N162" s="1691">
        <f t="shared" si="145"/>
        <v>0</v>
      </c>
      <c r="P162" s="2102" t="str">
        <f t="shared" si="146"/>
        <v>2.1</v>
      </c>
      <c r="Q162" s="1693" t="str">
        <f t="shared" si="147"/>
        <v>LR3 2</v>
      </c>
      <c r="R162" s="1737" t="str">
        <f t="shared" si="142"/>
        <v>大気汚染防止</v>
      </c>
      <c r="S162" s="1623">
        <f t="shared" si="152"/>
        <v>0.25</v>
      </c>
      <c r="T162" s="1623">
        <f t="shared" si="153"/>
        <v>0.25</v>
      </c>
      <c r="U162" s="1623">
        <f t="shared" si="154"/>
        <v>0.25</v>
      </c>
      <c r="V162" s="1623">
        <f t="shared" si="155"/>
        <v>0.25</v>
      </c>
      <c r="W162" s="1623">
        <f t="shared" si="156"/>
        <v>0.25</v>
      </c>
      <c r="X162" s="1623">
        <f t="shared" si="157"/>
        <v>0.25</v>
      </c>
      <c r="Y162" s="1623">
        <f t="shared" si="158"/>
        <v>0.25</v>
      </c>
      <c r="Z162" s="1623">
        <f t="shared" si="159"/>
        <v>0.25</v>
      </c>
      <c r="AA162" s="1623">
        <f t="shared" si="160"/>
        <v>0.25</v>
      </c>
      <c r="AB162" s="1623">
        <f t="shared" si="161"/>
        <v>0.25</v>
      </c>
      <c r="AC162" s="1619">
        <f t="shared" si="149"/>
        <v>0</v>
      </c>
      <c r="AD162" s="1618">
        <f t="shared" si="150"/>
        <v>0</v>
      </c>
      <c r="AE162" s="1618">
        <f t="shared" si="151"/>
        <v>0</v>
      </c>
      <c r="AG162" s="1630" t="s">
        <v>1571</v>
      </c>
      <c r="AH162" s="1693" t="s">
        <v>382</v>
      </c>
      <c r="AI162" s="1737" t="s">
        <v>1151</v>
      </c>
      <c r="AJ162" s="1623">
        <v>0.25</v>
      </c>
      <c r="AK162" s="1623">
        <v>0.25</v>
      </c>
      <c r="AL162" s="1623">
        <v>0.25</v>
      </c>
      <c r="AM162" s="1623">
        <v>0.25</v>
      </c>
      <c r="AN162" s="1623">
        <v>0.25</v>
      </c>
      <c r="AO162" s="1623">
        <v>0.25</v>
      </c>
      <c r="AP162" s="1623">
        <v>0.25</v>
      </c>
      <c r="AQ162" s="1623">
        <v>0.25</v>
      </c>
      <c r="AR162" s="1623">
        <v>0.25</v>
      </c>
      <c r="AS162" s="1623">
        <v>0.25</v>
      </c>
      <c r="AT162" s="1625"/>
      <c r="AU162" s="1623"/>
      <c r="AV162" s="1623"/>
      <c r="AX162" s="1630" t="s">
        <v>1571</v>
      </c>
      <c r="AY162" s="1693" t="s">
        <v>382</v>
      </c>
      <c r="AZ162" s="1737" t="s">
        <v>1151</v>
      </c>
      <c r="BA162" s="1623">
        <v>0.25</v>
      </c>
      <c r="BB162" s="1623">
        <v>0.25</v>
      </c>
      <c r="BC162" s="1623">
        <v>0.25</v>
      </c>
      <c r="BD162" s="1623">
        <v>0.25</v>
      </c>
      <c r="BE162" s="1623">
        <v>0.25</v>
      </c>
      <c r="BF162" s="1623">
        <v>0.25</v>
      </c>
      <c r="BG162" s="1623">
        <v>0.25</v>
      </c>
      <c r="BH162" s="1623">
        <v>0.25</v>
      </c>
      <c r="BI162" s="1623">
        <v>0.25</v>
      </c>
      <c r="BJ162" s="1623">
        <v>0.25</v>
      </c>
      <c r="BK162" s="1625"/>
      <c r="BL162" s="1623"/>
      <c r="BM162" s="1623"/>
      <c r="BO162" s="1630" t="s">
        <v>1657</v>
      </c>
      <c r="BP162" s="1693" t="s">
        <v>382</v>
      </c>
      <c r="BQ162" s="1737" t="s">
        <v>1151</v>
      </c>
      <c r="BR162" s="1623">
        <v>0.25</v>
      </c>
      <c r="BS162" s="1623">
        <v>0.25</v>
      </c>
      <c r="BT162" s="1623">
        <v>0.25</v>
      </c>
      <c r="BU162" s="1623">
        <v>0.25</v>
      </c>
      <c r="BV162" s="1623">
        <v>0.25</v>
      </c>
      <c r="BW162" s="1623">
        <v>0.25</v>
      </c>
      <c r="BX162" s="1623">
        <v>0.25</v>
      </c>
      <c r="BY162" s="1623">
        <v>0.25</v>
      </c>
      <c r="BZ162" s="1623">
        <v>0.25</v>
      </c>
      <c r="CA162" s="1623">
        <v>0.25</v>
      </c>
      <c r="CB162" s="1625"/>
      <c r="CC162" s="1623"/>
      <c r="CD162" s="1623"/>
    </row>
    <row r="163" spans="1:83">
      <c r="B163" s="1597" t="str">
        <f t="shared" si="143"/>
        <v>2.2</v>
      </c>
      <c r="C163" s="1734" t="str">
        <f t="shared" si="140"/>
        <v>温熱環境悪化の改善</v>
      </c>
      <c r="D163" s="1716">
        <f t="shared" si="164"/>
        <v>0.5</v>
      </c>
      <c r="E163" s="1716">
        <f t="shared" si="164"/>
        <v>0</v>
      </c>
      <c r="G163" s="1691">
        <f t="shared" si="138"/>
        <v>0.5</v>
      </c>
      <c r="H163" s="1691">
        <f t="shared" si="139"/>
        <v>0</v>
      </c>
      <c r="I163" s="1691"/>
      <c r="J163" s="1691"/>
      <c r="K163" s="1691">
        <f>IF(スコア表示!W163=0,0,1)</f>
        <v>1</v>
      </c>
      <c r="L163" s="1691">
        <f>IF(スコア表示!AA163=0,0,1)</f>
        <v>0</v>
      </c>
      <c r="M163" s="1691">
        <f t="shared" si="141"/>
        <v>0.5</v>
      </c>
      <c r="N163" s="1691">
        <f t="shared" si="145"/>
        <v>0</v>
      </c>
      <c r="P163" s="2102" t="str">
        <f t="shared" si="146"/>
        <v>2.2</v>
      </c>
      <c r="Q163" s="1693" t="str">
        <f t="shared" si="147"/>
        <v>LR3 2</v>
      </c>
      <c r="R163" s="1737" t="str">
        <f t="shared" si="142"/>
        <v>温熱環境悪化の改善</v>
      </c>
      <c r="S163" s="2087">
        <f t="shared" si="152"/>
        <v>0.5</v>
      </c>
      <c r="T163" s="2087">
        <f t="shared" si="153"/>
        <v>0.5</v>
      </c>
      <c r="U163" s="2087">
        <f t="shared" si="154"/>
        <v>0.5</v>
      </c>
      <c r="V163" s="2087">
        <f t="shared" si="155"/>
        <v>0.5</v>
      </c>
      <c r="W163" s="2087">
        <f t="shared" si="156"/>
        <v>0.5</v>
      </c>
      <c r="X163" s="2087">
        <f t="shared" si="157"/>
        <v>0.5</v>
      </c>
      <c r="Y163" s="2087">
        <f t="shared" si="158"/>
        <v>0.5</v>
      </c>
      <c r="Z163" s="2087">
        <f t="shared" si="159"/>
        <v>0.5</v>
      </c>
      <c r="AA163" s="2087">
        <f t="shared" si="160"/>
        <v>0.5</v>
      </c>
      <c r="AB163" s="2087">
        <f t="shared" si="161"/>
        <v>0.5</v>
      </c>
      <c r="AC163" s="1662">
        <f t="shared" si="149"/>
        <v>0</v>
      </c>
      <c r="AD163" s="1661">
        <f t="shared" si="150"/>
        <v>0</v>
      </c>
      <c r="AE163" s="1661">
        <f t="shared" si="151"/>
        <v>0</v>
      </c>
      <c r="AG163" s="1630" t="s">
        <v>1573</v>
      </c>
      <c r="AH163" s="1693" t="s">
        <v>382</v>
      </c>
      <c r="AI163" s="1737" t="s">
        <v>1611</v>
      </c>
      <c r="AJ163" s="2087">
        <v>0.5</v>
      </c>
      <c r="AK163" s="2087">
        <v>0.5</v>
      </c>
      <c r="AL163" s="2087">
        <v>0.5</v>
      </c>
      <c r="AM163" s="2087">
        <v>0.5</v>
      </c>
      <c r="AN163" s="2087">
        <v>0.5</v>
      </c>
      <c r="AO163" s="2087">
        <v>0.5</v>
      </c>
      <c r="AP163" s="2087">
        <v>0.5</v>
      </c>
      <c r="AQ163" s="2087">
        <v>0.5</v>
      </c>
      <c r="AR163" s="2087">
        <v>0.5</v>
      </c>
      <c r="AS163" s="2087">
        <v>0.5</v>
      </c>
      <c r="AT163" s="2088"/>
      <c r="AU163" s="2087"/>
      <c r="AV163" s="2087"/>
      <c r="AX163" s="1630" t="s">
        <v>1573</v>
      </c>
      <c r="AY163" s="1693" t="s">
        <v>382</v>
      </c>
      <c r="AZ163" s="1737" t="s">
        <v>1611</v>
      </c>
      <c r="BA163" s="2087">
        <v>0.5</v>
      </c>
      <c r="BB163" s="2087">
        <v>0.5</v>
      </c>
      <c r="BC163" s="2087">
        <v>0.5</v>
      </c>
      <c r="BD163" s="2087">
        <v>0.5</v>
      </c>
      <c r="BE163" s="2087">
        <v>0.5</v>
      </c>
      <c r="BF163" s="2087">
        <v>0.5</v>
      </c>
      <c r="BG163" s="2087">
        <v>0.5</v>
      </c>
      <c r="BH163" s="2087">
        <v>0.5</v>
      </c>
      <c r="BI163" s="2087">
        <v>0.5</v>
      </c>
      <c r="BJ163" s="2087">
        <v>0.5</v>
      </c>
      <c r="BK163" s="2088"/>
      <c r="BL163" s="2087"/>
      <c r="BM163" s="2087"/>
      <c r="BO163" s="1630" t="s">
        <v>1658</v>
      </c>
      <c r="BP163" s="1693" t="s">
        <v>382</v>
      </c>
      <c r="BQ163" s="1737" t="s">
        <v>1659</v>
      </c>
      <c r="BR163" s="2087">
        <v>0.5</v>
      </c>
      <c r="BS163" s="2087">
        <v>0.5</v>
      </c>
      <c r="BT163" s="2087">
        <v>0.5</v>
      </c>
      <c r="BU163" s="2087">
        <v>0.5</v>
      </c>
      <c r="BV163" s="2087">
        <v>0.5</v>
      </c>
      <c r="BW163" s="2087">
        <v>0.5</v>
      </c>
      <c r="BX163" s="2087">
        <v>0.5</v>
      </c>
      <c r="BY163" s="2087">
        <v>0.5</v>
      </c>
      <c r="BZ163" s="2087">
        <v>0.5</v>
      </c>
      <c r="CA163" s="2087">
        <v>0.5</v>
      </c>
      <c r="CB163" s="2088"/>
      <c r="CC163" s="2087"/>
      <c r="CD163" s="2087"/>
    </row>
    <row r="164" spans="1:83">
      <c r="B164" s="1597" t="str">
        <f t="shared" si="143"/>
        <v>2.3</v>
      </c>
      <c r="C164" s="1734" t="str">
        <f t="shared" si="140"/>
        <v>地域インフラへの負荷抑制</v>
      </c>
      <c r="D164" s="1716">
        <f t="shared" si="164"/>
        <v>0.25</v>
      </c>
      <c r="E164" s="1716">
        <f t="shared" si="164"/>
        <v>0</v>
      </c>
      <c r="G164" s="1691">
        <f t="shared" si="138"/>
        <v>0.25</v>
      </c>
      <c r="H164" s="1691">
        <f t="shared" si="139"/>
        <v>0</v>
      </c>
      <c r="I164" s="1691">
        <f>SUM(G165:G168)</f>
        <v>1</v>
      </c>
      <c r="J164" s="1691">
        <f>SUM(H165:H168)</f>
        <v>0</v>
      </c>
      <c r="K164" s="1691">
        <f>IF(スコア表示!W164=0,0,1)</f>
        <v>1</v>
      </c>
      <c r="L164" s="1691">
        <f>IF(スコア表示!AA164=0,0,1)</f>
        <v>0</v>
      </c>
      <c r="M164" s="1691">
        <f t="shared" si="141"/>
        <v>0.25</v>
      </c>
      <c r="N164" s="1691">
        <f t="shared" si="145"/>
        <v>0</v>
      </c>
      <c r="P164" s="2102" t="str">
        <f t="shared" si="146"/>
        <v>2.3</v>
      </c>
      <c r="Q164" s="1693" t="str">
        <f t="shared" si="147"/>
        <v>LR3 2</v>
      </c>
      <c r="R164" s="1737" t="str">
        <f t="shared" si="142"/>
        <v>地域インフラへの負荷抑制</v>
      </c>
      <c r="S164" s="2087">
        <f t="shared" si="152"/>
        <v>0.25</v>
      </c>
      <c r="T164" s="2087">
        <f t="shared" si="153"/>
        <v>0.25</v>
      </c>
      <c r="U164" s="2087">
        <f t="shared" si="154"/>
        <v>0.25</v>
      </c>
      <c r="V164" s="2087">
        <f t="shared" si="155"/>
        <v>0.25</v>
      </c>
      <c r="W164" s="2087">
        <f t="shared" si="156"/>
        <v>0.25</v>
      </c>
      <c r="X164" s="2087">
        <f t="shared" si="157"/>
        <v>0.25</v>
      </c>
      <c r="Y164" s="2087">
        <f t="shared" si="158"/>
        <v>0.25</v>
      </c>
      <c r="Z164" s="2087">
        <f t="shared" si="159"/>
        <v>0.25</v>
      </c>
      <c r="AA164" s="2087">
        <f t="shared" si="160"/>
        <v>0.25</v>
      </c>
      <c r="AB164" s="2087">
        <f t="shared" si="161"/>
        <v>0.25</v>
      </c>
      <c r="AC164" s="1662">
        <f t="shared" si="149"/>
        <v>0</v>
      </c>
      <c r="AD164" s="1661">
        <f t="shared" si="150"/>
        <v>0</v>
      </c>
      <c r="AE164" s="1661">
        <f t="shared" si="151"/>
        <v>0</v>
      </c>
      <c r="AG164" s="1630" t="s">
        <v>1612</v>
      </c>
      <c r="AH164" s="1693" t="s">
        <v>382</v>
      </c>
      <c r="AI164" s="1737" t="s">
        <v>948</v>
      </c>
      <c r="AJ164" s="2087">
        <v>0.25</v>
      </c>
      <c r="AK164" s="2087">
        <v>0.25</v>
      </c>
      <c r="AL164" s="2087">
        <v>0.25</v>
      </c>
      <c r="AM164" s="2087">
        <v>0.25</v>
      </c>
      <c r="AN164" s="2087">
        <v>0.25</v>
      </c>
      <c r="AO164" s="2087">
        <v>0.25</v>
      </c>
      <c r="AP164" s="2087">
        <v>0.25</v>
      </c>
      <c r="AQ164" s="2087">
        <v>0.25</v>
      </c>
      <c r="AR164" s="2087">
        <v>0.25</v>
      </c>
      <c r="AS164" s="2087">
        <v>0.25</v>
      </c>
      <c r="AT164" s="2088"/>
      <c r="AU164" s="2087"/>
      <c r="AV164" s="2087"/>
      <c r="AX164" s="1630" t="s">
        <v>1612</v>
      </c>
      <c r="AY164" s="1693" t="s">
        <v>382</v>
      </c>
      <c r="AZ164" s="1737" t="s">
        <v>948</v>
      </c>
      <c r="BA164" s="2087">
        <v>0.25</v>
      </c>
      <c r="BB164" s="2087">
        <v>0.25</v>
      </c>
      <c r="BC164" s="2087">
        <v>0.25</v>
      </c>
      <c r="BD164" s="2087">
        <v>0.25</v>
      </c>
      <c r="BE164" s="2087">
        <v>0.25</v>
      </c>
      <c r="BF164" s="2087">
        <v>0.25</v>
      </c>
      <c r="BG164" s="2087">
        <v>0.25</v>
      </c>
      <c r="BH164" s="2087">
        <v>0.25</v>
      </c>
      <c r="BI164" s="2087">
        <v>0.25</v>
      </c>
      <c r="BJ164" s="2087">
        <v>0.25</v>
      </c>
      <c r="BK164" s="2088"/>
      <c r="BL164" s="2087"/>
      <c r="BM164" s="2087"/>
      <c r="BO164" s="1630" t="s">
        <v>1660</v>
      </c>
      <c r="BP164" s="1693" t="s">
        <v>382</v>
      </c>
      <c r="BQ164" s="1737" t="s">
        <v>948</v>
      </c>
      <c r="BR164" s="2087">
        <v>0.25</v>
      </c>
      <c r="BS164" s="2087">
        <v>0.25</v>
      </c>
      <c r="BT164" s="2087">
        <v>0.25</v>
      </c>
      <c r="BU164" s="2087">
        <v>0.25</v>
      </c>
      <c r="BV164" s="2087">
        <v>0.25</v>
      </c>
      <c r="BW164" s="2087">
        <v>0.25</v>
      </c>
      <c r="BX164" s="2087">
        <v>0.25</v>
      </c>
      <c r="BY164" s="2087">
        <v>0.25</v>
      </c>
      <c r="BZ164" s="2087">
        <v>0.25</v>
      </c>
      <c r="CA164" s="2087">
        <v>0.25</v>
      </c>
      <c r="CB164" s="2088"/>
      <c r="CC164" s="2087"/>
      <c r="CD164" s="2087"/>
    </row>
    <row r="165" spans="1:83">
      <c r="B165" s="1597" t="str">
        <f t="shared" si="143"/>
        <v>2.3.1</v>
      </c>
      <c r="C165" s="1647" t="str">
        <f t="shared" si="140"/>
        <v>雨水排水負荷低減</v>
      </c>
      <c r="D165" s="1716">
        <f t="shared" ref="D165:E168" si="165">IF(I$164=0,0,G165/I$164)</f>
        <v>0.25</v>
      </c>
      <c r="E165" s="1716">
        <f t="shared" si="165"/>
        <v>0</v>
      </c>
      <c r="G165" s="1691">
        <f t="shared" si="138"/>
        <v>0.25</v>
      </c>
      <c r="H165" s="1691">
        <f t="shared" si="139"/>
        <v>0</v>
      </c>
      <c r="I165" s="1691"/>
      <c r="J165" s="1691"/>
      <c r="K165" s="1691">
        <f>IF(スコア表示!W165=0,0,1)</f>
        <v>1</v>
      </c>
      <c r="L165" s="1691">
        <f>IF(スコア表示!AA165=0,0,1)</f>
        <v>0</v>
      </c>
      <c r="M165" s="1691">
        <f t="shared" si="141"/>
        <v>0.25</v>
      </c>
      <c r="N165" s="1691">
        <f t="shared" si="145"/>
        <v>0</v>
      </c>
      <c r="P165" s="1630" t="str">
        <f t="shared" si="146"/>
        <v>2.3.1</v>
      </c>
      <c r="Q165" s="1693" t="str">
        <f t="shared" si="147"/>
        <v>LR3 2.3</v>
      </c>
      <c r="R165" s="1694" t="str">
        <f t="shared" si="142"/>
        <v>雨水排水負荷低減</v>
      </c>
      <c r="S165" s="1623">
        <f t="shared" si="152"/>
        <v>0.25</v>
      </c>
      <c r="T165" s="1623">
        <f t="shared" si="153"/>
        <v>0.25</v>
      </c>
      <c r="U165" s="1623">
        <f t="shared" si="154"/>
        <v>0.25</v>
      </c>
      <c r="V165" s="1623">
        <f t="shared" si="155"/>
        <v>0.25</v>
      </c>
      <c r="W165" s="1623">
        <f t="shared" si="156"/>
        <v>0.25</v>
      </c>
      <c r="X165" s="1623">
        <f t="shared" si="157"/>
        <v>0.25</v>
      </c>
      <c r="Y165" s="1623">
        <f t="shared" si="158"/>
        <v>0.25</v>
      </c>
      <c r="Z165" s="1623">
        <f t="shared" si="159"/>
        <v>0.25</v>
      </c>
      <c r="AA165" s="1623">
        <f t="shared" si="160"/>
        <v>0.25</v>
      </c>
      <c r="AB165" s="1623">
        <f t="shared" si="161"/>
        <v>0.25</v>
      </c>
      <c r="AC165" s="1662">
        <f t="shared" si="149"/>
        <v>0</v>
      </c>
      <c r="AD165" s="1661">
        <f t="shared" si="150"/>
        <v>0</v>
      </c>
      <c r="AE165" s="1661">
        <f t="shared" si="151"/>
        <v>0</v>
      </c>
      <c r="AG165" s="1630" t="s">
        <v>1482</v>
      </c>
      <c r="AH165" s="1693" t="s">
        <v>383</v>
      </c>
      <c r="AI165" s="1694" t="s">
        <v>1613</v>
      </c>
      <c r="AJ165" s="1623">
        <v>0.25</v>
      </c>
      <c r="AK165" s="1623">
        <v>0.25</v>
      </c>
      <c r="AL165" s="1623">
        <v>0.25</v>
      </c>
      <c r="AM165" s="1623">
        <v>0.25</v>
      </c>
      <c r="AN165" s="1623">
        <v>0.25</v>
      </c>
      <c r="AO165" s="1623">
        <v>0.25</v>
      </c>
      <c r="AP165" s="1623">
        <v>0.25</v>
      </c>
      <c r="AQ165" s="1623">
        <v>0.25</v>
      </c>
      <c r="AR165" s="1623">
        <v>0.25</v>
      </c>
      <c r="AS165" s="1623">
        <v>0.25</v>
      </c>
      <c r="AT165" s="2088"/>
      <c r="AU165" s="2087"/>
      <c r="AV165" s="2087"/>
      <c r="AX165" s="1630" t="s">
        <v>1482</v>
      </c>
      <c r="AY165" s="1693" t="s">
        <v>383</v>
      </c>
      <c r="AZ165" s="1694" t="s">
        <v>1613</v>
      </c>
      <c r="BA165" s="1623">
        <v>0.25</v>
      </c>
      <c r="BB165" s="1623">
        <v>0.25</v>
      </c>
      <c r="BC165" s="1623">
        <v>0.25</v>
      </c>
      <c r="BD165" s="1623">
        <v>0.25</v>
      </c>
      <c r="BE165" s="1623">
        <v>0.25</v>
      </c>
      <c r="BF165" s="1623">
        <v>0.25</v>
      </c>
      <c r="BG165" s="1623">
        <v>0.25</v>
      </c>
      <c r="BH165" s="1623">
        <v>0.25</v>
      </c>
      <c r="BI165" s="1623">
        <v>0.25</v>
      </c>
      <c r="BJ165" s="1623">
        <v>0.25</v>
      </c>
      <c r="BK165" s="2088"/>
      <c r="BL165" s="2087"/>
      <c r="BM165" s="2087"/>
      <c r="BO165" s="1630" t="s">
        <v>1661</v>
      </c>
      <c r="BP165" s="1693" t="s">
        <v>383</v>
      </c>
      <c r="BQ165" s="1694" t="s">
        <v>1662</v>
      </c>
      <c r="BR165" s="1623">
        <v>0.25</v>
      </c>
      <c r="BS165" s="1623">
        <v>0.25</v>
      </c>
      <c r="BT165" s="1623">
        <v>0.25</v>
      </c>
      <c r="BU165" s="1623">
        <v>0.25</v>
      </c>
      <c r="BV165" s="1623">
        <v>0.25</v>
      </c>
      <c r="BW165" s="1623">
        <v>0.25</v>
      </c>
      <c r="BX165" s="1623">
        <v>0.25</v>
      </c>
      <c r="BY165" s="1623">
        <v>0.25</v>
      </c>
      <c r="BZ165" s="1623">
        <v>0.25</v>
      </c>
      <c r="CA165" s="1623">
        <v>0.25</v>
      </c>
      <c r="CB165" s="2088"/>
      <c r="CC165" s="2087"/>
      <c r="CD165" s="2087"/>
    </row>
    <row r="166" spans="1:83">
      <c r="B166" s="1597" t="str">
        <f t="shared" si="143"/>
        <v>2.3.2</v>
      </c>
      <c r="C166" s="1647" t="str">
        <f t="shared" si="140"/>
        <v>汚水処理負荷抑制</v>
      </c>
      <c r="D166" s="1716">
        <f t="shared" si="165"/>
        <v>0.25</v>
      </c>
      <c r="E166" s="1716">
        <f t="shared" si="165"/>
        <v>0</v>
      </c>
      <c r="G166" s="1691">
        <f t="shared" si="138"/>
        <v>0.25</v>
      </c>
      <c r="H166" s="1691">
        <f t="shared" si="139"/>
        <v>0</v>
      </c>
      <c r="I166" s="1691"/>
      <c r="J166" s="1691"/>
      <c r="K166" s="1691">
        <f>IF(スコア表示!W166=0,0,1)</f>
        <v>1</v>
      </c>
      <c r="L166" s="1691">
        <f>IF(スコア表示!AA166=0,0,1)</f>
        <v>0</v>
      </c>
      <c r="M166" s="1691">
        <f t="shared" si="141"/>
        <v>0.25</v>
      </c>
      <c r="N166" s="1691">
        <f t="shared" si="145"/>
        <v>0</v>
      </c>
      <c r="P166" s="1630" t="str">
        <f t="shared" si="146"/>
        <v>2.3.2</v>
      </c>
      <c r="Q166" s="1693" t="str">
        <f t="shared" si="147"/>
        <v>LR3 2.3</v>
      </c>
      <c r="R166" s="1694" t="str">
        <f t="shared" si="142"/>
        <v>汚水処理負荷抑制</v>
      </c>
      <c r="S166" s="1623">
        <f t="shared" si="152"/>
        <v>0.25</v>
      </c>
      <c r="T166" s="1623">
        <f t="shared" si="153"/>
        <v>0.25</v>
      </c>
      <c r="U166" s="1623">
        <f t="shared" si="154"/>
        <v>0.25</v>
      </c>
      <c r="V166" s="1623">
        <f t="shared" si="155"/>
        <v>0.25</v>
      </c>
      <c r="W166" s="1623">
        <f t="shared" si="156"/>
        <v>0.25</v>
      </c>
      <c r="X166" s="1623">
        <f t="shared" si="157"/>
        <v>0.25</v>
      </c>
      <c r="Y166" s="1623">
        <f t="shared" si="158"/>
        <v>0.25</v>
      </c>
      <c r="Z166" s="1623">
        <f t="shared" si="159"/>
        <v>0.25</v>
      </c>
      <c r="AA166" s="1623">
        <f t="shared" si="160"/>
        <v>0.25</v>
      </c>
      <c r="AB166" s="1623">
        <f t="shared" si="161"/>
        <v>0.25</v>
      </c>
      <c r="AC166" s="1662">
        <f t="shared" si="149"/>
        <v>0</v>
      </c>
      <c r="AD166" s="1661">
        <f t="shared" si="150"/>
        <v>0</v>
      </c>
      <c r="AE166" s="1661">
        <f t="shared" si="151"/>
        <v>0</v>
      </c>
      <c r="AG166" s="1630" t="s">
        <v>1484</v>
      </c>
      <c r="AH166" s="1693" t="s">
        <v>383</v>
      </c>
      <c r="AI166" s="1694" t="s">
        <v>1614</v>
      </c>
      <c r="AJ166" s="1623">
        <v>0.25</v>
      </c>
      <c r="AK166" s="1623">
        <v>0.25</v>
      </c>
      <c r="AL166" s="1623">
        <v>0.25</v>
      </c>
      <c r="AM166" s="1623">
        <v>0.25</v>
      </c>
      <c r="AN166" s="1623">
        <v>0.25</v>
      </c>
      <c r="AO166" s="1623">
        <v>0.25</v>
      </c>
      <c r="AP166" s="1623">
        <v>0.25</v>
      </c>
      <c r="AQ166" s="1623">
        <v>0.25</v>
      </c>
      <c r="AR166" s="1623">
        <v>0.25</v>
      </c>
      <c r="AS166" s="1623">
        <v>0.25</v>
      </c>
      <c r="AT166" s="2088"/>
      <c r="AU166" s="2087"/>
      <c r="AV166" s="2087"/>
      <c r="AX166" s="1630" t="s">
        <v>1484</v>
      </c>
      <c r="AY166" s="1693" t="s">
        <v>383</v>
      </c>
      <c r="AZ166" s="1694" t="s">
        <v>1614</v>
      </c>
      <c r="BA166" s="1623">
        <v>0.25</v>
      </c>
      <c r="BB166" s="1623">
        <v>0.25</v>
      </c>
      <c r="BC166" s="1623">
        <v>0.25</v>
      </c>
      <c r="BD166" s="1623">
        <v>0.25</v>
      </c>
      <c r="BE166" s="1623">
        <v>0.25</v>
      </c>
      <c r="BF166" s="1623">
        <v>0.25</v>
      </c>
      <c r="BG166" s="1623">
        <v>0.25</v>
      </c>
      <c r="BH166" s="1623">
        <v>0.25</v>
      </c>
      <c r="BI166" s="1623">
        <v>0.25</v>
      </c>
      <c r="BJ166" s="1623">
        <v>0.25</v>
      </c>
      <c r="BK166" s="2088"/>
      <c r="BL166" s="2087"/>
      <c r="BM166" s="2087"/>
      <c r="BO166" s="1630" t="s">
        <v>1663</v>
      </c>
      <c r="BP166" s="1693" t="s">
        <v>383</v>
      </c>
      <c r="BQ166" s="1694" t="s">
        <v>1664</v>
      </c>
      <c r="BR166" s="1623">
        <v>0.25</v>
      </c>
      <c r="BS166" s="1623">
        <v>0.25</v>
      </c>
      <c r="BT166" s="1623">
        <v>0.25</v>
      </c>
      <c r="BU166" s="1623">
        <v>0.25</v>
      </c>
      <c r="BV166" s="1623">
        <v>0.25</v>
      </c>
      <c r="BW166" s="1623">
        <v>0.25</v>
      </c>
      <c r="BX166" s="1623">
        <v>0.25</v>
      </c>
      <c r="BY166" s="1623">
        <v>0.25</v>
      </c>
      <c r="BZ166" s="1623">
        <v>0.25</v>
      </c>
      <c r="CA166" s="1623">
        <v>0.25</v>
      </c>
      <c r="CB166" s="2088"/>
      <c r="CC166" s="2087"/>
      <c r="CD166" s="2087"/>
    </row>
    <row r="167" spans="1:83">
      <c r="B167" s="1597" t="str">
        <f t="shared" si="143"/>
        <v>2.3.3</v>
      </c>
      <c r="C167" s="1647" t="str">
        <f t="shared" si="140"/>
        <v>交通負荷抑制</v>
      </c>
      <c r="D167" s="1716">
        <f t="shared" si="165"/>
        <v>0.25</v>
      </c>
      <c r="E167" s="1716">
        <f t="shared" si="165"/>
        <v>0</v>
      </c>
      <c r="G167" s="1691">
        <f t="shared" si="138"/>
        <v>0.25</v>
      </c>
      <c r="H167" s="1691">
        <f t="shared" si="139"/>
        <v>0</v>
      </c>
      <c r="I167" s="1691"/>
      <c r="J167" s="1691"/>
      <c r="K167" s="1691">
        <f>IF(スコア表示!W167=0,0,1)</f>
        <v>1</v>
      </c>
      <c r="L167" s="1691">
        <f>IF(スコア表示!AA167=0,0,1)</f>
        <v>0</v>
      </c>
      <c r="M167" s="1691">
        <f t="shared" si="141"/>
        <v>0.25</v>
      </c>
      <c r="N167" s="1691">
        <f t="shared" si="145"/>
        <v>0</v>
      </c>
      <c r="P167" s="1630" t="str">
        <f t="shared" si="146"/>
        <v>2.3.3</v>
      </c>
      <c r="Q167" s="1693" t="str">
        <f t="shared" si="147"/>
        <v>LR3 2.3</v>
      </c>
      <c r="R167" s="1694" t="str">
        <f t="shared" si="142"/>
        <v>交通負荷抑制</v>
      </c>
      <c r="S167" s="1623">
        <f t="shared" si="152"/>
        <v>0.25</v>
      </c>
      <c r="T167" s="1623">
        <f t="shared" si="153"/>
        <v>0.25</v>
      </c>
      <c r="U167" s="1623">
        <f t="shared" si="154"/>
        <v>0.25</v>
      </c>
      <c r="V167" s="1623">
        <f t="shared" si="155"/>
        <v>0.25</v>
      </c>
      <c r="W167" s="1623">
        <f t="shared" si="156"/>
        <v>0.25</v>
      </c>
      <c r="X167" s="1623">
        <f t="shared" si="157"/>
        <v>0.25</v>
      </c>
      <c r="Y167" s="1623">
        <f t="shared" si="158"/>
        <v>0.25</v>
      </c>
      <c r="Z167" s="1623">
        <f t="shared" si="159"/>
        <v>0.25</v>
      </c>
      <c r="AA167" s="1623">
        <f t="shared" si="160"/>
        <v>0.25</v>
      </c>
      <c r="AB167" s="1623">
        <f t="shared" si="161"/>
        <v>0.25</v>
      </c>
      <c r="AC167" s="1662">
        <f t="shared" si="149"/>
        <v>0</v>
      </c>
      <c r="AD167" s="1661">
        <f t="shared" si="150"/>
        <v>0</v>
      </c>
      <c r="AE167" s="1661">
        <f t="shared" si="151"/>
        <v>0</v>
      </c>
      <c r="AG167" s="1630" t="s">
        <v>1615</v>
      </c>
      <c r="AH167" s="1693" t="s">
        <v>383</v>
      </c>
      <c r="AI167" s="1694" t="s">
        <v>1152</v>
      </c>
      <c r="AJ167" s="1623">
        <v>0.25</v>
      </c>
      <c r="AK167" s="1623">
        <v>0.25</v>
      </c>
      <c r="AL167" s="1623">
        <v>0.25</v>
      </c>
      <c r="AM167" s="1623">
        <v>0.25</v>
      </c>
      <c r="AN167" s="1623">
        <v>0.25</v>
      </c>
      <c r="AO167" s="1623">
        <v>0.25</v>
      </c>
      <c r="AP167" s="1623">
        <v>0.25</v>
      </c>
      <c r="AQ167" s="1623">
        <v>0.25</v>
      </c>
      <c r="AR167" s="1623">
        <v>0.25</v>
      </c>
      <c r="AS167" s="1623">
        <v>0.25</v>
      </c>
      <c r="AT167" s="2088"/>
      <c r="AU167" s="2087"/>
      <c r="AV167" s="2087"/>
      <c r="AX167" s="1630" t="s">
        <v>1615</v>
      </c>
      <c r="AY167" s="1693" t="s">
        <v>383</v>
      </c>
      <c r="AZ167" s="1694" t="s">
        <v>1152</v>
      </c>
      <c r="BA167" s="1623">
        <v>0.25</v>
      </c>
      <c r="BB167" s="1623">
        <v>0.25</v>
      </c>
      <c r="BC167" s="1623">
        <v>0.25</v>
      </c>
      <c r="BD167" s="1623">
        <v>0.25</v>
      </c>
      <c r="BE167" s="1623">
        <v>0.25</v>
      </c>
      <c r="BF167" s="1623">
        <v>0.25</v>
      </c>
      <c r="BG167" s="1623">
        <v>0.25</v>
      </c>
      <c r="BH167" s="1623">
        <v>0.25</v>
      </c>
      <c r="BI167" s="1623">
        <v>0.25</v>
      </c>
      <c r="BJ167" s="1623">
        <v>0.25</v>
      </c>
      <c r="BK167" s="2088"/>
      <c r="BL167" s="2087"/>
      <c r="BM167" s="2087"/>
      <c r="BO167" s="1630" t="s">
        <v>1665</v>
      </c>
      <c r="BP167" s="1693" t="s">
        <v>383</v>
      </c>
      <c r="BQ167" s="1694" t="s">
        <v>1152</v>
      </c>
      <c r="BR167" s="1623">
        <v>0.25</v>
      </c>
      <c r="BS167" s="1623">
        <v>0.25</v>
      </c>
      <c r="BT167" s="1623">
        <v>0.25</v>
      </c>
      <c r="BU167" s="1623">
        <v>0.25</v>
      </c>
      <c r="BV167" s="1623">
        <v>0.25</v>
      </c>
      <c r="BW167" s="1623">
        <v>0.25</v>
      </c>
      <c r="BX167" s="1623">
        <v>0.25</v>
      </c>
      <c r="BY167" s="1623">
        <v>0.25</v>
      </c>
      <c r="BZ167" s="1623">
        <v>0.25</v>
      </c>
      <c r="CA167" s="1623">
        <v>0.25</v>
      </c>
      <c r="CB167" s="2088"/>
      <c r="CC167" s="2087"/>
      <c r="CD167" s="2087"/>
    </row>
    <row r="168" spans="1:83">
      <c r="B168" s="1597" t="str">
        <f t="shared" si="143"/>
        <v>2.3.4</v>
      </c>
      <c r="C168" s="1734" t="str">
        <f t="shared" si="140"/>
        <v>廃棄物処理負荷抑制</v>
      </c>
      <c r="D168" s="1716">
        <f t="shared" si="165"/>
        <v>0.25</v>
      </c>
      <c r="E168" s="1716">
        <f t="shared" si="165"/>
        <v>0</v>
      </c>
      <c r="G168" s="1691">
        <f t="shared" si="138"/>
        <v>0.25</v>
      </c>
      <c r="H168" s="1691">
        <f t="shared" si="139"/>
        <v>0</v>
      </c>
      <c r="I168" s="1691"/>
      <c r="J168" s="1691"/>
      <c r="K168" s="1691">
        <f>IF(スコア表示!W168=0,0,1)</f>
        <v>1</v>
      </c>
      <c r="L168" s="1691">
        <f>IF(スコア表示!AA168=0,0,1)</f>
        <v>0</v>
      </c>
      <c r="M168" s="1691">
        <f t="shared" si="141"/>
        <v>0.25</v>
      </c>
      <c r="N168" s="1691">
        <f t="shared" si="145"/>
        <v>0</v>
      </c>
      <c r="P168" s="1630" t="str">
        <f t="shared" si="146"/>
        <v>2.3.4</v>
      </c>
      <c r="Q168" s="1693" t="str">
        <f t="shared" si="147"/>
        <v>LR3 2.3</v>
      </c>
      <c r="R168" s="1695" t="str">
        <f t="shared" si="142"/>
        <v>廃棄物処理負荷抑制</v>
      </c>
      <c r="S168" s="1623">
        <f t="shared" si="152"/>
        <v>0.25</v>
      </c>
      <c r="T168" s="1623">
        <f t="shared" si="153"/>
        <v>0.25</v>
      </c>
      <c r="U168" s="1623">
        <f t="shared" si="154"/>
        <v>0.25</v>
      </c>
      <c r="V168" s="1623">
        <f t="shared" si="155"/>
        <v>0.25</v>
      </c>
      <c r="W168" s="1623">
        <f t="shared" si="156"/>
        <v>0.25</v>
      </c>
      <c r="X168" s="1623">
        <f t="shared" si="157"/>
        <v>0.25</v>
      </c>
      <c r="Y168" s="1623">
        <f t="shared" si="158"/>
        <v>0.25</v>
      </c>
      <c r="Z168" s="1623">
        <f t="shared" si="159"/>
        <v>0.25</v>
      </c>
      <c r="AA168" s="1623">
        <f t="shared" si="160"/>
        <v>0.25</v>
      </c>
      <c r="AB168" s="1623">
        <f t="shared" si="161"/>
        <v>0.25</v>
      </c>
      <c r="AC168" s="1662">
        <f t="shared" si="149"/>
        <v>0</v>
      </c>
      <c r="AD168" s="1661">
        <f t="shared" si="150"/>
        <v>0</v>
      </c>
      <c r="AE168" s="1661">
        <f t="shared" si="151"/>
        <v>0</v>
      </c>
      <c r="AG168" s="1630" t="s">
        <v>1616</v>
      </c>
      <c r="AH168" s="1693" t="s">
        <v>383</v>
      </c>
      <c r="AI168" s="1695" t="s">
        <v>1153</v>
      </c>
      <c r="AJ168" s="1623">
        <v>0.25</v>
      </c>
      <c r="AK168" s="1623">
        <v>0.25</v>
      </c>
      <c r="AL168" s="1623">
        <v>0.25</v>
      </c>
      <c r="AM168" s="1623">
        <v>0.25</v>
      </c>
      <c r="AN168" s="1623">
        <v>0.25</v>
      </c>
      <c r="AO168" s="1623">
        <v>0.25</v>
      </c>
      <c r="AP168" s="1623">
        <v>0.25</v>
      </c>
      <c r="AQ168" s="1623">
        <v>0.25</v>
      </c>
      <c r="AR168" s="1623">
        <v>0.25</v>
      </c>
      <c r="AS168" s="1623">
        <v>0.25</v>
      </c>
      <c r="AT168" s="2088"/>
      <c r="AU168" s="2087"/>
      <c r="AV168" s="2087"/>
      <c r="AX168" s="1630" t="s">
        <v>1616</v>
      </c>
      <c r="AY168" s="1693" t="s">
        <v>383</v>
      </c>
      <c r="AZ168" s="1695" t="s">
        <v>1153</v>
      </c>
      <c r="BA168" s="1623">
        <v>0.25</v>
      </c>
      <c r="BB168" s="1623">
        <v>0.25</v>
      </c>
      <c r="BC168" s="1623">
        <v>0.25</v>
      </c>
      <c r="BD168" s="1623">
        <v>0.25</v>
      </c>
      <c r="BE168" s="1623">
        <v>0.25</v>
      </c>
      <c r="BF168" s="1623">
        <v>0.25</v>
      </c>
      <c r="BG168" s="1623">
        <v>0.25</v>
      </c>
      <c r="BH168" s="1623">
        <v>0.25</v>
      </c>
      <c r="BI168" s="1623">
        <v>0.25</v>
      </c>
      <c r="BJ168" s="1623">
        <v>0.25</v>
      </c>
      <c r="BK168" s="2088"/>
      <c r="BL168" s="2087"/>
      <c r="BM168" s="2087"/>
      <c r="BO168" s="1630" t="s">
        <v>1666</v>
      </c>
      <c r="BP168" s="1693" t="s">
        <v>383</v>
      </c>
      <c r="BQ168" s="1695" t="s">
        <v>1153</v>
      </c>
      <c r="BR168" s="1623">
        <v>0.25</v>
      </c>
      <c r="BS168" s="1623">
        <v>0.25</v>
      </c>
      <c r="BT168" s="1623">
        <v>0.25</v>
      </c>
      <c r="BU168" s="1623">
        <v>0.25</v>
      </c>
      <c r="BV168" s="1623">
        <v>0.25</v>
      </c>
      <c r="BW168" s="1623">
        <v>0.25</v>
      </c>
      <c r="BX168" s="1623">
        <v>0.25</v>
      </c>
      <c r="BY168" s="1623">
        <v>0.25</v>
      </c>
      <c r="BZ168" s="1623">
        <v>0.25</v>
      </c>
      <c r="CA168" s="1623">
        <v>0.25</v>
      </c>
      <c r="CB168" s="2088"/>
      <c r="CC168" s="2087"/>
      <c r="CD168" s="2087"/>
    </row>
    <row r="169" spans="1:83" s="1605" customFormat="1">
      <c r="A169"/>
      <c r="B169" s="1597">
        <f t="shared" si="143"/>
        <v>3</v>
      </c>
      <c r="C169" s="1689" t="str">
        <f t="shared" si="140"/>
        <v>周辺環境への配慮</v>
      </c>
      <c r="D169" s="2062">
        <f>IF(I$159=0,0,G169/I$159)</f>
        <v>0.33333333333333331</v>
      </c>
      <c r="E169" s="2062">
        <f>IF(J$159=0,0,H169/J$159)</f>
        <v>0</v>
      </c>
      <c r="F169"/>
      <c r="G169" s="1743">
        <f t="shared" ref="G169:G180" si="166">K169*M169</f>
        <v>0.33333333333333331</v>
      </c>
      <c r="H169" s="1743">
        <f t="shared" ref="H169:H180" si="167">L169*N169</f>
        <v>0</v>
      </c>
      <c r="I169" s="1743">
        <f>G170+G174+G178</f>
        <v>1</v>
      </c>
      <c r="J169" s="1743">
        <f>H170+H174+H178</f>
        <v>0</v>
      </c>
      <c r="K169" s="1743">
        <f>IF(スコア表示!W169=0,0,1)</f>
        <v>1</v>
      </c>
      <c r="L169" s="1743">
        <f>IF(スコア表示!AA169=0,0,1)</f>
        <v>0</v>
      </c>
      <c r="M169" s="1743">
        <f t="shared" si="141"/>
        <v>0.33333333333333331</v>
      </c>
      <c r="N169" s="1743">
        <f t="shared" si="145"/>
        <v>0</v>
      </c>
      <c r="O169"/>
      <c r="P169" s="2101">
        <f t="shared" si="146"/>
        <v>3</v>
      </c>
      <c r="Q169" s="1744" t="str">
        <f t="shared" si="147"/>
        <v>LR3</v>
      </c>
      <c r="R169" s="1780" t="str">
        <f t="shared" si="142"/>
        <v>周辺環境への配慮</v>
      </c>
      <c r="S169" s="1711">
        <f t="shared" si="152"/>
        <v>0.33333333333333331</v>
      </c>
      <c r="T169" s="1711">
        <f t="shared" si="153"/>
        <v>0.33333333333333331</v>
      </c>
      <c r="U169" s="1711">
        <f t="shared" si="154"/>
        <v>0.33333333333333331</v>
      </c>
      <c r="V169" s="1711">
        <f t="shared" si="155"/>
        <v>0.33333333333333331</v>
      </c>
      <c r="W169" s="1711">
        <f t="shared" si="156"/>
        <v>0.33333333333333331</v>
      </c>
      <c r="X169" s="1711">
        <f t="shared" si="157"/>
        <v>0.33333333333333331</v>
      </c>
      <c r="Y169" s="1711">
        <f t="shared" si="158"/>
        <v>0.33333333333333331</v>
      </c>
      <c r="Z169" s="1711">
        <f t="shared" si="159"/>
        <v>0.33333333333333331</v>
      </c>
      <c r="AA169" s="1711">
        <f t="shared" si="160"/>
        <v>0.33333333333333331</v>
      </c>
      <c r="AB169" s="1711">
        <f t="shared" si="161"/>
        <v>0.33333333333333331</v>
      </c>
      <c r="AC169" s="1659">
        <f t="shared" si="149"/>
        <v>0</v>
      </c>
      <c r="AD169" s="1610">
        <f t="shared" si="150"/>
        <v>0</v>
      </c>
      <c r="AE169" s="1610">
        <f t="shared" si="151"/>
        <v>0</v>
      </c>
      <c r="AF169"/>
      <c r="AG169" s="1641">
        <v>3</v>
      </c>
      <c r="AH169" s="1744" t="s">
        <v>381</v>
      </c>
      <c r="AI169" s="1780" t="s">
        <v>1154</v>
      </c>
      <c r="AJ169" s="1711">
        <v>0.33333333333333331</v>
      </c>
      <c r="AK169" s="1711">
        <v>0.33333333333333331</v>
      </c>
      <c r="AL169" s="1711">
        <v>0.33333333333333331</v>
      </c>
      <c r="AM169" s="1711">
        <v>0.33333333333333331</v>
      </c>
      <c r="AN169" s="1711">
        <v>0.33333333333333331</v>
      </c>
      <c r="AO169" s="1711">
        <v>0.33333333333333331</v>
      </c>
      <c r="AP169" s="1711">
        <v>0.33333333333333331</v>
      </c>
      <c r="AQ169" s="1711">
        <v>0.33333333333333331</v>
      </c>
      <c r="AR169" s="1711">
        <v>0.33333333333333331</v>
      </c>
      <c r="AS169" s="1711">
        <v>0.33333333333333331</v>
      </c>
      <c r="AT169" s="2063">
        <v>0</v>
      </c>
      <c r="AU169" s="1711">
        <v>0</v>
      </c>
      <c r="AV169" s="1711">
        <v>0</v>
      </c>
      <c r="AW169"/>
      <c r="AX169" s="1641">
        <v>3</v>
      </c>
      <c r="AY169" s="1744" t="s">
        <v>381</v>
      </c>
      <c r="AZ169" s="1780" t="s">
        <v>1154</v>
      </c>
      <c r="BA169" s="1711">
        <f t="shared" ref="BA169:BJ169" si="168">1/3</f>
        <v>0.33333333333333331</v>
      </c>
      <c r="BB169" s="1711">
        <f t="shared" si="168"/>
        <v>0.33333333333333331</v>
      </c>
      <c r="BC169" s="1711">
        <f t="shared" si="168"/>
        <v>0.33333333333333331</v>
      </c>
      <c r="BD169" s="1711">
        <f t="shared" si="168"/>
        <v>0.33333333333333331</v>
      </c>
      <c r="BE169" s="1711">
        <f t="shared" si="168"/>
        <v>0.33333333333333331</v>
      </c>
      <c r="BF169" s="1711">
        <f t="shared" si="168"/>
        <v>0.33333333333333331</v>
      </c>
      <c r="BG169" s="1711">
        <f t="shared" si="168"/>
        <v>0.33333333333333331</v>
      </c>
      <c r="BH169" s="1711">
        <f t="shared" si="168"/>
        <v>0.33333333333333331</v>
      </c>
      <c r="BI169" s="1711">
        <f t="shared" si="168"/>
        <v>0.33333333333333331</v>
      </c>
      <c r="BJ169" s="1711">
        <f t="shared" si="168"/>
        <v>0.33333333333333331</v>
      </c>
      <c r="BK169" s="2063"/>
      <c r="BL169" s="1711"/>
      <c r="BM169" s="1711"/>
      <c r="BN169"/>
      <c r="BO169" s="1641">
        <v>3</v>
      </c>
      <c r="BP169" s="1744" t="s">
        <v>381</v>
      </c>
      <c r="BQ169" s="1780" t="s">
        <v>1154</v>
      </c>
      <c r="BR169" s="1711">
        <f t="shared" ref="BR169:CA169" si="169">1/3</f>
        <v>0.33333333333333331</v>
      </c>
      <c r="BS169" s="1711">
        <f t="shared" si="169"/>
        <v>0.33333333333333331</v>
      </c>
      <c r="BT169" s="1711">
        <f t="shared" si="169"/>
        <v>0.33333333333333331</v>
      </c>
      <c r="BU169" s="1711">
        <f t="shared" si="169"/>
        <v>0.33333333333333331</v>
      </c>
      <c r="BV169" s="1711">
        <f t="shared" si="169"/>
        <v>0.33333333333333331</v>
      </c>
      <c r="BW169" s="1711">
        <f t="shared" si="169"/>
        <v>0.33333333333333331</v>
      </c>
      <c r="BX169" s="1711">
        <f t="shared" si="169"/>
        <v>0.33333333333333331</v>
      </c>
      <c r="BY169" s="1711">
        <f t="shared" si="169"/>
        <v>0.33333333333333331</v>
      </c>
      <c r="BZ169" s="1711">
        <f t="shared" si="169"/>
        <v>0.33333333333333331</v>
      </c>
      <c r="CA169" s="1711">
        <f t="shared" si="169"/>
        <v>0.33333333333333331</v>
      </c>
      <c r="CB169" s="2063"/>
      <c r="CC169" s="1711"/>
      <c r="CD169" s="1711"/>
      <c r="CE169"/>
    </row>
    <row r="170" spans="1:83">
      <c r="B170" s="1597" t="str">
        <f t="shared" si="143"/>
        <v>3.1</v>
      </c>
      <c r="C170" s="1734" t="str">
        <f t="shared" si="140"/>
        <v>騒音・振動・悪臭の防止</v>
      </c>
      <c r="D170" s="1716">
        <f>IF(I$169=0,0,G170/I$169)</f>
        <v>0.4</v>
      </c>
      <c r="E170" s="1716">
        <f>IF(J$169=0,0,H170/J$169)</f>
        <v>0</v>
      </c>
      <c r="G170" s="1691">
        <f t="shared" si="166"/>
        <v>0.4</v>
      </c>
      <c r="H170" s="1691">
        <f t="shared" si="167"/>
        <v>0</v>
      </c>
      <c r="I170" s="1691">
        <f>SUM(G171:G173)</f>
        <v>1</v>
      </c>
      <c r="J170" s="1691">
        <f>SUM(H171:H173)</f>
        <v>0</v>
      </c>
      <c r="K170" s="1691">
        <f>IF(スコア表示!W170=0,0,1)</f>
        <v>1</v>
      </c>
      <c r="L170" s="1691">
        <f>IF(スコア表示!AA170=0,0,1)</f>
        <v>0</v>
      </c>
      <c r="M170" s="1691">
        <f t="shared" si="141"/>
        <v>0.4</v>
      </c>
      <c r="N170" s="1691">
        <f t="shared" si="145"/>
        <v>0</v>
      </c>
      <c r="P170" s="2102" t="str">
        <f t="shared" si="146"/>
        <v>3.1</v>
      </c>
      <c r="Q170" s="1693" t="str">
        <f t="shared" si="147"/>
        <v>LR3 3</v>
      </c>
      <c r="R170" s="1737" t="str">
        <f t="shared" si="142"/>
        <v>騒音・振動・悪臭の防止</v>
      </c>
      <c r="S170" s="2087">
        <f t="shared" si="152"/>
        <v>0.4</v>
      </c>
      <c r="T170" s="2087">
        <f t="shared" si="153"/>
        <v>0.4</v>
      </c>
      <c r="U170" s="2087">
        <f t="shared" si="154"/>
        <v>0.4</v>
      </c>
      <c r="V170" s="2087">
        <f t="shared" si="155"/>
        <v>0.4</v>
      </c>
      <c r="W170" s="2087">
        <f t="shared" si="156"/>
        <v>0.4</v>
      </c>
      <c r="X170" s="2087">
        <f t="shared" si="157"/>
        <v>0.4</v>
      </c>
      <c r="Y170" s="2087">
        <f t="shared" si="158"/>
        <v>0.4</v>
      </c>
      <c r="Z170" s="2087">
        <f t="shared" si="159"/>
        <v>0.4</v>
      </c>
      <c r="AA170" s="2087">
        <f t="shared" si="160"/>
        <v>0.4</v>
      </c>
      <c r="AB170" s="2087">
        <f t="shared" si="161"/>
        <v>0.4</v>
      </c>
      <c r="AC170" s="1662">
        <f t="shared" si="149"/>
        <v>0</v>
      </c>
      <c r="AD170" s="1661">
        <f t="shared" si="150"/>
        <v>0</v>
      </c>
      <c r="AE170" s="1661">
        <f t="shared" si="151"/>
        <v>0</v>
      </c>
      <c r="AG170" s="1630" t="s">
        <v>1556</v>
      </c>
      <c r="AH170" s="1693" t="s">
        <v>384</v>
      </c>
      <c r="AI170" s="1737" t="s">
        <v>1155</v>
      </c>
      <c r="AJ170" s="2087">
        <v>0.4</v>
      </c>
      <c r="AK170" s="2087">
        <v>0.4</v>
      </c>
      <c r="AL170" s="2087">
        <v>0.4</v>
      </c>
      <c r="AM170" s="2087">
        <v>0.4</v>
      </c>
      <c r="AN170" s="2087">
        <v>0.4</v>
      </c>
      <c r="AO170" s="2087">
        <v>0.4</v>
      </c>
      <c r="AP170" s="2087">
        <v>0.4</v>
      </c>
      <c r="AQ170" s="2087">
        <v>0.4</v>
      </c>
      <c r="AR170" s="2087">
        <v>0.4</v>
      </c>
      <c r="AS170" s="2087">
        <v>0.4</v>
      </c>
      <c r="AT170" s="2088"/>
      <c r="AU170" s="2087"/>
      <c r="AV170" s="2087"/>
      <c r="AX170" s="1630" t="s">
        <v>1556</v>
      </c>
      <c r="AY170" s="1693" t="s">
        <v>384</v>
      </c>
      <c r="AZ170" s="1737" t="s">
        <v>1155</v>
      </c>
      <c r="BA170" s="2087">
        <v>0.4</v>
      </c>
      <c r="BB170" s="2087">
        <v>0.4</v>
      </c>
      <c r="BC170" s="2087">
        <v>0.4</v>
      </c>
      <c r="BD170" s="2087">
        <v>0.4</v>
      </c>
      <c r="BE170" s="2087">
        <v>0.4</v>
      </c>
      <c r="BF170" s="2087">
        <v>0.4</v>
      </c>
      <c r="BG170" s="2087">
        <v>0.4</v>
      </c>
      <c r="BH170" s="2087">
        <v>0.4</v>
      </c>
      <c r="BI170" s="2087">
        <v>0.4</v>
      </c>
      <c r="BJ170" s="2087">
        <v>0.4</v>
      </c>
      <c r="BK170" s="2088"/>
      <c r="BL170" s="2087"/>
      <c r="BM170" s="2087"/>
      <c r="BO170" s="1630" t="s">
        <v>1667</v>
      </c>
      <c r="BP170" s="1693" t="s">
        <v>384</v>
      </c>
      <c r="BQ170" s="1737" t="s">
        <v>1155</v>
      </c>
      <c r="BR170" s="2087">
        <v>0.4</v>
      </c>
      <c r="BS170" s="2087">
        <v>0.4</v>
      </c>
      <c r="BT170" s="2087">
        <v>0.4</v>
      </c>
      <c r="BU170" s="2087">
        <v>0.4</v>
      </c>
      <c r="BV170" s="2087">
        <v>0.4</v>
      </c>
      <c r="BW170" s="2087">
        <v>0.4</v>
      </c>
      <c r="BX170" s="2087">
        <v>0.4</v>
      </c>
      <c r="BY170" s="2087">
        <v>0.4</v>
      </c>
      <c r="BZ170" s="2087">
        <v>0.4</v>
      </c>
      <c r="CA170" s="2087">
        <v>0.4</v>
      </c>
      <c r="CB170" s="2088"/>
      <c r="CC170" s="2087"/>
      <c r="CD170" s="2087"/>
    </row>
    <row r="171" spans="1:83">
      <c r="B171" s="1597" t="str">
        <f t="shared" si="143"/>
        <v>3.1.1</v>
      </c>
      <c r="C171" s="1641" t="str">
        <f t="shared" si="140"/>
        <v>騒音</v>
      </c>
      <c r="D171" s="1716">
        <f t="shared" ref="D171:E173" si="170">IF(I$170=0,0,G171/I$170)</f>
        <v>0.33333333333333331</v>
      </c>
      <c r="E171" s="1716">
        <f t="shared" si="170"/>
        <v>0</v>
      </c>
      <c r="G171" s="1691">
        <f t="shared" si="166"/>
        <v>0.33333333333333331</v>
      </c>
      <c r="H171" s="1691">
        <f t="shared" si="167"/>
        <v>0</v>
      </c>
      <c r="I171" s="1691"/>
      <c r="J171" s="1691"/>
      <c r="K171" s="1691">
        <f>IF(スコア表示!W171=0,0,1)</f>
        <v>1</v>
      </c>
      <c r="L171" s="1691">
        <f>IF(スコア表示!AA171=0,0,1)</f>
        <v>0</v>
      </c>
      <c r="M171" s="1691">
        <f t="shared" si="141"/>
        <v>0.33333333333333331</v>
      </c>
      <c r="N171" s="1691">
        <f t="shared" si="145"/>
        <v>0</v>
      </c>
      <c r="P171" s="1630" t="str">
        <f t="shared" si="146"/>
        <v>3.1.1</v>
      </c>
      <c r="Q171" s="1647" t="str">
        <f t="shared" si="147"/>
        <v>LR3 3.1</v>
      </c>
      <c r="R171" s="1737" t="str">
        <f t="shared" si="142"/>
        <v>騒音</v>
      </c>
      <c r="S171" s="1623">
        <f t="shared" si="152"/>
        <v>0.33333333333333331</v>
      </c>
      <c r="T171" s="1623">
        <f t="shared" si="153"/>
        <v>0.33333333333333331</v>
      </c>
      <c r="U171" s="1623">
        <f t="shared" si="154"/>
        <v>0.33333333333333331</v>
      </c>
      <c r="V171" s="1623">
        <f t="shared" si="155"/>
        <v>0.33333333333333331</v>
      </c>
      <c r="W171" s="1623">
        <f t="shared" si="156"/>
        <v>0.33333333333333331</v>
      </c>
      <c r="X171" s="1623">
        <f t="shared" si="157"/>
        <v>0.33333333333333331</v>
      </c>
      <c r="Y171" s="1623">
        <f t="shared" si="158"/>
        <v>0.33333333333333331</v>
      </c>
      <c r="Z171" s="1623">
        <f t="shared" si="159"/>
        <v>0.33333333333333331</v>
      </c>
      <c r="AA171" s="1623">
        <f t="shared" si="160"/>
        <v>0.33333333333333331</v>
      </c>
      <c r="AB171" s="1623">
        <f t="shared" si="161"/>
        <v>0.33333333333333331</v>
      </c>
      <c r="AC171" s="1619">
        <f t="shared" si="149"/>
        <v>0</v>
      </c>
      <c r="AD171" s="1618">
        <f t="shared" si="150"/>
        <v>0</v>
      </c>
      <c r="AE171" s="1618">
        <f t="shared" si="151"/>
        <v>0</v>
      </c>
      <c r="AG171" s="1630" t="s">
        <v>1617</v>
      </c>
      <c r="AH171" s="1647" t="s">
        <v>385</v>
      </c>
      <c r="AI171" s="1737" t="s">
        <v>1156</v>
      </c>
      <c r="AJ171" s="1623">
        <v>0.33333333333333331</v>
      </c>
      <c r="AK171" s="1623">
        <v>0.33333333333333331</v>
      </c>
      <c r="AL171" s="1623">
        <v>0.33333333333333331</v>
      </c>
      <c r="AM171" s="1623">
        <v>0.33333333333333331</v>
      </c>
      <c r="AN171" s="1623">
        <v>0.33333333333333331</v>
      </c>
      <c r="AO171" s="1623">
        <v>0.33333333333333331</v>
      </c>
      <c r="AP171" s="1623">
        <v>0.33333333333333331</v>
      </c>
      <c r="AQ171" s="1623">
        <v>0.33333333333333331</v>
      </c>
      <c r="AR171" s="1623">
        <v>0.33333333333333331</v>
      </c>
      <c r="AS171" s="1623">
        <v>0.33333333333333331</v>
      </c>
      <c r="AT171" s="1625"/>
      <c r="AU171" s="1623"/>
      <c r="AV171" s="1623"/>
      <c r="AX171" s="1630" t="s">
        <v>1617</v>
      </c>
      <c r="AY171" s="1647" t="s">
        <v>385</v>
      </c>
      <c r="AZ171" s="1737" t="s">
        <v>1156</v>
      </c>
      <c r="BA171" s="1623">
        <v>0.33333333333333331</v>
      </c>
      <c r="BB171" s="1623">
        <v>0.33333333333333331</v>
      </c>
      <c r="BC171" s="1623">
        <v>0.33333333333333331</v>
      </c>
      <c r="BD171" s="1623">
        <v>0.33333333333333331</v>
      </c>
      <c r="BE171" s="1623">
        <v>0.33333333333333331</v>
      </c>
      <c r="BF171" s="1623">
        <v>0.33333333333333331</v>
      </c>
      <c r="BG171" s="1623">
        <v>0.33333333333333331</v>
      </c>
      <c r="BH171" s="1623">
        <v>0.33333333333333331</v>
      </c>
      <c r="BI171" s="1623">
        <v>0.33333333333333331</v>
      </c>
      <c r="BJ171" s="1623">
        <v>0.33333333333333331</v>
      </c>
      <c r="BK171" s="1623"/>
      <c r="BL171" s="1623"/>
      <c r="BM171" s="1623"/>
      <c r="BO171" s="1630" t="s">
        <v>1668</v>
      </c>
      <c r="BP171" s="1647" t="s">
        <v>385</v>
      </c>
      <c r="BQ171" s="1737" t="s">
        <v>1156</v>
      </c>
      <c r="BR171" s="1623">
        <v>0.33333333333333331</v>
      </c>
      <c r="BS171" s="1623">
        <v>0.33333333333333331</v>
      </c>
      <c r="BT171" s="1623">
        <v>0.33333333333333331</v>
      </c>
      <c r="BU171" s="1623">
        <v>0.33333333333333331</v>
      </c>
      <c r="BV171" s="1623">
        <v>0.33333333333333331</v>
      </c>
      <c r="BW171" s="1623">
        <v>0.33333333333333331</v>
      </c>
      <c r="BX171" s="1623">
        <v>0.33333333333333331</v>
      </c>
      <c r="BY171" s="1623">
        <v>0.33333333333333331</v>
      </c>
      <c r="BZ171" s="1623">
        <v>0.33333333333333331</v>
      </c>
      <c r="CA171" s="1623">
        <v>0.33333333333333331</v>
      </c>
      <c r="CB171" s="1623"/>
      <c r="CC171" s="1623"/>
      <c r="CD171" s="1623"/>
    </row>
    <row r="172" spans="1:83">
      <c r="B172" s="1597" t="str">
        <f t="shared" si="143"/>
        <v>3.1.2</v>
      </c>
      <c r="C172" s="1734" t="str">
        <f t="shared" si="140"/>
        <v>振動</v>
      </c>
      <c r="D172" s="1716">
        <f t="shared" si="170"/>
        <v>0.33333333333333331</v>
      </c>
      <c r="E172" s="1716">
        <f t="shared" si="170"/>
        <v>0</v>
      </c>
      <c r="G172" s="1691">
        <f t="shared" si="166"/>
        <v>0.33333333333333331</v>
      </c>
      <c r="H172" s="1691">
        <f t="shared" si="167"/>
        <v>0</v>
      </c>
      <c r="I172" s="1691"/>
      <c r="J172" s="1691"/>
      <c r="K172" s="1691">
        <f>IF(スコア表示!W172=0,0,1)</f>
        <v>1</v>
      </c>
      <c r="L172" s="1691">
        <f>IF(スコア表示!AA172=0,0,1)</f>
        <v>0</v>
      </c>
      <c r="M172" s="1691">
        <f t="shared" si="141"/>
        <v>0.33333333333333331</v>
      </c>
      <c r="N172" s="1691">
        <f t="shared" si="145"/>
        <v>0</v>
      </c>
      <c r="P172" s="1630" t="str">
        <f t="shared" si="146"/>
        <v>3.1.2</v>
      </c>
      <c r="Q172" s="1647" t="str">
        <f t="shared" si="147"/>
        <v>LR3 3.1</v>
      </c>
      <c r="R172" s="1737" t="str">
        <f t="shared" si="142"/>
        <v>振動</v>
      </c>
      <c r="S172" s="1623">
        <f t="shared" si="152"/>
        <v>0.33333333333333331</v>
      </c>
      <c r="T172" s="1623">
        <f t="shared" si="153"/>
        <v>0.33333333333333331</v>
      </c>
      <c r="U172" s="1623">
        <f t="shared" si="154"/>
        <v>0.33333333333333331</v>
      </c>
      <c r="V172" s="1623">
        <f t="shared" si="155"/>
        <v>0.33333333333333331</v>
      </c>
      <c r="W172" s="1623">
        <f t="shared" si="156"/>
        <v>0.33333333333333331</v>
      </c>
      <c r="X172" s="1623">
        <f t="shared" si="157"/>
        <v>0.33333333333333331</v>
      </c>
      <c r="Y172" s="1623">
        <f t="shared" si="158"/>
        <v>0.33333333333333331</v>
      </c>
      <c r="Z172" s="1623">
        <f t="shared" si="159"/>
        <v>0.33333333333333331</v>
      </c>
      <c r="AA172" s="1623">
        <f t="shared" si="160"/>
        <v>0.33333333333333331</v>
      </c>
      <c r="AB172" s="1623">
        <f t="shared" si="161"/>
        <v>0.33333333333333331</v>
      </c>
      <c r="AC172" s="1619">
        <f t="shared" si="149"/>
        <v>0</v>
      </c>
      <c r="AD172" s="1618">
        <f t="shared" si="150"/>
        <v>0</v>
      </c>
      <c r="AE172" s="1618">
        <f t="shared" si="151"/>
        <v>0</v>
      </c>
      <c r="AG172" s="1630" t="s">
        <v>1487</v>
      </c>
      <c r="AH172" s="1647" t="s">
        <v>385</v>
      </c>
      <c r="AI172" s="1737" t="s">
        <v>1157</v>
      </c>
      <c r="AJ172" s="1623">
        <v>0.33333333333333331</v>
      </c>
      <c r="AK172" s="1623">
        <v>0.33333333333333331</v>
      </c>
      <c r="AL172" s="1623">
        <v>0.33333333333333331</v>
      </c>
      <c r="AM172" s="1623">
        <v>0.33333333333333331</v>
      </c>
      <c r="AN172" s="1623">
        <v>0.33333333333333331</v>
      </c>
      <c r="AO172" s="1623">
        <v>0.33333333333333331</v>
      </c>
      <c r="AP172" s="1623">
        <v>0.33333333333333331</v>
      </c>
      <c r="AQ172" s="1623">
        <v>0.33333333333333331</v>
      </c>
      <c r="AR172" s="1623">
        <v>0.33333333333333331</v>
      </c>
      <c r="AS172" s="1623">
        <v>0.33333333333333331</v>
      </c>
      <c r="AT172" s="1625"/>
      <c r="AU172" s="1623"/>
      <c r="AV172" s="1623"/>
      <c r="AX172" s="1630" t="s">
        <v>1487</v>
      </c>
      <c r="AY172" s="1647" t="s">
        <v>385</v>
      </c>
      <c r="AZ172" s="1737" t="s">
        <v>1157</v>
      </c>
      <c r="BA172" s="1623">
        <v>0.33333333333333331</v>
      </c>
      <c r="BB172" s="1623">
        <v>0.33333333333333331</v>
      </c>
      <c r="BC172" s="1623">
        <v>0.33333333333333331</v>
      </c>
      <c r="BD172" s="1623">
        <v>0.33333333333333331</v>
      </c>
      <c r="BE172" s="1623">
        <v>0.33333333333333331</v>
      </c>
      <c r="BF172" s="1623">
        <v>0.33333333333333331</v>
      </c>
      <c r="BG172" s="1623">
        <v>0.33333333333333331</v>
      </c>
      <c r="BH172" s="1623">
        <v>0.33333333333333331</v>
      </c>
      <c r="BI172" s="1623">
        <v>0.33333333333333331</v>
      </c>
      <c r="BJ172" s="1623">
        <v>0.33333333333333331</v>
      </c>
      <c r="BK172" s="1623"/>
      <c r="BL172" s="1623"/>
      <c r="BM172" s="1623"/>
      <c r="BO172" s="1630" t="s">
        <v>1669</v>
      </c>
      <c r="BP172" s="1647" t="s">
        <v>385</v>
      </c>
      <c r="BQ172" s="1737" t="s">
        <v>1157</v>
      </c>
      <c r="BR172" s="1623">
        <v>0.33333333333333331</v>
      </c>
      <c r="BS172" s="1623">
        <v>0.33333333333333331</v>
      </c>
      <c r="BT172" s="1623">
        <v>0.33333333333333331</v>
      </c>
      <c r="BU172" s="1623">
        <v>0.33333333333333331</v>
      </c>
      <c r="BV172" s="1623">
        <v>0.33333333333333331</v>
      </c>
      <c r="BW172" s="1623">
        <v>0.33333333333333331</v>
      </c>
      <c r="BX172" s="1623">
        <v>0.33333333333333331</v>
      </c>
      <c r="BY172" s="1623">
        <v>0.33333333333333331</v>
      </c>
      <c r="BZ172" s="1623">
        <v>0.33333333333333331</v>
      </c>
      <c r="CA172" s="1623">
        <v>0.33333333333333331</v>
      </c>
      <c r="CB172" s="1623"/>
      <c r="CC172" s="1623"/>
      <c r="CD172" s="1623"/>
    </row>
    <row r="173" spans="1:83">
      <c r="B173" s="1597" t="str">
        <f t="shared" si="143"/>
        <v>3.1.3</v>
      </c>
      <c r="C173" s="1734" t="str">
        <f t="shared" ref="C173:C180" si="171">R173</f>
        <v>悪臭</v>
      </c>
      <c r="D173" s="1716">
        <f t="shared" si="170"/>
        <v>0.33333333333333331</v>
      </c>
      <c r="E173" s="1716">
        <f t="shared" si="170"/>
        <v>0</v>
      </c>
      <c r="G173" s="1691">
        <f t="shared" si="166"/>
        <v>0.33333333333333331</v>
      </c>
      <c r="H173" s="1691">
        <f t="shared" si="167"/>
        <v>0</v>
      </c>
      <c r="I173" s="1691"/>
      <c r="J173" s="1691"/>
      <c r="K173" s="1691">
        <f>IF(スコア表示!W173=0,0,1)</f>
        <v>1</v>
      </c>
      <c r="L173" s="1691">
        <f>IF(スコア表示!AA173=0,0,1)</f>
        <v>0</v>
      </c>
      <c r="M173" s="1691">
        <f t="shared" ref="M173:M180" si="172">SUMPRODUCT($S$7:$AB$7,S173:AB173)</f>
        <v>0.33333333333333331</v>
      </c>
      <c r="N173" s="1691">
        <f t="shared" si="145"/>
        <v>0</v>
      </c>
      <c r="P173" s="1630" t="str">
        <f t="shared" si="146"/>
        <v>3.1.3</v>
      </c>
      <c r="Q173" s="1647" t="str">
        <f t="shared" si="147"/>
        <v>LR3 3.1</v>
      </c>
      <c r="R173" s="1737" t="str">
        <f t="shared" ref="R173:R180" si="173">AI173</f>
        <v>悪臭</v>
      </c>
      <c r="S173" s="1623">
        <f t="shared" si="152"/>
        <v>0.33333333333333331</v>
      </c>
      <c r="T173" s="1623">
        <f t="shared" si="153"/>
        <v>0.33333333333333331</v>
      </c>
      <c r="U173" s="1623">
        <f t="shared" si="154"/>
        <v>0.33333333333333331</v>
      </c>
      <c r="V173" s="1623">
        <f t="shared" si="155"/>
        <v>0.33333333333333331</v>
      </c>
      <c r="W173" s="1623">
        <f t="shared" si="156"/>
        <v>0.33333333333333331</v>
      </c>
      <c r="X173" s="1623">
        <f t="shared" si="157"/>
        <v>0.33333333333333331</v>
      </c>
      <c r="Y173" s="1623">
        <f t="shared" si="158"/>
        <v>0.33333333333333331</v>
      </c>
      <c r="Z173" s="1623">
        <f t="shared" si="159"/>
        <v>0.33333333333333331</v>
      </c>
      <c r="AA173" s="1623">
        <f t="shared" si="160"/>
        <v>0.33333333333333331</v>
      </c>
      <c r="AB173" s="1623">
        <f t="shared" si="161"/>
        <v>0.33333333333333331</v>
      </c>
      <c r="AC173" s="1619">
        <f t="shared" si="149"/>
        <v>0</v>
      </c>
      <c r="AD173" s="1618">
        <f t="shared" si="150"/>
        <v>0</v>
      </c>
      <c r="AE173" s="1618">
        <f t="shared" si="151"/>
        <v>0</v>
      </c>
      <c r="AG173" s="1630" t="s">
        <v>1618</v>
      </c>
      <c r="AH173" s="1647" t="s">
        <v>385</v>
      </c>
      <c r="AI173" s="1737" t="s">
        <v>949</v>
      </c>
      <c r="AJ173" s="1623">
        <v>0.33333333333333331</v>
      </c>
      <c r="AK173" s="1623">
        <v>0.33333333333333331</v>
      </c>
      <c r="AL173" s="1623">
        <v>0.33333333333333331</v>
      </c>
      <c r="AM173" s="1623">
        <v>0.33333333333333331</v>
      </c>
      <c r="AN173" s="1623">
        <v>0.33333333333333331</v>
      </c>
      <c r="AO173" s="1623">
        <v>0.33333333333333331</v>
      </c>
      <c r="AP173" s="1623">
        <v>0.33333333333333331</v>
      </c>
      <c r="AQ173" s="1623">
        <v>0.33333333333333331</v>
      </c>
      <c r="AR173" s="1623">
        <v>0.33333333333333331</v>
      </c>
      <c r="AS173" s="1623">
        <v>0.33333333333333331</v>
      </c>
      <c r="AT173" s="1625"/>
      <c r="AU173" s="1623"/>
      <c r="AV173" s="1623"/>
      <c r="AX173" s="1630" t="s">
        <v>1618</v>
      </c>
      <c r="AY173" s="1647" t="s">
        <v>385</v>
      </c>
      <c r="AZ173" s="1737" t="s">
        <v>949</v>
      </c>
      <c r="BA173" s="1623">
        <v>0.33333333333333331</v>
      </c>
      <c r="BB173" s="1623">
        <v>0.33333333333333331</v>
      </c>
      <c r="BC173" s="1623">
        <v>0.33333333333333331</v>
      </c>
      <c r="BD173" s="1623">
        <v>0.33333333333333331</v>
      </c>
      <c r="BE173" s="1623">
        <v>0.33333333333333331</v>
      </c>
      <c r="BF173" s="1623">
        <v>0.33333333333333331</v>
      </c>
      <c r="BG173" s="1623">
        <v>0.33333333333333331</v>
      </c>
      <c r="BH173" s="1623">
        <v>0.33333333333333331</v>
      </c>
      <c r="BI173" s="1623">
        <v>0.33333333333333331</v>
      </c>
      <c r="BJ173" s="1623">
        <v>0.33333333333333331</v>
      </c>
      <c r="BK173" s="1623"/>
      <c r="BL173" s="1623"/>
      <c r="BM173" s="1623"/>
      <c r="BO173" s="1630" t="s">
        <v>1670</v>
      </c>
      <c r="BP173" s="1647" t="s">
        <v>385</v>
      </c>
      <c r="BQ173" s="1737" t="s">
        <v>949</v>
      </c>
      <c r="BR173" s="1623">
        <v>0.33333333333333331</v>
      </c>
      <c r="BS173" s="1623">
        <v>0.33333333333333331</v>
      </c>
      <c r="BT173" s="1623">
        <v>0.33333333333333331</v>
      </c>
      <c r="BU173" s="1623">
        <v>0.33333333333333331</v>
      </c>
      <c r="BV173" s="1623">
        <v>0.33333333333333331</v>
      </c>
      <c r="BW173" s="1623">
        <v>0.33333333333333331</v>
      </c>
      <c r="BX173" s="1623">
        <v>0.33333333333333331</v>
      </c>
      <c r="BY173" s="1623">
        <v>0.33333333333333331</v>
      </c>
      <c r="BZ173" s="1623">
        <v>0.33333333333333331</v>
      </c>
      <c r="CA173" s="1623">
        <v>0.33333333333333331</v>
      </c>
      <c r="CB173" s="1623"/>
      <c r="CC173" s="1623"/>
      <c r="CD173" s="1623"/>
    </row>
    <row r="174" spans="1:83">
      <c r="B174" s="1597" t="str">
        <f t="shared" si="143"/>
        <v>3.2</v>
      </c>
      <c r="C174" s="1734" t="str">
        <f t="shared" si="171"/>
        <v>風害、日照阻害の抑制</v>
      </c>
      <c r="D174" s="1716">
        <f>IF(I$169=0,0,G174/I$169)</f>
        <v>0.4</v>
      </c>
      <c r="E174" s="1716">
        <f>IF(J$169=0,0,H174/J$169)</f>
        <v>0</v>
      </c>
      <c r="G174" s="1691">
        <f t="shared" si="166"/>
        <v>0.4</v>
      </c>
      <c r="H174" s="1691">
        <f t="shared" si="167"/>
        <v>0</v>
      </c>
      <c r="I174" s="1691">
        <f>SUM(G175:G177)</f>
        <v>1</v>
      </c>
      <c r="J174" s="1691">
        <f>SUM(H175:H177)</f>
        <v>0</v>
      </c>
      <c r="K174" s="1691">
        <f>IF(スコア表示!W174=0,0,1)</f>
        <v>1</v>
      </c>
      <c r="L174" s="1691">
        <f>IF(スコア表示!AA174=0,0,1)</f>
        <v>0</v>
      </c>
      <c r="M174" s="1691">
        <f t="shared" si="172"/>
        <v>0.4</v>
      </c>
      <c r="N174" s="1691">
        <f t="shared" si="145"/>
        <v>0</v>
      </c>
      <c r="P174" s="2102" t="str">
        <f t="shared" si="146"/>
        <v>3.2</v>
      </c>
      <c r="Q174" s="1693" t="str">
        <f t="shared" si="147"/>
        <v>LR3 3</v>
      </c>
      <c r="R174" s="1737" t="str">
        <f>AI174</f>
        <v>風害、日照阻害の抑制</v>
      </c>
      <c r="S174" s="2087">
        <f t="shared" si="152"/>
        <v>0.4</v>
      </c>
      <c r="T174" s="2087">
        <f t="shared" si="153"/>
        <v>0.4</v>
      </c>
      <c r="U174" s="2087">
        <f t="shared" si="154"/>
        <v>0.4</v>
      </c>
      <c r="V174" s="2087">
        <f t="shared" si="155"/>
        <v>0.4</v>
      </c>
      <c r="W174" s="2087">
        <f t="shared" si="156"/>
        <v>0.4</v>
      </c>
      <c r="X174" s="2087">
        <f t="shared" si="157"/>
        <v>0.4</v>
      </c>
      <c r="Y174" s="2087">
        <f t="shared" si="158"/>
        <v>0.4</v>
      </c>
      <c r="Z174" s="2087">
        <f t="shared" si="159"/>
        <v>0.4</v>
      </c>
      <c r="AA174" s="2087">
        <f t="shared" si="160"/>
        <v>0.4</v>
      </c>
      <c r="AB174" s="2087">
        <f t="shared" si="161"/>
        <v>0.4</v>
      </c>
      <c r="AC174" s="1662">
        <f t="shared" si="149"/>
        <v>0</v>
      </c>
      <c r="AD174" s="1661">
        <f t="shared" si="150"/>
        <v>0</v>
      </c>
      <c r="AE174" s="1661">
        <f t="shared" si="151"/>
        <v>0</v>
      </c>
      <c r="AG174" s="1630" t="s">
        <v>1560</v>
      </c>
      <c r="AH174" s="1693" t="s">
        <v>384</v>
      </c>
      <c r="AI174" s="1737" t="s">
        <v>1733</v>
      </c>
      <c r="AJ174" s="2087">
        <v>0.4</v>
      </c>
      <c r="AK174" s="2087">
        <v>0.4</v>
      </c>
      <c r="AL174" s="2087">
        <v>0.4</v>
      </c>
      <c r="AM174" s="2087">
        <v>0.4</v>
      </c>
      <c r="AN174" s="2087">
        <v>0.4</v>
      </c>
      <c r="AO174" s="2087">
        <v>0.4</v>
      </c>
      <c r="AP174" s="2087">
        <v>0.4</v>
      </c>
      <c r="AQ174" s="2087">
        <v>0.4</v>
      </c>
      <c r="AR174" s="2087">
        <v>0.4</v>
      </c>
      <c r="AS174" s="2087">
        <v>0.4</v>
      </c>
      <c r="AT174" s="2088"/>
      <c r="AU174" s="2087"/>
      <c r="AV174" s="2087"/>
      <c r="AX174" s="1630" t="s">
        <v>1560</v>
      </c>
      <c r="AY174" s="1693" t="s">
        <v>384</v>
      </c>
      <c r="AZ174" s="1737" t="s">
        <v>1619</v>
      </c>
      <c r="BA174" s="2087">
        <v>0.4</v>
      </c>
      <c r="BB174" s="2087">
        <v>0.4</v>
      </c>
      <c r="BC174" s="2087">
        <v>0.4</v>
      </c>
      <c r="BD174" s="2087">
        <v>0.4</v>
      </c>
      <c r="BE174" s="2087">
        <v>0.4</v>
      </c>
      <c r="BF174" s="2087">
        <v>0.4</v>
      </c>
      <c r="BG174" s="2087">
        <v>0.4</v>
      </c>
      <c r="BH174" s="2087">
        <v>0.4</v>
      </c>
      <c r="BI174" s="2087">
        <v>0.4</v>
      </c>
      <c r="BJ174" s="2087">
        <v>0.4</v>
      </c>
      <c r="BK174" s="2088"/>
      <c r="BL174" s="2087"/>
      <c r="BM174" s="2087"/>
      <c r="BO174" s="1630" t="s">
        <v>1671</v>
      </c>
      <c r="BP174" s="1693" t="s">
        <v>384</v>
      </c>
      <c r="BQ174" s="1737" t="s">
        <v>1619</v>
      </c>
      <c r="BR174" s="2087">
        <v>0.4</v>
      </c>
      <c r="BS174" s="2087">
        <v>0.4</v>
      </c>
      <c r="BT174" s="2087">
        <v>0.4</v>
      </c>
      <c r="BU174" s="2087">
        <v>0.4</v>
      </c>
      <c r="BV174" s="2087">
        <v>0.4</v>
      </c>
      <c r="BW174" s="2087">
        <v>0.4</v>
      </c>
      <c r="BX174" s="2087">
        <v>0.4</v>
      </c>
      <c r="BY174" s="2087">
        <v>0.4</v>
      </c>
      <c r="BZ174" s="2087">
        <v>0.4</v>
      </c>
      <c r="CA174" s="2087">
        <v>0.4</v>
      </c>
      <c r="CB174" s="2088"/>
      <c r="CC174" s="2087"/>
      <c r="CD174" s="2087"/>
    </row>
    <row r="175" spans="1:83">
      <c r="B175" s="1597" t="str">
        <f t="shared" ref="B175:B180" si="174">P175</f>
        <v>3.2.1</v>
      </c>
      <c r="C175" s="1734" t="str">
        <f t="shared" si="171"/>
        <v>風害の抑制</v>
      </c>
      <c r="D175" s="1716">
        <f t="shared" ref="D175:E177" si="175">IF(I$174=0,0,G175/I$174)</f>
        <v>0.7</v>
      </c>
      <c r="E175" s="1716">
        <f t="shared" si="175"/>
        <v>0</v>
      </c>
      <c r="G175" s="1691">
        <f t="shared" si="166"/>
        <v>0.7</v>
      </c>
      <c r="H175" s="1691">
        <f t="shared" si="167"/>
        <v>0</v>
      </c>
      <c r="I175" s="1691"/>
      <c r="J175" s="1691"/>
      <c r="K175" s="1691">
        <f>IF(スコア表示!W175=0,0,1)</f>
        <v>1</v>
      </c>
      <c r="L175" s="1691">
        <f>IF(スコア表示!AA175=0,0,1)</f>
        <v>0</v>
      </c>
      <c r="M175" s="1691">
        <f t="shared" si="172"/>
        <v>0.7</v>
      </c>
      <c r="N175" s="1691">
        <f t="shared" si="145"/>
        <v>0</v>
      </c>
      <c r="P175" s="1630" t="str">
        <f t="shared" si="146"/>
        <v>3.2.1</v>
      </c>
      <c r="Q175" s="1693" t="str">
        <f t="shared" si="147"/>
        <v>LR3 3.2</v>
      </c>
      <c r="R175" s="1694" t="str">
        <f t="shared" si="173"/>
        <v>風害の抑制</v>
      </c>
      <c r="S175" s="1623">
        <f t="shared" si="152"/>
        <v>0.7</v>
      </c>
      <c r="T175" s="1623">
        <f t="shared" si="153"/>
        <v>0.7</v>
      </c>
      <c r="U175" s="1623">
        <f t="shared" si="154"/>
        <v>0.7</v>
      </c>
      <c r="V175" s="1623">
        <f t="shared" si="155"/>
        <v>0.7</v>
      </c>
      <c r="W175" s="1623">
        <f t="shared" si="156"/>
        <v>0.7</v>
      </c>
      <c r="X175" s="1623">
        <f t="shared" si="157"/>
        <v>0.7</v>
      </c>
      <c r="Y175" s="1623">
        <f t="shared" si="158"/>
        <v>0.7</v>
      </c>
      <c r="Z175" s="1623">
        <f t="shared" si="159"/>
        <v>0.7</v>
      </c>
      <c r="AA175" s="1623">
        <f t="shared" si="160"/>
        <v>0.7</v>
      </c>
      <c r="AB175" s="1623">
        <f t="shared" si="161"/>
        <v>0.6</v>
      </c>
      <c r="AC175" s="1662">
        <f t="shared" si="149"/>
        <v>0</v>
      </c>
      <c r="AD175" s="1661">
        <f t="shared" si="150"/>
        <v>0</v>
      </c>
      <c r="AE175" s="1661">
        <f t="shared" si="151"/>
        <v>0</v>
      </c>
      <c r="AG175" s="1630" t="s">
        <v>1490</v>
      </c>
      <c r="AH175" s="1693" t="s">
        <v>386</v>
      </c>
      <c r="AI175" s="1694" t="s">
        <v>1620</v>
      </c>
      <c r="AJ175" s="1623">
        <v>0.7</v>
      </c>
      <c r="AK175" s="1623">
        <v>0.7</v>
      </c>
      <c r="AL175" s="1623">
        <v>0.7</v>
      </c>
      <c r="AM175" s="1623">
        <v>0.7</v>
      </c>
      <c r="AN175" s="1623">
        <v>0.7</v>
      </c>
      <c r="AO175" s="1623">
        <v>0.7</v>
      </c>
      <c r="AP175" s="1623">
        <v>0.7</v>
      </c>
      <c r="AQ175" s="1623">
        <v>0.7</v>
      </c>
      <c r="AR175" s="1623">
        <v>0.7</v>
      </c>
      <c r="AS175" s="2356">
        <v>0.6</v>
      </c>
      <c r="AT175" s="2088"/>
      <c r="AU175" s="2087"/>
      <c r="AV175" s="2087"/>
      <c r="AX175" s="1630" t="s">
        <v>1490</v>
      </c>
      <c r="AY175" s="1693" t="s">
        <v>386</v>
      </c>
      <c r="AZ175" s="1694" t="s">
        <v>1620</v>
      </c>
      <c r="BA175" s="1623">
        <v>0.7</v>
      </c>
      <c r="BB175" s="1623">
        <v>0.7</v>
      </c>
      <c r="BC175" s="1623">
        <v>0.7</v>
      </c>
      <c r="BD175" s="1623">
        <v>0.7</v>
      </c>
      <c r="BE175" s="1623">
        <v>0.7</v>
      </c>
      <c r="BF175" s="1623">
        <v>0.7</v>
      </c>
      <c r="BG175" s="1623">
        <v>0.7</v>
      </c>
      <c r="BH175" s="1623">
        <v>0.7</v>
      </c>
      <c r="BI175" s="1623">
        <v>0.7</v>
      </c>
      <c r="BJ175" s="2087">
        <v>0.6</v>
      </c>
      <c r="BK175" s="2088"/>
      <c r="BL175" s="2087"/>
      <c r="BM175" s="2087"/>
      <c r="BO175" s="1630" t="s">
        <v>1672</v>
      </c>
      <c r="BP175" s="1693" t="s">
        <v>386</v>
      </c>
      <c r="BQ175" s="1694" t="s">
        <v>1673</v>
      </c>
      <c r="BR175" s="1623">
        <v>0.7</v>
      </c>
      <c r="BS175" s="1623">
        <v>0.7</v>
      </c>
      <c r="BT175" s="1623">
        <v>0.7</v>
      </c>
      <c r="BU175" s="1623">
        <v>0.7</v>
      </c>
      <c r="BV175" s="1623">
        <v>0.7</v>
      </c>
      <c r="BW175" s="1623">
        <v>0.7</v>
      </c>
      <c r="BX175" s="1623">
        <v>0.7</v>
      </c>
      <c r="BY175" s="1623">
        <v>0.7</v>
      </c>
      <c r="BZ175" s="1623">
        <v>0.7</v>
      </c>
      <c r="CA175" s="2087">
        <v>0.6</v>
      </c>
      <c r="CB175" s="2088"/>
      <c r="CC175" s="2087"/>
      <c r="CD175" s="2087"/>
    </row>
    <row r="176" spans="1:83">
      <c r="B176" s="1597" t="str">
        <f t="shared" si="174"/>
        <v>3.2.2</v>
      </c>
      <c r="C176" s="1734" t="str">
        <f t="shared" si="171"/>
        <v>砂塵の抑制</v>
      </c>
      <c r="D176" s="1716">
        <f t="shared" si="175"/>
        <v>0</v>
      </c>
      <c r="E176" s="1716">
        <f t="shared" si="175"/>
        <v>0</v>
      </c>
      <c r="G176" s="1691">
        <f t="shared" si="166"/>
        <v>0</v>
      </c>
      <c r="H176" s="1691">
        <f t="shared" si="167"/>
        <v>0</v>
      </c>
      <c r="I176" s="1691"/>
      <c r="J176" s="1691"/>
      <c r="K176" s="1691">
        <f>IF(スコア表示!W176=0,0,1)</f>
        <v>1</v>
      </c>
      <c r="L176" s="1691">
        <f>IF(スコア表示!AA176=0,0,1)</f>
        <v>0</v>
      </c>
      <c r="M176" s="1691">
        <f t="shared" si="172"/>
        <v>0</v>
      </c>
      <c r="N176" s="1691">
        <f t="shared" si="145"/>
        <v>0</v>
      </c>
      <c r="P176" s="1630" t="str">
        <f t="shared" si="146"/>
        <v>3.2.2</v>
      </c>
      <c r="Q176" s="1693" t="str">
        <f t="shared" si="147"/>
        <v>LR3 3.2</v>
      </c>
      <c r="R176" s="1694" t="str">
        <f t="shared" si="173"/>
        <v>砂塵の抑制</v>
      </c>
      <c r="S176" s="1623">
        <f t="shared" si="152"/>
        <v>0</v>
      </c>
      <c r="T176" s="1623">
        <f t="shared" si="153"/>
        <v>0</v>
      </c>
      <c r="U176" s="1623">
        <f t="shared" si="154"/>
        <v>0</v>
      </c>
      <c r="V176" s="1623">
        <f t="shared" si="155"/>
        <v>0</v>
      </c>
      <c r="W176" s="1623">
        <f t="shared" si="156"/>
        <v>0</v>
      </c>
      <c r="X176" s="1623">
        <f t="shared" si="157"/>
        <v>0</v>
      </c>
      <c r="Y176" s="1623">
        <f t="shared" si="158"/>
        <v>0</v>
      </c>
      <c r="Z176" s="1623">
        <f t="shared" si="159"/>
        <v>0</v>
      </c>
      <c r="AA176" s="1623">
        <f t="shared" si="160"/>
        <v>0</v>
      </c>
      <c r="AB176" s="1623">
        <f t="shared" si="161"/>
        <v>0.2</v>
      </c>
      <c r="AC176" s="1662">
        <f t="shared" si="149"/>
        <v>0</v>
      </c>
      <c r="AD176" s="1661">
        <f t="shared" si="150"/>
        <v>0</v>
      </c>
      <c r="AE176" s="1661">
        <f t="shared" si="151"/>
        <v>0</v>
      </c>
      <c r="AG176" s="1630" t="s">
        <v>379</v>
      </c>
      <c r="AH176" s="1693" t="s">
        <v>387</v>
      </c>
      <c r="AI176" s="1694" t="s">
        <v>1158</v>
      </c>
      <c r="AJ176" s="1623"/>
      <c r="AK176" s="1623"/>
      <c r="AL176" s="1623"/>
      <c r="AM176" s="1623"/>
      <c r="AN176" s="1623"/>
      <c r="AO176" s="1623"/>
      <c r="AP176" s="1623"/>
      <c r="AQ176" s="1623"/>
      <c r="AR176" s="1623"/>
      <c r="AS176" s="2356">
        <v>0.2</v>
      </c>
      <c r="AT176" s="2088"/>
      <c r="AU176" s="2087"/>
      <c r="AV176" s="2087"/>
      <c r="AX176" s="1630" t="s">
        <v>1492</v>
      </c>
      <c r="AY176" s="1693" t="s">
        <v>1621</v>
      </c>
      <c r="AZ176" s="1694" t="s">
        <v>1158</v>
      </c>
      <c r="BA176" s="1623"/>
      <c r="BB176" s="1623"/>
      <c r="BC176" s="1623"/>
      <c r="BD176" s="1623"/>
      <c r="BE176" s="1623"/>
      <c r="BF176" s="1623"/>
      <c r="BG176" s="1623"/>
      <c r="BH176" s="1623"/>
      <c r="BI176" s="1623"/>
      <c r="BJ176" s="2087">
        <v>0.2</v>
      </c>
      <c r="BK176" s="2088"/>
      <c r="BL176" s="2087"/>
      <c r="BM176" s="2087"/>
      <c r="BO176" s="1630" t="s">
        <v>1674</v>
      </c>
      <c r="BP176" s="1693" t="s">
        <v>1675</v>
      </c>
      <c r="BQ176" s="1694" t="s">
        <v>1158</v>
      </c>
      <c r="BR176" s="1623"/>
      <c r="BS176" s="1623"/>
      <c r="BT176" s="1623"/>
      <c r="BU176" s="1623"/>
      <c r="BV176" s="1623"/>
      <c r="BW176" s="1623"/>
      <c r="BX176" s="1623"/>
      <c r="BY176" s="1623"/>
      <c r="BZ176" s="1623"/>
      <c r="CA176" s="2087">
        <v>0.2</v>
      </c>
      <c r="CB176" s="2088"/>
      <c r="CC176" s="2087"/>
      <c r="CD176" s="2087"/>
    </row>
    <row r="177" spans="2:82" s="1558" customFormat="1">
      <c r="B177" s="1597" t="str">
        <f t="shared" si="174"/>
        <v>3.2.3</v>
      </c>
      <c r="C177" s="1734" t="str">
        <f t="shared" si="171"/>
        <v>日照阻害の抑制</v>
      </c>
      <c r="D177" s="1716">
        <f t="shared" si="175"/>
        <v>0.3</v>
      </c>
      <c r="E177" s="1716">
        <f t="shared" si="175"/>
        <v>0</v>
      </c>
      <c r="F177"/>
      <c r="G177" s="1691">
        <f t="shared" si="166"/>
        <v>0.3</v>
      </c>
      <c r="H177" s="1691">
        <f t="shared" si="167"/>
        <v>0</v>
      </c>
      <c r="I177" s="1691"/>
      <c r="J177" s="1691"/>
      <c r="K177" s="1691">
        <f>IF(スコア表示!W177=0,0,1)</f>
        <v>1</v>
      </c>
      <c r="L177" s="1691">
        <f>IF(スコア表示!AA177=0,0,1)</f>
        <v>0</v>
      </c>
      <c r="M177" s="1691">
        <f t="shared" si="172"/>
        <v>0.3</v>
      </c>
      <c r="N177" s="1691">
        <f t="shared" si="145"/>
        <v>0</v>
      </c>
      <c r="O177"/>
      <c r="P177" s="1630" t="str">
        <f t="shared" si="146"/>
        <v>3.2.3</v>
      </c>
      <c r="Q177" s="1693" t="str">
        <f t="shared" si="147"/>
        <v>LR3 3.2</v>
      </c>
      <c r="R177" s="1694" t="str">
        <f t="shared" si="173"/>
        <v>日照阻害の抑制</v>
      </c>
      <c r="S177" s="1623">
        <f t="shared" si="152"/>
        <v>0.3</v>
      </c>
      <c r="T177" s="1623">
        <f t="shared" si="153"/>
        <v>0.3</v>
      </c>
      <c r="U177" s="1623">
        <f t="shared" si="154"/>
        <v>0.3</v>
      </c>
      <c r="V177" s="1623">
        <f t="shared" si="155"/>
        <v>0.3</v>
      </c>
      <c r="W177" s="1623">
        <f t="shared" si="156"/>
        <v>0.3</v>
      </c>
      <c r="X177" s="1623">
        <f t="shared" si="157"/>
        <v>0.3</v>
      </c>
      <c r="Y177" s="1623">
        <f t="shared" si="158"/>
        <v>0.3</v>
      </c>
      <c r="Z177" s="1623">
        <f t="shared" si="159"/>
        <v>0.3</v>
      </c>
      <c r="AA177" s="1623">
        <f t="shared" si="160"/>
        <v>0.3</v>
      </c>
      <c r="AB177" s="1623">
        <f t="shared" si="161"/>
        <v>0.2</v>
      </c>
      <c r="AC177" s="1662">
        <f t="shared" si="149"/>
        <v>0</v>
      </c>
      <c r="AD177" s="1661">
        <f t="shared" si="150"/>
        <v>0</v>
      </c>
      <c r="AE177" s="1661">
        <f t="shared" si="151"/>
        <v>0</v>
      </c>
      <c r="AF177"/>
      <c r="AG177" s="1630" t="s">
        <v>1492</v>
      </c>
      <c r="AH177" s="1693" t="s">
        <v>386</v>
      </c>
      <c r="AI177" s="1694" t="s">
        <v>1622</v>
      </c>
      <c r="AJ177" s="1623">
        <v>0.3</v>
      </c>
      <c r="AK177" s="1623">
        <v>0.3</v>
      </c>
      <c r="AL177" s="1623">
        <v>0.3</v>
      </c>
      <c r="AM177" s="1623">
        <v>0.3</v>
      </c>
      <c r="AN177" s="1623">
        <v>0.3</v>
      </c>
      <c r="AO177" s="1623">
        <v>0.3</v>
      </c>
      <c r="AP177" s="1623">
        <v>0.3</v>
      </c>
      <c r="AQ177" s="1623">
        <v>0.3</v>
      </c>
      <c r="AR177" s="1623">
        <v>0.3</v>
      </c>
      <c r="AS177" s="2356">
        <v>0.2</v>
      </c>
      <c r="AT177" s="2088"/>
      <c r="AU177" s="2087"/>
      <c r="AV177" s="2087"/>
      <c r="AW177"/>
      <c r="AX177" s="1630" t="s">
        <v>1607</v>
      </c>
      <c r="AY177" s="1693" t="s">
        <v>386</v>
      </c>
      <c r="AZ177" s="1694" t="s">
        <v>1622</v>
      </c>
      <c r="BA177" s="1623">
        <v>0.3</v>
      </c>
      <c r="BB177" s="1623">
        <v>0.3</v>
      </c>
      <c r="BC177" s="1623">
        <v>0.3</v>
      </c>
      <c r="BD177" s="1623">
        <v>0.3</v>
      </c>
      <c r="BE177" s="1623">
        <v>0.3</v>
      </c>
      <c r="BF177" s="1623">
        <v>0.3</v>
      </c>
      <c r="BG177" s="1623">
        <v>0.3</v>
      </c>
      <c r="BH177" s="1623">
        <v>0.3</v>
      </c>
      <c r="BI177" s="1623">
        <v>0.3</v>
      </c>
      <c r="BJ177" s="2087">
        <v>0.2</v>
      </c>
      <c r="BK177" s="2088"/>
      <c r="BL177" s="2087"/>
      <c r="BM177" s="2087"/>
      <c r="BN177"/>
      <c r="BO177" s="1630" t="s">
        <v>1676</v>
      </c>
      <c r="BP177" s="1693" t="s">
        <v>386</v>
      </c>
      <c r="BQ177" s="1694" t="s">
        <v>1677</v>
      </c>
      <c r="BR177" s="1623">
        <v>0.3</v>
      </c>
      <c r="BS177" s="1623">
        <v>0.3</v>
      </c>
      <c r="BT177" s="1623">
        <v>0.3</v>
      </c>
      <c r="BU177" s="1623">
        <v>0.3</v>
      </c>
      <c r="BV177" s="1623">
        <v>0.3</v>
      </c>
      <c r="BW177" s="1623">
        <v>0.3</v>
      </c>
      <c r="BX177" s="1623">
        <v>0.3</v>
      </c>
      <c r="BY177" s="1623">
        <v>0.3</v>
      </c>
      <c r="BZ177" s="1623">
        <v>0.3</v>
      </c>
      <c r="CA177" s="2087">
        <v>0.2</v>
      </c>
      <c r="CB177" s="2088"/>
      <c r="CC177" s="2087"/>
      <c r="CD177" s="2087"/>
    </row>
    <row r="178" spans="2:82" s="1558" customFormat="1">
      <c r="B178" s="1597" t="str">
        <f t="shared" si="174"/>
        <v>3.3</v>
      </c>
      <c r="C178" s="1734" t="str">
        <f t="shared" si="171"/>
        <v>光害の抑制</v>
      </c>
      <c r="D178" s="1716">
        <f>IF(I$169=0,0,G178/I$169)</f>
        <v>0.2</v>
      </c>
      <c r="E178" s="1716">
        <f>IF(J$169=0,0,H178/J$169)</f>
        <v>0</v>
      </c>
      <c r="F178"/>
      <c r="G178" s="1691">
        <f t="shared" si="166"/>
        <v>0.2</v>
      </c>
      <c r="H178" s="1691">
        <f t="shared" si="167"/>
        <v>0</v>
      </c>
      <c r="I178" s="1691">
        <f>SUM(G179:G180)</f>
        <v>1</v>
      </c>
      <c r="J178" s="1691">
        <f>SUM(H179:H180)</f>
        <v>0</v>
      </c>
      <c r="K178" s="1691">
        <f>IF(スコア表示!W178=0,0,1)</f>
        <v>1</v>
      </c>
      <c r="L178" s="1691">
        <f>IF(スコア表示!AA178=0,0,1)</f>
        <v>0</v>
      </c>
      <c r="M178" s="1691">
        <f t="shared" si="172"/>
        <v>0.2</v>
      </c>
      <c r="N178" s="1691">
        <f t="shared" si="145"/>
        <v>0</v>
      </c>
      <c r="O178"/>
      <c r="P178" s="2102" t="str">
        <f t="shared" si="146"/>
        <v>3.3</v>
      </c>
      <c r="Q178" s="1693" t="str">
        <f t="shared" si="147"/>
        <v>LR3 3</v>
      </c>
      <c r="R178" s="1737" t="str">
        <f t="shared" si="173"/>
        <v>光害の抑制</v>
      </c>
      <c r="S178" s="2087">
        <f t="shared" si="152"/>
        <v>0.2</v>
      </c>
      <c r="T178" s="2087">
        <f t="shared" si="153"/>
        <v>0.2</v>
      </c>
      <c r="U178" s="2087">
        <f t="shared" si="154"/>
        <v>0.2</v>
      </c>
      <c r="V178" s="2087">
        <f t="shared" si="155"/>
        <v>0.2</v>
      </c>
      <c r="W178" s="2087">
        <f t="shared" si="156"/>
        <v>0.2</v>
      </c>
      <c r="X178" s="2087">
        <f t="shared" si="157"/>
        <v>0.2</v>
      </c>
      <c r="Y178" s="2087">
        <f t="shared" si="158"/>
        <v>0.2</v>
      </c>
      <c r="Z178" s="2087">
        <f t="shared" si="159"/>
        <v>0.2</v>
      </c>
      <c r="AA178" s="2087">
        <f t="shared" si="160"/>
        <v>0.2</v>
      </c>
      <c r="AB178" s="2087">
        <f t="shared" si="161"/>
        <v>0.2</v>
      </c>
      <c r="AC178" s="1662">
        <f t="shared" si="149"/>
        <v>0</v>
      </c>
      <c r="AD178" s="1661">
        <f t="shared" si="150"/>
        <v>0</v>
      </c>
      <c r="AE178" s="1661">
        <f t="shared" si="151"/>
        <v>0</v>
      </c>
      <c r="AF178"/>
      <c r="AG178" s="1630" t="s">
        <v>1623</v>
      </c>
      <c r="AH178" s="1693" t="s">
        <v>384</v>
      </c>
      <c r="AI178" s="1694" t="s">
        <v>1160</v>
      </c>
      <c r="AJ178" s="1623">
        <v>0.2</v>
      </c>
      <c r="AK178" s="1623">
        <v>0.2</v>
      </c>
      <c r="AL178" s="1623">
        <v>0.2</v>
      </c>
      <c r="AM178" s="1623">
        <v>0.2</v>
      </c>
      <c r="AN178" s="1623">
        <v>0.2</v>
      </c>
      <c r="AO178" s="1623">
        <v>0.2</v>
      </c>
      <c r="AP178" s="1623">
        <v>0.2</v>
      </c>
      <c r="AQ178" s="1623">
        <v>0.2</v>
      </c>
      <c r="AR178" s="1623">
        <v>0.2</v>
      </c>
      <c r="AS178" s="2087">
        <v>0.2</v>
      </c>
      <c r="AT178" s="2088"/>
      <c r="AU178" s="2087"/>
      <c r="AV178" s="2087"/>
      <c r="AW178"/>
      <c r="AX178" s="1630" t="s">
        <v>1623</v>
      </c>
      <c r="AY178" s="1693" t="s">
        <v>384</v>
      </c>
      <c r="AZ178" s="1694" t="s">
        <v>1160</v>
      </c>
      <c r="BA178" s="2087">
        <v>0.2</v>
      </c>
      <c r="BB178" s="2087">
        <v>0.2</v>
      </c>
      <c r="BC178" s="2087">
        <v>0.2</v>
      </c>
      <c r="BD178" s="2087">
        <v>0.2</v>
      </c>
      <c r="BE178" s="2087">
        <v>0.2</v>
      </c>
      <c r="BF178" s="2087">
        <v>0.2</v>
      </c>
      <c r="BG178" s="2087">
        <v>0.2</v>
      </c>
      <c r="BH178" s="2087">
        <v>0.2</v>
      </c>
      <c r="BI178" s="2087">
        <v>0.2</v>
      </c>
      <c r="BJ178" s="2087">
        <v>0.2</v>
      </c>
      <c r="BK178" s="2088"/>
      <c r="BL178" s="2087"/>
      <c r="BM178" s="2087"/>
      <c r="BN178"/>
      <c r="BO178" s="1630" t="s">
        <v>1678</v>
      </c>
      <c r="BP178" s="1693" t="s">
        <v>384</v>
      </c>
      <c r="BQ178" s="1694" t="s">
        <v>1160</v>
      </c>
      <c r="BR178" s="2087">
        <v>0.2</v>
      </c>
      <c r="BS178" s="2087">
        <v>0.2</v>
      </c>
      <c r="BT178" s="2087">
        <v>0.2</v>
      </c>
      <c r="BU178" s="2087">
        <v>0.2</v>
      </c>
      <c r="BV178" s="2087">
        <v>0.2</v>
      </c>
      <c r="BW178" s="2087">
        <v>0.2</v>
      </c>
      <c r="BX178" s="2087">
        <v>0.2</v>
      </c>
      <c r="BY178" s="2087">
        <v>0.2</v>
      </c>
      <c r="BZ178" s="2087">
        <v>0.2</v>
      </c>
      <c r="CA178" s="2087">
        <v>0.2</v>
      </c>
      <c r="CB178" s="2088"/>
      <c r="CC178" s="2087"/>
      <c r="CD178" s="2087"/>
    </row>
    <row r="179" spans="2:82" s="1558" customFormat="1">
      <c r="B179" s="1597" t="str">
        <f t="shared" si="174"/>
        <v>3.3.1</v>
      </c>
      <c r="C179" s="1745" t="str">
        <f t="shared" si="171"/>
        <v>屋外照明及び屋内照明のうち外に漏れる光への対策</v>
      </c>
      <c r="D179" s="1716">
        <f>IF(I$178=0,0,G179/I$178)</f>
        <v>0.7</v>
      </c>
      <c r="E179" s="1716">
        <f>IF(J$178=0,0,H179/J$178)</f>
        <v>0</v>
      </c>
      <c r="F179"/>
      <c r="G179" s="1691">
        <f t="shared" si="166"/>
        <v>0.7</v>
      </c>
      <c r="H179" s="1691">
        <f t="shared" si="167"/>
        <v>0</v>
      </c>
      <c r="I179" s="1691"/>
      <c r="J179" s="1691"/>
      <c r="K179" s="1691">
        <f>IF(スコア表示!W179=0,0,1)</f>
        <v>1</v>
      </c>
      <c r="L179" s="1691">
        <f>IF(スコア表示!AA179=0,0,1)</f>
        <v>0</v>
      </c>
      <c r="M179" s="1691">
        <f t="shared" si="172"/>
        <v>0.7</v>
      </c>
      <c r="N179" s="1691">
        <f t="shared" si="145"/>
        <v>0</v>
      </c>
      <c r="O179"/>
      <c r="P179" s="1630" t="str">
        <f t="shared" si="146"/>
        <v>3.3.1</v>
      </c>
      <c r="Q179" s="1693" t="str">
        <f t="shared" si="147"/>
        <v>LR3 3.3</v>
      </c>
      <c r="R179" s="1694" t="str">
        <f t="shared" si="173"/>
        <v>屋外照明及び屋内照明のうち外に漏れる光への対策</v>
      </c>
      <c r="S179" s="1623">
        <f t="shared" si="152"/>
        <v>0.7</v>
      </c>
      <c r="T179" s="1623">
        <f t="shared" si="153"/>
        <v>0.7</v>
      </c>
      <c r="U179" s="1623">
        <f t="shared" si="154"/>
        <v>0.7</v>
      </c>
      <c r="V179" s="1623">
        <f t="shared" si="155"/>
        <v>0.7</v>
      </c>
      <c r="W179" s="1623">
        <f t="shared" si="156"/>
        <v>0.7</v>
      </c>
      <c r="X179" s="1623">
        <f t="shared" si="157"/>
        <v>0.7</v>
      </c>
      <c r="Y179" s="1623">
        <f t="shared" si="158"/>
        <v>0.7</v>
      </c>
      <c r="Z179" s="1623">
        <f t="shared" si="159"/>
        <v>0.7</v>
      </c>
      <c r="AA179" s="1623">
        <f t="shared" si="160"/>
        <v>0.7</v>
      </c>
      <c r="AB179" s="1623">
        <f t="shared" si="161"/>
        <v>0.7</v>
      </c>
      <c r="AC179" s="1662">
        <f t="shared" si="149"/>
        <v>0</v>
      </c>
      <c r="AD179" s="1661">
        <f t="shared" si="150"/>
        <v>0</v>
      </c>
      <c r="AE179" s="1661">
        <f t="shared" si="151"/>
        <v>0</v>
      </c>
      <c r="AF179"/>
      <c r="AG179" s="1630" t="s">
        <v>1495</v>
      </c>
      <c r="AH179" s="1693" t="s">
        <v>387</v>
      </c>
      <c r="AI179" s="1694" t="s">
        <v>1624</v>
      </c>
      <c r="AJ179" s="2087">
        <v>0.7</v>
      </c>
      <c r="AK179" s="2087">
        <v>0.7</v>
      </c>
      <c r="AL179" s="2087">
        <v>0.7</v>
      </c>
      <c r="AM179" s="2087">
        <v>0.7</v>
      </c>
      <c r="AN179" s="2087">
        <v>0.7</v>
      </c>
      <c r="AO179" s="2087">
        <v>0.7</v>
      </c>
      <c r="AP179" s="2087">
        <v>0.7</v>
      </c>
      <c r="AQ179" s="2087">
        <v>0.7</v>
      </c>
      <c r="AR179" s="2087">
        <v>0.7</v>
      </c>
      <c r="AS179" s="1623">
        <v>0.7</v>
      </c>
      <c r="AT179" s="2088"/>
      <c r="AU179" s="2087"/>
      <c r="AV179" s="2087"/>
      <c r="AW179"/>
      <c r="AX179" s="1630" t="s">
        <v>1495</v>
      </c>
      <c r="AY179" s="1693" t="s">
        <v>387</v>
      </c>
      <c r="AZ179" s="1694" t="s">
        <v>1624</v>
      </c>
      <c r="BA179" s="1623">
        <v>0.7</v>
      </c>
      <c r="BB179" s="1623">
        <v>0.7</v>
      </c>
      <c r="BC179" s="1623">
        <v>0.7</v>
      </c>
      <c r="BD179" s="1623">
        <v>0.7</v>
      </c>
      <c r="BE179" s="1623">
        <v>0.7</v>
      </c>
      <c r="BF179" s="1623">
        <v>0.7</v>
      </c>
      <c r="BG179" s="1623">
        <v>0.7</v>
      </c>
      <c r="BH179" s="1623">
        <v>0.7</v>
      </c>
      <c r="BI179" s="1623">
        <v>0.7</v>
      </c>
      <c r="BJ179" s="1623">
        <v>0.7</v>
      </c>
      <c r="BK179" s="2088"/>
      <c r="BL179" s="2087"/>
      <c r="BM179" s="2087"/>
      <c r="BN179"/>
      <c r="BO179" s="1630" t="s">
        <v>1679</v>
      </c>
      <c r="BP179" s="1693" t="s">
        <v>387</v>
      </c>
      <c r="BQ179" s="1694" t="s">
        <v>1680</v>
      </c>
      <c r="BR179" s="1623">
        <v>0.7</v>
      </c>
      <c r="BS179" s="1623">
        <v>0.7</v>
      </c>
      <c r="BT179" s="1623">
        <v>0.7</v>
      </c>
      <c r="BU179" s="1623">
        <v>0.7</v>
      </c>
      <c r="BV179" s="1623">
        <v>0.7</v>
      </c>
      <c r="BW179" s="1623">
        <v>0.7</v>
      </c>
      <c r="BX179" s="1623">
        <v>0.7</v>
      </c>
      <c r="BY179" s="1623">
        <v>0.7</v>
      </c>
      <c r="BZ179" s="1623">
        <v>0.7</v>
      </c>
      <c r="CA179" s="1623">
        <v>0.7</v>
      </c>
      <c r="CB179" s="2088"/>
      <c r="CC179" s="2087"/>
      <c r="CD179" s="2087"/>
    </row>
    <row r="180" spans="2:82" s="1558" customFormat="1">
      <c r="B180" s="1597" t="str">
        <f t="shared" si="174"/>
        <v>3.3.2</v>
      </c>
      <c r="C180" s="1737" t="str">
        <f t="shared" si="171"/>
        <v>昼光の建物外壁による反射光（グレア）への対策</v>
      </c>
      <c r="D180" s="1716">
        <f>IF(I$178=0,0,G180/I$178)</f>
        <v>0.3</v>
      </c>
      <c r="E180" s="1716">
        <f>IF(J$178=0,0,H180/J$178)</f>
        <v>0</v>
      </c>
      <c r="F180"/>
      <c r="G180" s="1691">
        <f t="shared" si="166"/>
        <v>0.3</v>
      </c>
      <c r="H180" s="1691">
        <f t="shared" si="167"/>
        <v>0</v>
      </c>
      <c r="I180" s="1691"/>
      <c r="J180" s="1691"/>
      <c r="K180" s="1691">
        <f>IF(スコア表示!W180=0,0,1)</f>
        <v>1</v>
      </c>
      <c r="L180" s="1691">
        <f>IF(スコア表示!AA180=0,0,1)</f>
        <v>0</v>
      </c>
      <c r="M180" s="1691">
        <f t="shared" si="172"/>
        <v>0.3</v>
      </c>
      <c r="N180" s="1691">
        <f t="shared" si="145"/>
        <v>0</v>
      </c>
      <c r="O180"/>
      <c r="P180" s="1630" t="str">
        <f t="shared" si="146"/>
        <v>3.3.2</v>
      </c>
      <c r="Q180" s="1693" t="str">
        <f t="shared" si="147"/>
        <v>LR3 3.3</v>
      </c>
      <c r="R180" s="1694" t="str">
        <f t="shared" si="173"/>
        <v>昼光の建物外壁による反射光（グレア）への対策</v>
      </c>
      <c r="S180" s="1623">
        <f t="shared" si="152"/>
        <v>0.3</v>
      </c>
      <c r="T180" s="1623">
        <f t="shared" si="153"/>
        <v>0.3</v>
      </c>
      <c r="U180" s="1623">
        <f t="shared" si="154"/>
        <v>0.3</v>
      </c>
      <c r="V180" s="1623">
        <f t="shared" si="155"/>
        <v>0.3</v>
      </c>
      <c r="W180" s="1623">
        <f t="shared" si="156"/>
        <v>0.3</v>
      </c>
      <c r="X180" s="1623">
        <f t="shared" si="157"/>
        <v>0.3</v>
      </c>
      <c r="Y180" s="1623">
        <f t="shared" si="158"/>
        <v>0.3</v>
      </c>
      <c r="Z180" s="1623">
        <f t="shared" si="159"/>
        <v>0.3</v>
      </c>
      <c r="AA180" s="1623">
        <f t="shared" si="160"/>
        <v>0.3</v>
      </c>
      <c r="AB180" s="1623">
        <f t="shared" si="161"/>
        <v>0.3</v>
      </c>
      <c r="AC180" s="1662">
        <f t="shared" si="149"/>
        <v>0</v>
      </c>
      <c r="AD180" s="1661">
        <f t="shared" si="150"/>
        <v>0</v>
      </c>
      <c r="AE180" s="1661">
        <f t="shared" si="151"/>
        <v>0</v>
      </c>
      <c r="AF180"/>
      <c r="AG180" s="1630" t="s">
        <v>1541</v>
      </c>
      <c r="AH180" s="1693" t="s">
        <v>387</v>
      </c>
      <c r="AI180" s="1694" t="s">
        <v>1625</v>
      </c>
      <c r="AJ180" s="1623">
        <v>0.3</v>
      </c>
      <c r="AK180" s="1623">
        <v>0.3</v>
      </c>
      <c r="AL180" s="1623">
        <v>0.3</v>
      </c>
      <c r="AM180" s="1623">
        <v>0.3</v>
      </c>
      <c r="AN180" s="1623">
        <v>0.3</v>
      </c>
      <c r="AO180" s="1623">
        <v>0.3</v>
      </c>
      <c r="AP180" s="1623">
        <v>0.3</v>
      </c>
      <c r="AQ180" s="1623">
        <v>0.3</v>
      </c>
      <c r="AR180" s="1623">
        <v>0.3</v>
      </c>
      <c r="AS180" s="1623">
        <v>0.3</v>
      </c>
      <c r="AT180" s="2088"/>
      <c r="AU180" s="2087"/>
      <c r="AV180" s="2087"/>
      <c r="AW180"/>
      <c r="AX180" s="1630" t="s">
        <v>1541</v>
      </c>
      <c r="AY180" s="1693" t="s">
        <v>387</v>
      </c>
      <c r="AZ180" s="1694" t="s">
        <v>1625</v>
      </c>
      <c r="BA180" s="1623">
        <v>0.3</v>
      </c>
      <c r="BB180" s="1623">
        <v>0.3</v>
      </c>
      <c r="BC180" s="1623">
        <v>0.3</v>
      </c>
      <c r="BD180" s="1623">
        <v>0.3</v>
      </c>
      <c r="BE180" s="1623">
        <v>0.3</v>
      </c>
      <c r="BF180" s="1623">
        <v>0.3</v>
      </c>
      <c r="BG180" s="1623">
        <v>0.3</v>
      </c>
      <c r="BH180" s="1623">
        <v>0.3</v>
      </c>
      <c r="BI180" s="1623">
        <v>0.3</v>
      </c>
      <c r="BJ180" s="1623">
        <v>0.3</v>
      </c>
      <c r="BK180" s="2088"/>
      <c r="BL180" s="2087"/>
      <c r="BM180" s="2087"/>
      <c r="BN180"/>
      <c r="BO180" s="1630" t="s">
        <v>1681</v>
      </c>
      <c r="BP180" s="1693" t="s">
        <v>387</v>
      </c>
      <c r="BQ180" s="1694" t="s">
        <v>1682</v>
      </c>
      <c r="BR180" s="1623">
        <v>0.3</v>
      </c>
      <c r="BS180" s="1623">
        <v>0.3</v>
      </c>
      <c r="BT180" s="1623">
        <v>0.3</v>
      </c>
      <c r="BU180" s="1623">
        <v>0.3</v>
      </c>
      <c r="BV180" s="1623">
        <v>0.3</v>
      </c>
      <c r="BW180" s="1623">
        <v>0.3</v>
      </c>
      <c r="BX180" s="1623">
        <v>0.3</v>
      </c>
      <c r="BY180" s="1623">
        <v>0.3</v>
      </c>
      <c r="BZ180" s="1623">
        <v>0.3</v>
      </c>
      <c r="CA180" s="1623">
        <v>0.3</v>
      </c>
      <c r="CB180" s="2088"/>
      <c r="CC180" s="2087"/>
      <c r="CD180" s="2087"/>
    </row>
    <row r="181" spans="2:82" s="1558" customFormat="1">
      <c r="B181" s="2000"/>
      <c r="C181" s="2001"/>
      <c r="D181" s="2002"/>
      <c r="E181" s="2003"/>
      <c r="F181"/>
      <c r="G181" s="2003"/>
      <c r="H181" s="2003"/>
      <c r="I181" s="2003"/>
      <c r="J181" s="2003"/>
      <c r="K181" s="2003"/>
      <c r="L181" s="2003"/>
      <c r="M181" s="2003"/>
      <c r="N181" s="2003"/>
      <c r="O181"/>
      <c r="P181" s="2004"/>
      <c r="Q181" s="2004"/>
      <c r="R181" s="2005"/>
      <c r="S181" s="2006"/>
      <c r="T181" s="2006"/>
      <c r="U181" s="2006"/>
      <c r="V181" s="2006"/>
      <c r="W181" s="2006"/>
      <c r="X181" s="2006"/>
      <c r="Y181" s="2006"/>
      <c r="Z181" s="2006"/>
      <c r="AA181" s="2006"/>
      <c r="AB181" s="2006"/>
      <c r="AC181" s="2006"/>
      <c r="AD181" s="2006"/>
      <c r="AE181" s="2006"/>
      <c r="AF181"/>
      <c r="AG181" s="2007"/>
      <c r="AH181" s="1747"/>
      <c r="AI181" s="2008"/>
      <c r="AJ181" s="1747"/>
      <c r="AK181" s="1747"/>
      <c r="AL181" s="1747"/>
      <c r="AM181" s="1747"/>
      <c r="AN181" s="1747"/>
      <c r="AO181" s="1747"/>
      <c r="AP181" s="1747"/>
      <c r="AQ181" s="1747"/>
      <c r="AR181" s="1747"/>
      <c r="AS181" s="1747"/>
      <c r="AT181" s="1747"/>
      <c r="AU181" s="1747"/>
      <c r="AV181" s="1747"/>
      <c r="AW181"/>
      <c r="AX181" s="2007"/>
      <c r="AY181" s="1747"/>
      <c r="AZ181" s="2008"/>
      <c r="BA181" s="1747"/>
      <c r="BB181" s="1747"/>
      <c r="BC181" s="1747"/>
      <c r="BD181" s="1747"/>
      <c r="BE181" s="1747"/>
      <c r="BF181" s="1747"/>
      <c r="BG181" s="1747"/>
      <c r="BH181" s="1747"/>
      <c r="BI181" s="1747"/>
      <c r="BJ181" s="1747"/>
      <c r="BK181" s="1747"/>
      <c r="BL181" s="1747"/>
      <c r="BM181" s="1747"/>
      <c r="BN181"/>
      <c r="BO181" s="2007"/>
      <c r="BP181" s="1747"/>
      <c r="BQ181" s="2008"/>
      <c r="BR181" s="1747"/>
      <c r="BS181" s="1747"/>
      <c r="BT181" s="1747"/>
      <c r="BU181" s="1747"/>
      <c r="BV181" s="1747"/>
      <c r="BW181" s="1747"/>
      <c r="BX181" s="1747"/>
      <c r="BY181" s="1747"/>
      <c r="BZ181" s="1747"/>
      <c r="CA181" s="1747"/>
      <c r="CB181" s="1747"/>
      <c r="CC181" s="1747"/>
      <c r="CD181" s="1747"/>
    </row>
    <row r="182" spans="2:82" s="1558" customFormat="1" hidden="1">
      <c r="B182" s="2000"/>
      <c r="C182" s="2001"/>
      <c r="D182" s="2002"/>
      <c r="E182" s="2003"/>
      <c r="F182"/>
      <c r="G182" s="2003"/>
      <c r="H182" s="2003"/>
      <c r="I182" s="2003"/>
      <c r="J182" s="2003"/>
      <c r="K182" s="2003"/>
      <c r="L182" s="2003"/>
      <c r="M182" s="2003"/>
      <c r="N182" s="2003"/>
      <c r="O182"/>
      <c r="P182" s="2004"/>
      <c r="Q182" s="2004"/>
      <c r="R182" s="2005"/>
      <c r="S182" s="2006"/>
      <c r="T182" s="2006"/>
      <c r="U182" s="2006"/>
      <c r="V182" s="2006"/>
      <c r="W182" s="2006"/>
      <c r="X182" s="2006"/>
      <c r="Y182" s="2006"/>
      <c r="Z182" s="2006"/>
      <c r="AA182" s="2006"/>
      <c r="AB182" s="2006"/>
      <c r="AC182" s="2006"/>
      <c r="AD182" s="2006"/>
      <c r="AE182" s="2006"/>
      <c r="AF182"/>
      <c r="AG182" s="2007"/>
      <c r="AH182" s="1747"/>
      <c r="AI182" s="2008"/>
      <c r="AJ182" s="1747"/>
      <c r="AK182" s="1747"/>
      <c r="AL182" s="1747"/>
      <c r="AM182" s="1747"/>
      <c r="AN182" s="1747"/>
      <c r="AO182" s="1747"/>
      <c r="AP182" s="1747"/>
      <c r="AQ182" s="1747"/>
      <c r="AR182" s="1747"/>
      <c r="AS182" s="1747"/>
      <c r="AT182" s="1747"/>
      <c r="AU182" s="1747"/>
      <c r="AV182" s="1747"/>
      <c r="AW182"/>
      <c r="AX182" s="2007"/>
      <c r="AY182" s="1747"/>
      <c r="AZ182" s="2008"/>
      <c r="BA182" s="1747"/>
      <c r="BB182" s="1747"/>
      <c r="BC182" s="1747"/>
      <c r="BD182" s="1747"/>
      <c r="BE182" s="1747"/>
      <c r="BF182" s="1747"/>
      <c r="BG182" s="1747"/>
      <c r="BH182" s="1747"/>
      <c r="BI182" s="1747"/>
      <c r="BJ182" s="1747"/>
      <c r="BK182" s="1747"/>
      <c r="BL182" s="1747"/>
      <c r="BM182" s="1747"/>
      <c r="BN182"/>
      <c r="BO182" s="2007"/>
      <c r="BP182" s="1747"/>
      <c r="BQ182" s="2008"/>
      <c r="BR182" s="1747"/>
      <c r="BS182" s="1747"/>
      <c r="BT182" s="1747"/>
      <c r="BU182" s="1747"/>
      <c r="BV182" s="1747"/>
      <c r="BW182" s="1747"/>
      <c r="BX182" s="1747"/>
      <c r="BY182" s="1747"/>
      <c r="BZ182" s="1747"/>
      <c r="CA182" s="1747"/>
      <c r="CB182" s="1747"/>
      <c r="CC182" s="1747"/>
      <c r="CD182" s="1747"/>
    </row>
    <row r="183" spans="2:82" s="1558" customFormat="1" hidden="1">
      <c r="B183" s="2000"/>
      <c r="C183" s="2001"/>
      <c r="D183" s="2002"/>
      <c r="E183" s="2003"/>
      <c r="F183"/>
      <c r="G183" s="2003"/>
      <c r="H183" s="2003"/>
      <c r="I183" s="2003"/>
      <c r="J183" s="2003"/>
      <c r="K183" s="2003"/>
      <c r="L183" s="2003"/>
      <c r="M183" s="2003"/>
      <c r="N183" s="2003"/>
      <c r="O183"/>
      <c r="P183" s="2004"/>
      <c r="Q183" s="2004"/>
      <c r="R183" s="2005"/>
      <c r="S183" s="2006"/>
      <c r="T183" s="2006"/>
      <c r="U183" s="2006"/>
      <c r="V183" s="2006"/>
      <c r="W183" s="2006"/>
      <c r="X183" s="2006"/>
      <c r="Y183" s="2006"/>
      <c r="Z183" s="2006"/>
      <c r="AA183" s="2006"/>
      <c r="AB183" s="2006"/>
      <c r="AC183" s="2006"/>
      <c r="AD183" s="2006"/>
      <c r="AE183" s="2006"/>
      <c r="AF183"/>
      <c r="AG183" s="2007"/>
      <c r="AH183" s="1747"/>
      <c r="AI183" s="2008"/>
      <c r="AJ183" s="1747"/>
      <c r="AK183" s="1747"/>
      <c r="AL183" s="1747"/>
      <c r="AM183" s="1747"/>
      <c r="AN183" s="1747"/>
      <c r="AO183" s="1747"/>
      <c r="AP183" s="1747"/>
      <c r="AQ183" s="1747"/>
      <c r="AR183" s="1747"/>
      <c r="AS183" s="1747"/>
      <c r="AT183" s="1747"/>
      <c r="AU183" s="1747"/>
      <c r="AV183" s="1747"/>
      <c r="AW183"/>
      <c r="AX183" s="2007"/>
      <c r="AY183" s="1747"/>
      <c r="AZ183" s="2008"/>
      <c r="BA183" s="1747"/>
      <c r="BB183" s="1747"/>
      <c r="BC183" s="1747"/>
      <c r="BD183" s="1747"/>
      <c r="BE183" s="1747"/>
      <c r="BF183" s="1747"/>
      <c r="BG183" s="1747"/>
      <c r="BH183" s="1747"/>
      <c r="BI183" s="1747"/>
      <c r="BJ183" s="1747"/>
      <c r="BK183" s="1747"/>
      <c r="BL183" s="1747"/>
      <c r="BM183" s="1747"/>
      <c r="BN183"/>
      <c r="BO183" s="2007"/>
      <c r="BP183" s="1747"/>
      <c r="BQ183" s="2008"/>
      <c r="BR183" s="1747"/>
      <c r="BS183" s="1747"/>
      <c r="BT183" s="1747"/>
      <c r="BU183" s="1747"/>
      <c r="BV183" s="1747"/>
      <c r="BW183" s="1747"/>
      <c r="BX183" s="1747"/>
      <c r="BY183" s="1747"/>
      <c r="BZ183" s="1747"/>
      <c r="CA183" s="1747"/>
      <c r="CB183" s="1747"/>
      <c r="CC183" s="1747"/>
      <c r="CD183" s="1747"/>
    </row>
    <row r="184" spans="2:82" s="1558" customFormat="1" hidden="1">
      <c r="B184" s="2000"/>
      <c r="C184" s="2001"/>
      <c r="D184" s="2002"/>
      <c r="E184" s="2003"/>
      <c r="F184"/>
      <c r="G184" s="2003"/>
      <c r="H184" s="2003"/>
      <c r="I184" s="2003"/>
      <c r="J184" s="2003"/>
      <c r="K184" s="2003"/>
      <c r="L184" s="2003"/>
      <c r="M184" s="2003"/>
      <c r="N184" s="2003"/>
      <c r="O184"/>
      <c r="P184" s="2004"/>
      <c r="Q184" s="2004"/>
      <c r="R184" s="2005"/>
      <c r="S184" s="2006"/>
      <c r="T184" s="2006"/>
      <c r="U184" s="2006"/>
      <c r="V184" s="2006"/>
      <c r="W184" s="2006"/>
      <c r="X184" s="2006"/>
      <c r="Y184" s="2006"/>
      <c r="Z184" s="2006"/>
      <c r="AA184" s="2006"/>
      <c r="AB184" s="2006"/>
      <c r="AC184" s="2006"/>
      <c r="AD184" s="2006"/>
      <c r="AE184" s="2006"/>
      <c r="AF184"/>
      <c r="AG184" s="2007"/>
      <c r="AH184" s="1747"/>
      <c r="AI184" s="2008"/>
      <c r="AJ184" s="1747"/>
      <c r="AK184" s="1747"/>
      <c r="AL184" s="1747"/>
      <c r="AM184" s="1747"/>
      <c r="AN184" s="1747"/>
      <c r="AO184" s="1747"/>
      <c r="AP184" s="1747"/>
      <c r="AQ184" s="1747"/>
      <c r="AR184" s="1747"/>
      <c r="AS184" s="1747"/>
      <c r="AT184" s="1747"/>
      <c r="AU184" s="1747"/>
      <c r="AV184" s="1747"/>
      <c r="AW184"/>
      <c r="AX184" s="2007"/>
      <c r="AY184" s="1747"/>
      <c r="AZ184" s="2008"/>
      <c r="BA184" s="1747"/>
      <c r="BB184" s="1747"/>
      <c r="BC184" s="1747"/>
      <c r="BD184" s="1747"/>
      <c r="BE184" s="1747"/>
      <c r="BF184" s="1747"/>
      <c r="BG184" s="1747"/>
      <c r="BH184" s="1747"/>
      <c r="BI184" s="1747"/>
      <c r="BJ184" s="1747"/>
      <c r="BK184" s="1747"/>
      <c r="BL184" s="1747"/>
      <c r="BM184" s="1747"/>
      <c r="BN184"/>
      <c r="BO184" s="2007"/>
      <c r="BP184" s="1747"/>
      <c r="BQ184" s="2008"/>
      <c r="BR184" s="1747"/>
      <c r="BS184" s="1747"/>
      <c r="BT184" s="1747"/>
      <c r="BU184" s="1747"/>
      <c r="BV184" s="1747"/>
      <c r="BW184" s="1747"/>
      <c r="BX184" s="1747"/>
      <c r="BY184" s="1747"/>
      <c r="BZ184" s="1747"/>
      <c r="CA184" s="1747"/>
      <c r="CB184" s="1747"/>
      <c r="CC184" s="1747"/>
      <c r="CD184" s="1747"/>
    </row>
    <row r="185" spans="2:82" s="1558" customFormat="1" hidden="1">
      <c r="B185" s="2000"/>
      <c r="C185" s="2001"/>
      <c r="D185" s="2002"/>
      <c r="E185" s="2003"/>
      <c r="F185"/>
      <c r="G185" s="2003"/>
      <c r="H185" s="2003"/>
      <c r="I185" s="2003"/>
      <c r="J185" s="2003"/>
      <c r="K185" s="2003"/>
      <c r="L185" s="2003"/>
      <c r="M185" s="2003"/>
      <c r="N185" s="2003"/>
      <c r="O185"/>
      <c r="P185" s="2004"/>
      <c r="Q185" s="2004"/>
      <c r="R185" s="2005"/>
      <c r="S185" s="2006"/>
      <c r="T185" s="2006"/>
      <c r="U185" s="2006"/>
      <c r="V185" s="2006"/>
      <c r="W185" s="2006"/>
      <c r="X185" s="2006"/>
      <c r="Y185" s="2006"/>
      <c r="Z185" s="2006"/>
      <c r="AA185" s="2006"/>
      <c r="AB185" s="2006"/>
      <c r="AC185" s="2006"/>
      <c r="AD185" s="2006"/>
      <c r="AE185" s="2006"/>
      <c r="AF185"/>
      <c r="AG185" s="2007"/>
      <c r="AH185" s="1747"/>
      <c r="AI185" s="2008"/>
      <c r="AJ185" s="1747"/>
      <c r="AK185" s="1747"/>
      <c r="AL185" s="1747"/>
      <c r="AM185" s="1747"/>
      <c r="AN185" s="1747"/>
      <c r="AO185" s="1747"/>
      <c r="AP185" s="1747"/>
      <c r="AQ185" s="1747"/>
      <c r="AR185" s="1747"/>
      <c r="AS185" s="1747"/>
      <c r="AT185" s="1747"/>
      <c r="AU185" s="1747"/>
      <c r="AV185" s="1747"/>
      <c r="AW185"/>
      <c r="AX185" s="2007"/>
      <c r="AY185" s="1747"/>
      <c r="AZ185" s="2008"/>
      <c r="BA185" s="1747"/>
      <c r="BB185" s="1747"/>
      <c r="BC185" s="1747"/>
      <c r="BD185" s="1747"/>
      <c r="BE185" s="1747"/>
      <c r="BF185" s="1747"/>
      <c r="BG185" s="1747"/>
      <c r="BH185" s="1747"/>
      <c r="BI185" s="1747"/>
      <c r="BJ185" s="1747"/>
      <c r="BK185" s="1747"/>
      <c r="BL185" s="1747"/>
      <c r="BM185" s="1747"/>
      <c r="BN185"/>
      <c r="BO185" s="2007"/>
      <c r="BP185" s="1747"/>
      <c r="BQ185" s="2008"/>
      <c r="BR185" s="1747"/>
      <c r="BS185" s="1747"/>
      <c r="BT185" s="1747"/>
      <c r="BU185" s="1747"/>
      <c r="BV185" s="1747"/>
      <c r="BW185" s="1747"/>
      <c r="BX185" s="1747"/>
      <c r="BY185" s="1747"/>
      <c r="BZ185" s="1747"/>
      <c r="CA185" s="1747"/>
      <c r="CB185" s="1747"/>
      <c r="CC185" s="1747"/>
      <c r="CD185" s="1747"/>
    </row>
    <row r="186" spans="2:82" s="1558" customFormat="1" hidden="1">
      <c r="B186" s="2000"/>
      <c r="C186" s="2001"/>
      <c r="D186" s="2002"/>
      <c r="E186" s="2003"/>
      <c r="F186"/>
      <c r="G186" s="2003"/>
      <c r="H186" s="2003"/>
      <c r="I186" s="2003"/>
      <c r="J186" s="2003"/>
      <c r="K186" s="2003"/>
      <c r="L186" s="2003"/>
      <c r="M186" s="2003"/>
      <c r="N186" s="2003"/>
      <c r="O186"/>
      <c r="P186" s="2004"/>
      <c r="Q186" s="2004"/>
      <c r="R186" s="2005"/>
      <c r="S186" s="2006"/>
      <c r="T186" s="2006"/>
      <c r="U186" s="2006"/>
      <c r="V186" s="2006"/>
      <c r="W186" s="2006"/>
      <c r="X186" s="2006"/>
      <c r="Y186" s="2006"/>
      <c r="Z186" s="2006"/>
      <c r="AA186" s="2006"/>
      <c r="AB186" s="2006"/>
      <c r="AC186" s="2006"/>
      <c r="AD186" s="2006"/>
      <c r="AE186" s="2006"/>
      <c r="AF186"/>
      <c r="AG186" s="2007"/>
      <c r="AH186" s="1747"/>
      <c r="AI186" s="2008"/>
      <c r="AJ186" s="1747"/>
      <c r="AK186" s="1747"/>
      <c r="AL186" s="1747"/>
      <c r="AM186" s="1747"/>
      <c r="AN186" s="1747"/>
      <c r="AO186" s="1747"/>
      <c r="AP186" s="1747"/>
      <c r="AQ186" s="1747"/>
      <c r="AR186" s="1747"/>
      <c r="AS186" s="1747"/>
      <c r="AT186" s="1747"/>
      <c r="AU186" s="1747"/>
      <c r="AV186" s="1747"/>
      <c r="AW186"/>
      <c r="AX186" s="2007"/>
      <c r="AY186" s="1747"/>
      <c r="AZ186" s="2008"/>
      <c r="BA186" s="1747"/>
      <c r="BB186" s="1747"/>
      <c r="BC186" s="1747"/>
      <c r="BD186" s="1747"/>
      <c r="BE186" s="1747"/>
      <c r="BF186" s="1747"/>
      <c r="BG186" s="1747"/>
      <c r="BH186" s="1747"/>
      <c r="BI186" s="1747"/>
      <c r="BJ186" s="1747"/>
      <c r="BK186" s="1747"/>
      <c r="BL186" s="1747"/>
      <c r="BM186" s="1747"/>
      <c r="BN186"/>
      <c r="BO186" s="2007"/>
      <c r="BP186" s="1747"/>
      <c r="BQ186" s="2008"/>
      <c r="BR186" s="1747"/>
      <c r="BS186" s="1747"/>
      <c r="BT186" s="1747"/>
      <c r="BU186" s="1747"/>
      <c r="BV186" s="1747"/>
      <c r="BW186" s="1747"/>
      <c r="BX186" s="1747"/>
      <c r="BY186" s="1747"/>
      <c r="BZ186" s="1747"/>
      <c r="CA186" s="1747"/>
      <c r="CB186" s="1747"/>
      <c r="CC186" s="1747"/>
      <c r="CD186" s="1747"/>
    </row>
    <row r="187" spans="2:82" s="1558" customFormat="1" hidden="1">
      <c r="B187" s="2000"/>
      <c r="C187" s="2001"/>
      <c r="D187" s="2002"/>
      <c r="E187" s="2003"/>
      <c r="F187"/>
      <c r="G187" s="2003"/>
      <c r="H187" s="2003"/>
      <c r="I187" s="2003"/>
      <c r="J187" s="2003"/>
      <c r="K187" s="2003"/>
      <c r="L187" s="2003"/>
      <c r="M187" s="2003"/>
      <c r="N187" s="2003"/>
      <c r="O187"/>
      <c r="P187" s="2004"/>
      <c r="Q187" s="2004"/>
      <c r="R187" s="2005"/>
      <c r="S187" s="2006"/>
      <c r="T187" s="2006"/>
      <c r="U187" s="2006"/>
      <c r="V187" s="2006"/>
      <c r="W187" s="2006"/>
      <c r="X187" s="2006"/>
      <c r="Y187" s="2006"/>
      <c r="Z187" s="2006"/>
      <c r="AA187" s="2006"/>
      <c r="AB187" s="2006"/>
      <c r="AC187" s="2006"/>
      <c r="AD187" s="2006"/>
      <c r="AE187" s="2006"/>
      <c r="AF187"/>
      <c r="AG187" s="2007"/>
      <c r="AH187" s="1747"/>
      <c r="AI187" s="2008"/>
      <c r="AJ187" s="1747"/>
      <c r="AK187" s="1747"/>
      <c r="AL187" s="1747"/>
      <c r="AM187" s="1747"/>
      <c r="AN187" s="1747"/>
      <c r="AO187" s="1747"/>
      <c r="AP187" s="1747"/>
      <c r="AQ187" s="1747"/>
      <c r="AR187" s="1747"/>
      <c r="AS187" s="1747"/>
      <c r="AT187" s="1747"/>
      <c r="AU187" s="1747"/>
      <c r="AV187" s="1747"/>
      <c r="AW187"/>
      <c r="AX187" s="2007"/>
      <c r="AY187" s="1747"/>
      <c r="AZ187" s="2008"/>
      <c r="BA187" s="1747"/>
      <c r="BB187" s="1747"/>
      <c r="BC187" s="1747"/>
      <c r="BD187" s="1747"/>
      <c r="BE187" s="1747"/>
      <c r="BF187" s="1747"/>
      <c r="BG187" s="1747"/>
      <c r="BH187" s="1747"/>
      <c r="BI187" s="1747"/>
      <c r="BJ187" s="1747"/>
      <c r="BK187" s="1747"/>
      <c r="BL187" s="1747"/>
      <c r="BM187" s="1747"/>
      <c r="BN187"/>
      <c r="BO187" s="2007"/>
      <c r="BP187" s="1747"/>
      <c r="BQ187" s="2008"/>
      <c r="BR187" s="1747"/>
      <c r="BS187" s="1747"/>
      <c r="BT187" s="1747"/>
      <c r="BU187" s="1747"/>
      <c r="BV187" s="1747"/>
      <c r="BW187" s="1747"/>
      <c r="BX187" s="1747"/>
      <c r="BY187" s="1747"/>
      <c r="BZ187" s="1747"/>
      <c r="CA187" s="1747"/>
      <c r="CB187" s="1747"/>
      <c r="CC187" s="1747"/>
      <c r="CD187" s="1747"/>
    </row>
    <row r="188" spans="2:82" s="1558" customFormat="1" hidden="1">
      <c r="B188" s="2000"/>
      <c r="C188" s="2001"/>
      <c r="D188" s="2002"/>
      <c r="E188" s="2003"/>
      <c r="F188"/>
      <c r="G188" s="2003"/>
      <c r="H188" s="2003"/>
      <c r="I188" s="2003"/>
      <c r="J188" s="2003"/>
      <c r="K188" s="2003"/>
      <c r="L188" s="2003"/>
      <c r="M188" s="2003"/>
      <c r="N188" s="2003"/>
      <c r="O188"/>
      <c r="P188" s="2004"/>
      <c r="Q188" s="2004"/>
      <c r="R188" s="2005"/>
      <c r="S188" s="2006"/>
      <c r="T188" s="2006"/>
      <c r="U188" s="2006"/>
      <c r="V188" s="2006"/>
      <c r="W188" s="2006"/>
      <c r="X188" s="2006"/>
      <c r="Y188" s="2006"/>
      <c r="Z188" s="2006"/>
      <c r="AA188" s="2006"/>
      <c r="AB188" s="2006"/>
      <c r="AC188" s="2006"/>
      <c r="AD188" s="2006"/>
      <c r="AE188" s="2006"/>
      <c r="AF188"/>
      <c r="AG188" s="2007"/>
      <c r="AH188" s="1747"/>
      <c r="AI188" s="2008"/>
      <c r="AJ188" s="1747"/>
      <c r="AK188" s="1747"/>
      <c r="AL188" s="1747"/>
      <c r="AM188" s="1747"/>
      <c r="AN188" s="1747"/>
      <c r="AO188" s="1747"/>
      <c r="AP188" s="1747"/>
      <c r="AQ188" s="1747"/>
      <c r="AR188" s="1747"/>
      <c r="AS188" s="1747"/>
      <c r="AT188" s="1747"/>
      <c r="AU188" s="1747"/>
      <c r="AV188" s="1747"/>
      <c r="AW188"/>
      <c r="AX188" s="2007"/>
      <c r="AY188" s="1747"/>
      <c r="AZ188" s="2008"/>
      <c r="BA188" s="1747"/>
      <c r="BB188" s="1747"/>
      <c r="BC188" s="1747"/>
      <c r="BD188" s="1747"/>
      <c r="BE188" s="1747"/>
      <c r="BF188" s="1747"/>
      <c r="BG188" s="1747"/>
      <c r="BH188" s="1747"/>
      <c r="BI188" s="1747"/>
      <c r="BJ188" s="1747"/>
      <c r="BK188" s="1747"/>
      <c r="BL188" s="1747"/>
      <c r="BM188" s="1747"/>
      <c r="BN188"/>
      <c r="BO188" s="2007"/>
      <c r="BP188" s="1747"/>
      <c r="BQ188" s="2008"/>
      <c r="BR188" s="1747"/>
      <c r="BS188" s="1747"/>
      <c r="BT188" s="1747"/>
      <c r="BU188" s="1747"/>
      <c r="BV188" s="1747"/>
      <c r="BW188" s="1747"/>
      <c r="BX188" s="1747"/>
      <c r="BY188" s="1747"/>
      <c r="BZ188" s="1747"/>
      <c r="CA188" s="1747"/>
      <c r="CB188" s="1747"/>
      <c r="CC188" s="1747"/>
      <c r="CD188" s="1747"/>
    </row>
    <row r="189" spans="2:82" s="1558" customFormat="1" hidden="1">
      <c r="B189" s="2000"/>
      <c r="C189" s="2001"/>
      <c r="D189" s="2002"/>
      <c r="E189" s="2003"/>
      <c r="F189"/>
      <c r="G189" s="2003"/>
      <c r="H189" s="2003"/>
      <c r="I189" s="2003"/>
      <c r="J189" s="2003"/>
      <c r="K189" s="2003"/>
      <c r="L189" s="2003"/>
      <c r="M189" s="2003"/>
      <c r="N189" s="2003"/>
      <c r="O189"/>
      <c r="P189" s="2004"/>
      <c r="Q189" s="2004"/>
      <c r="R189" s="2005"/>
      <c r="S189" s="2006"/>
      <c r="T189" s="2006"/>
      <c r="U189" s="2006"/>
      <c r="V189" s="2006"/>
      <c r="W189" s="2006"/>
      <c r="X189" s="2006"/>
      <c r="Y189" s="2006"/>
      <c r="Z189" s="2006"/>
      <c r="AA189" s="2006"/>
      <c r="AB189" s="2006"/>
      <c r="AC189" s="2006"/>
      <c r="AD189" s="2006"/>
      <c r="AE189" s="2006"/>
      <c r="AF189"/>
      <c r="AG189" s="2007"/>
      <c r="AH189" s="1747"/>
      <c r="AI189" s="2008"/>
      <c r="AJ189" s="1747"/>
      <c r="AK189" s="1747"/>
      <c r="AL189" s="1747"/>
      <c r="AM189" s="1747"/>
      <c r="AN189" s="1747"/>
      <c r="AO189" s="1747"/>
      <c r="AP189" s="1747"/>
      <c r="AQ189" s="1747"/>
      <c r="AR189" s="1747"/>
      <c r="AS189" s="1747"/>
      <c r="AT189" s="1747"/>
      <c r="AU189" s="1747"/>
      <c r="AV189" s="1747"/>
      <c r="AW189"/>
      <c r="AX189" s="2007"/>
      <c r="AY189" s="1747"/>
      <c r="AZ189" s="2008"/>
      <c r="BA189" s="1747"/>
      <c r="BB189" s="1747"/>
      <c r="BC189" s="1747"/>
      <c r="BD189" s="1747"/>
      <c r="BE189" s="1747"/>
      <c r="BF189" s="1747"/>
      <c r="BG189" s="1747"/>
      <c r="BH189" s="1747"/>
      <c r="BI189" s="1747"/>
      <c r="BJ189" s="1747"/>
      <c r="BK189" s="1747"/>
      <c r="BL189" s="1747"/>
      <c r="BM189" s="1747"/>
      <c r="BN189"/>
      <c r="BO189" s="2007"/>
      <c r="BP189" s="1747"/>
      <c r="BQ189" s="2008"/>
      <c r="BR189" s="1747"/>
      <c r="BS189" s="1747"/>
      <c r="BT189" s="1747"/>
      <c r="BU189" s="1747"/>
      <c r="BV189" s="1747"/>
      <c r="BW189" s="1747"/>
      <c r="BX189" s="1747"/>
      <c r="BY189" s="1747"/>
      <c r="BZ189" s="1747"/>
      <c r="CA189" s="1747"/>
      <c r="CB189" s="1747"/>
      <c r="CC189" s="1747"/>
      <c r="CD189" s="1747"/>
    </row>
    <row r="190" spans="2:82" s="1558" customFormat="1" hidden="1">
      <c r="B190" s="2000"/>
      <c r="C190" s="2001"/>
      <c r="D190" s="2002"/>
      <c r="E190" s="2003"/>
      <c r="F190"/>
      <c r="G190" s="2003"/>
      <c r="H190" s="2003"/>
      <c r="I190" s="2003"/>
      <c r="J190" s="2003"/>
      <c r="K190" s="2003"/>
      <c r="L190" s="2003"/>
      <c r="M190" s="2003"/>
      <c r="N190" s="2003"/>
      <c r="O190"/>
      <c r="P190" s="2004"/>
      <c r="Q190" s="2004"/>
      <c r="R190" s="2005"/>
      <c r="S190" s="2006"/>
      <c r="T190" s="2006"/>
      <c r="U190" s="2006"/>
      <c r="V190" s="2006"/>
      <c r="W190" s="2006"/>
      <c r="X190" s="2006"/>
      <c r="Y190" s="2006"/>
      <c r="Z190" s="2006"/>
      <c r="AA190" s="2006"/>
      <c r="AB190" s="2006"/>
      <c r="AC190" s="2006"/>
      <c r="AD190" s="2006"/>
      <c r="AE190" s="2006"/>
      <c r="AF190"/>
      <c r="AG190" s="2007"/>
      <c r="AH190" s="1747"/>
      <c r="AI190" s="2008"/>
      <c r="AJ190" s="1747"/>
      <c r="AK190" s="1747"/>
      <c r="AL190" s="1747"/>
      <c r="AM190" s="1747"/>
      <c r="AN190" s="1747"/>
      <c r="AO190" s="1747"/>
      <c r="AP190" s="1747"/>
      <c r="AQ190" s="1747"/>
      <c r="AR190" s="1747"/>
      <c r="AS190" s="1747"/>
      <c r="AT190" s="1747"/>
      <c r="AU190" s="1747"/>
      <c r="AV190" s="1747"/>
      <c r="AW190"/>
      <c r="AX190" s="2007"/>
      <c r="AY190" s="1747"/>
      <c r="AZ190" s="2008"/>
      <c r="BA190" s="1747"/>
      <c r="BB190" s="1747"/>
      <c r="BC190" s="1747"/>
      <c r="BD190" s="1747"/>
      <c r="BE190" s="1747"/>
      <c r="BF190" s="1747"/>
      <c r="BG190" s="1747"/>
      <c r="BH190" s="1747"/>
      <c r="BI190" s="1747"/>
      <c r="BJ190" s="1747"/>
      <c r="BK190" s="1747"/>
      <c r="BL190" s="1747"/>
      <c r="BM190" s="1747"/>
      <c r="BN190"/>
      <c r="BO190" s="2007"/>
      <c r="BP190" s="1747"/>
      <c r="BQ190" s="2008"/>
      <c r="BR190" s="1747"/>
      <c r="BS190" s="1747"/>
      <c r="BT190" s="1747"/>
      <c r="BU190" s="1747"/>
      <c r="BV190" s="1747"/>
      <c r="BW190" s="1747"/>
      <c r="BX190" s="1747"/>
      <c r="BY190" s="1747"/>
      <c r="BZ190" s="1747"/>
      <c r="CA190" s="1747"/>
      <c r="CB190" s="1747"/>
      <c r="CC190" s="1747"/>
      <c r="CD190" s="1747"/>
    </row>
    <row r="191" spans="2:82" s="1558" customFormat="1" hidden="1">
      <c r="B191" s="2000"/>
      <c r="C191" s="2001"/>
      <c r="D191" s="2002"/>
      <c r="E191" s="2003"/>
      <c r="F191"/>
      <c r="G191" s="2003"/>
      <c r="H191" s="2003"/>
      <c r="I191" s="2003"/>
      <c r="J191" s="2003"/>
      <c r="K191" s="2003"/>
      <c r="L191" s="2003"/>
      <c r="M191" s="2003"/>
      <c r="N191" s="2003"/>
      <c r="O191"/>
      <c r="P191" s="2004"/>
      <c r="Q191" s="2004"/>
      <c r="R191" s="2005"/>
      <c r="S191" s="2006"/>
      <c r="T191" s="2006"/>
      <c r="U191" s="2006"/>
      <c r="V191" s="2006"/>
      <c r="W191" s="2006"/>
      <c r="X191" s="2006"/>
      <c r="Y191" s="2006"/>
      <c r="Z191" s="2006"/>
      <c r="AA191" s="2006"/>
      <c r="AB191" s="2006"/>
      <c r="AC191" s="2006"/>
      <c r="AD191" s="2006"/>
      <c r="AE191" s="2006"/>
      <c r="AF191"/>
      <c r="AG191" s="2007"/>
      <c r="AH191" s="1747"/>
      <c r="AI191" s="2008"/>
      <c r="AJ191" s="1747"/>
      <c r="AK191" s="1747"/>
      <c r="AL191" s="1747"/>
      <c r="AM191" s="1747"/>
      <c r="AN191" s="1747"/>
      <c r="AO191" s="1747"/>
      <c r="AP191" s="1747"/>
      <c r="AQ191" s="1747"/>
      <c r="AR191" s="1747"/>
      <c r="AS191" s="1747"/>
      <c r="AT191" s="1747"/>
      <c r="AU191" s="1747"/>
      <c r="AV191" s="1747"/>
      <c r="AW191"/>
      <c r="AX191" s="2007"/>
      <c r="AY191" s="1747"/>
      <c r="AZ191" s="2008"/>
      <c r="BA191" s="1747"/>
      <c r="BB191" s="1747"/>
      <c r="BC191" s="1747"/>
      <c r="BD191" s="1747"/>
      <c r="BE191" s="1747"/>
      <c r="BF191" s="1747"/>
      <c r="BG191" s="1747"/>
      <c r="BH191" s="1747"/>
      <c r="BI191" s="1747"/>
      <c r="BJ191" s="1747"/>
      <c r="BK191" s="1747"/>
      <c r="BL191" s="1747"/>
      <c r="BM191" s="1747"/>
      <c r="BN191"/>
      <c r="BO191" s="2007"/>
      <c r="BP191" s="1747"/>
      <c r="BQ191" s="2008"/>
      <c r="BR191" s="1747"/>
      <c r="BS191" s="1747"/>
      <c r="BT191" s="1747"/>
      <c r="BU191" s="1747"/>
      <c r="BV191" s="1747"/>
      <c r="BW191" s="1747"/>
      <c r="BX191" s="1747"/>
      <c r="BY191" s="1747"/>
      <c r="BZ191" s="1747"/>
      <c r="CA191" s="1747"/>
      <c r="CB191" s="1747"/>
      <c r="CC191" s="1747"/>
      <c r="CD191" s="1747"/>
    </row>
    <row r="192" spans="2:82" s="1558" customFormat="1" hidden="1">
      <c r="B192" s="2000"/>
      <c r="C192" s="2001"/>
      <c r="D192" s="2002"/>
      <c r="E192" s="2003"/>
      <c r="F192"/>
      <c r="G192" s="2003"/>
      <c r="H192" s="2003"/>
      <c r="I192" s="2003"/>
      <c r="J192" s="2003"/>
      <c r="K192" s="2003"/>
      <c r="L192" s="2003"/>
      <c r="M192" s="2003"/>
      <c r="N192" s="2003"/>
      <c r="O192"/>
      <c r="P192" s="2004"/>
      <c r="Q192" s="2004"/>
      <c r="R192" s="2005"/>
      <c r="S192" s="2006"/>
      <c r="T192" s="2006"/>
      <c r="U192" s="2006"/>
      <c r="V192" s="2006"/>
      <c r="W192" s="2006"/>
      <c r="X192" s="2006"/>
      <c r="Y192" s="2006"/>
      <c r="Z192" s="2006"/>
      <c r="AA192" s="2006"/>
      <c r="AB192" s="2006"/>
      <c r="AC192" s="2006"/>
      <c r="AD192" s="2006"/>
      <c r="AE192" s="2006"/>
      <c r="AF192"/>
      <c r="AG192" s="2007"/>
      <c r="AH192" s="1747"/>
      <c r="AI192" s="2008"/>
      <c r="AJ192" s="1747"/>
      <c r="AK192" s="1747"/>
      <c r="AL192" s="1747"/>
      <c r="AM192" s="1747"/>
      <c r="AN192" s="1747"/>
      <c r="AO192" s="1747"/>
      <c r="AP192" s="1747"/>
      <c r="AQ192" s="1747"/>
      <c r="AR192" s="1747"/>
      <c r="AS192" s="1747"/>
      <c r="AT192" s="1747"/>
      <c r="AU192" s="1747"/>
      <c r="AV192" s="1747"/>
      <c r="AW192"/>
      <c r="AX192" s="2007"/>
      <c r="AY192" s="1747"/>
      <c r="AZ192" s="2008"/>
      <c r="BA192" s="1747"/>
      <c r="BB192" s="1747"/>
      <c r="BC192" s="1747"/>
      <c r="BD192" s="1747"/>
      <c r="BE192" s="1747"/>
      <c r="BF192" s="1747"/>
      <c r="BG192" s="1747"/>
      <c r="BH192" s="1747"/>
      <c r="BI192" s="1747"/>
      <c r="BJ192" s="1747"/>
      <c r="BK192" s="1747"/>
      <c r="BL192" s="1747"/>
      <c r="BM192" s="1747"/>
      <c r="BN192"/>
      <c r="BO192" s="2007"/>
      <c r="BP192" s="1747"/>
      <c r="BQ192" s="2008"/>
      <c r="BR192" s="1747"/>
      <c r="BS192" s="1747"/>
      <c r="BT192" s="1747"/>
      <c r="BU192" s="1747"/>
      <c r="BV192" s="1747"/>
      <c r="BW192" s="1747"/>
      <c r="BX192" s="1747"/>
      <c r="BY192" s="1747"/>
      <c r="BZ192" s="1747"/>
      <c r="CA192" s="1747"/>
      <c r="CB192" s="1747"/>
      <c r="CC192" s="1747"/>
      <c r="CD192" s="1747"/>
    </row>
    <row r="193" s="1558" customFormat="1" hidden="1"/>
    <row r="194" s="1558" customFormat="1" hidden="1"/>
    <row r="195" s="1558" customFormat="1" hidden="1"/>
    <row r="196" s="1558" customFormat="1" hidden="1"/>
    <row r="197" s="1558" customFormat="1" hidden="1"/>
    <row r="198" s="1558" customFormat="1" hidden="1"/>
    <row r="199" s="1558" customFormat="1" hidden="1"/>
    <row r="200" s="1558" customFormat="1" hidden="1"/>
    <row r="201" s="1558" customFormat="1" hidden="1"/>
    <row r="202" s="1558" customFormat="1" hidden="1"/>
    <row r="203" s="1558" customFormat="1" hidden="1"/>
    <row r="204" s="1558" customFormat="1" hidden="1"/>
    <row r="205" s="1558" customFormat="1" hidden="1"/>
    <row r="206" s="1558" customFormat="1" hidden="1"/>
    <row r="207" s="1558" customFormat="1" hidden="1"/>
    <row r="208" s="1558" customFormat="1" hidden="1"/>
    <row r="209" s="1558" customFormat="1" hidden="1"/>
    <row r="210" s="1558" customFormat="1" hidden="1"/>
    <row r="211" s="1558" customFormat="1" hidden="1"/>
    <row r="212" s="1558" customFormat="1" hidden="1"/>
    <row r="213" s="1558" customFormat="1" hidden="1"/>
    <row r="214" s="1558" customFormat="1" hidden="1"/>
    <row r="215" s="1558" customFormat="1" hidden="1"/>
    <row r="216" s="1558" customFormat="1" hidden="1"/>
    <row r="217" s="1558" customFormat="1" hidden="1"/>
    <row r="218" s="1558" customFormat="1" hidden="1"/>
    <row r="219" s="1558" customFormat="1" hidden="1"/>
  </sheetData>
  <sheetProtection password="8D30" sheet="1" objects="1" scenarios="1"/>
  <mergeCells count="8">
    <mergeCell ref="BR5:BZ5"/>
    <mergeCell ref="CB5:CD5"/>
    <mergeCell ref="S5:AA5"/>
    <mergeCell ref="AC5:AE5"/>
    <mergeCell ref="BA5:BI5"/>
    <mergeCell ref="BK5:BM5"/>
    <mergeCell ref="AJ5:AR5"/>
    <mergeCell ref="AT5:AV5"/>
  </mergeCells>
  <phoneticPr fontId="20"/>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C0C0"/>
    <pageSetUpPr fitToPage="1"/>
  </sheetPr>
  <dimension ref="A1:AC181"/>
  <sheetViews>
    <sheetView showGridLines="0" zoomScale="85" zoomScaleNormal="85" workbookViewId="0">
      <selection activeCell="D2" sqref="D2"/>
    </sheetView>
  </sheetViews>
  <sheetFormatPr defaultColWidth="0" defaultRowHeight="13.5" zeroHeight="1"/>
  <cols>
    <col min="1" max="1" width="2.25" customWidth="1"/>
    <col min="2" max="2" width="5.625" style="1550" customWidth="1"/>
    <col min="3" max="3" width="35.75" style="1551" bestFit="1" customWidth="1"/>
    <col min="4" max="5" width="9.75" style="1551" customWidth="1"/>
    <col min="6" max="6" width="2.625" style="1551" customWidth="1"/>
    <col min="7" max="8" width="9.5" style="1552" bestFit="1" customWidth="1"/>
    <col min="9" max="9" width="2.625" style="1553" customWidth="1"/>
    <col min="10" max="10" width="5.875" style="1738" customWidth="1"/>
    <col min="11" max="11" width="5.875" style="1554" customWidth="1"/>
    <col min="12" max="12" width="23.25" style="1555" customWidth="1"/>
    <col min="13" max="22" width="7.375" style="1556" customWidth="1"/>
    <col min="23" max="25" width="10.125" style="1556" customWidth="1"/>
    <col min="26" max="26" width="10.125" style="1557" customWidth="1"/>
    <col min="27" max="29" width="10.125" style="1558" hidden="1" customWidth="1"/>
    <col min="30" max="16384" width="0.875" style="1558" hidden="1"/>
  </cols>
  <sheetData>
    <row r="1" spans="1:26"/>
    <row r="2" spans="1:26" s="1567" customFormat="1" ht="17.25">
      <c r="A2"/>
      <c r="B2" s="1697" t="s">
        <v>395</v>
      </c>
      <c r="C2" s="1559"/>
      <c r="D2" s="1559"/>
      <c r="E2" s="1559"/>
      <c r="F2" s="1559"/>
      <c r="G2" s="1560"/>
      <c r="H2" s="1560"/>
      <c r="I2" s="1561"/>
      <c r="J2" s="1562" t="s">
        <v>263</v>
      </c>
      <c r="K2" s="1563"/>
      <c r="L2" s="1564"/>
      <c r="M2" s="1564"/>
      <c r="N2" s="1565"/>
      <c r="O2" s="1565"/>
      <c r="P2" s="1565"/>
      <c r="Q2" s="1565"/>
      <c r="R2" s="1565"/>
      <c r="S2" s="1565"/>
      <c r="T2" s="1565"/>
      <c r="U2" s="1565"/>
      <c r="V2" s="1565"/>
      <c r="W2" s="1565"/>
      <c r="X2" s="1565"/>
      <c r="Y2" s="1565"/>
      <c r="Z2" s="1566"/>
    </row>
    <row r="3" spans="1:26" s="1567" customFormat="1" ht="17.25">
      <c r="A3"/>
      <c r="B3" s="1697"/>
      <c r="C3" s="1559"/>
      <c r="D3" s="1559"/>
      <c r="E3" s="1559"/>
      <c r="F3" s="1559"/>
      <c r="G3" s="1560"/>
      <c r="H3" s="1560"/>
      <c r="I3" s="1561"/>
      <c r="J3" s="1739" t="s">
        <v>264</v>
      </c>
      <c r="K3" s="1564"/>
      <c r="L3" s="1568"/>
      <c r="M3" s="1565"/>
      <c r="N3" s="1565"/>
      <c r="O3" s="1565"/>
      <c r="P3" s="1565"/>
      <c r="Q3" s="1565"/>
      <c r="R3" s="1565"/>
      <c r="S3" s="1565"/>
      <c r="T3" s="1565"/>
      <c r="U3" s="1565"/>
      <c r="V3" s="1565"/>
      <c r="W3" s="1565"/>
      <c r="X3" s="1565"/>
      <c r="Y3" s="1565"/>
      <c r="Z3" s="1566"/>
    </row>
    <row r="4" spans="1:26" s="1567" customFormat="1" ht="4.5" customHeight="1">
      <c r="A4"/>
      <c r="B4" s="1697"/>
      <c r="C4" s="1559"/>
      <c r="D4" s="1559"/>
      <c r="E4" s="1559"/>
      <c r="F4" s="1559"/>
      <c r="G4" s="1560"/>
      <c r="H4" s="1560"/>
      <c r="I4" s="1561"/>
      <c r="J4" s="1739"/>
      <c r="K4" s="1563"/>
      <c r="L4" s="1568"/>
      <c r="M4" s="1565"/>
      <c r="N4" s="1565"/>
      <c r="O4" s="1565"/>
      <c r="P4" s="1565"/>
      <c r="Q4" s="1565"/>
      <c r="R4" s="1565"/>
      <c r="S4" s="1565"/>
      <c r="T4" s="1565"/>
      <c r="U4" s="1565"/>
      <c r="V4" s="1565"/>
      <c r="W4" s="1565"/>
      <c r="X4" s="1565"/>
      <c r="Y4" s="1565"/>
      <c r="Z4" s="1566"/>
    </row>
    <row r="5" spans="1:26">
      <c r="B5" s="2932"/>
      <c r="C5" s="2933"/>
      <c r="D5" s="1569" t="s">
        <v>392</v>
      </c>
      <c r="E5" s="1570"/>
      <c r="F5" s="1559"/>
      <c r="G5" s="1569" t="s">
        <v>396</v>
      </c>
      <c r="H5" s="1570"/>
      <c r="I5" s="1571"/>
      <c r="J5" s="1740"/>
      <c r="K5" s="1572"/>
      <c r="L5" s="1572"/>
      <c r="M5" s="1573" t="s">
        <v>266</v>
      </c>
      <c r="N5" s="1574"/>
      <c r="O5" s="1574"/>
      <c r="P5" s="1574"/>
      <c r="Q5" s="1574"/>
      <c r="R5" s="1574"/>
      <c r="S5" s="1574"/>
      <c r="T5" s="1574"/>
      <c r="U5" s="1574"/>
      <c r="V5" s="1574" t="s">
        <v>941</v>
      </c>
      <c r="W5" s="1573" t="s">
        <v>267</v>
      </c>
      <c r="X5" s="1574"/>
      <c r="Y5" s="1575"/>
      <c r="Z5" s="1576"/>
    </row>
    <row r="6" spans="1:26">
      <c r="B6" s="2934"/>
      <c r="C6" s="2935"/>
      <c r="D6" s="1578" t="s">
        <v>393</v>
      </c>
      <c r="E6" s="1578" t="s">
        <v>394</v>
      </c>
      <c r="F6" s="1559"/>
      <c r="G6" s="1578" t="s">
        <v>393</v>
      </c>
      <c r="H6" s="1578" t="s">
        <v>394</v>
      </c>
      <c r="I6" s="1579"/>
      <c r="J6" s="1740"/>
      <c r="K6" s="1572"/>
      <c r="L6" s="1572" t="s">
        <v>462</v>
      </c>
      <c r="M6" s="1580" t="s">
        <v>539</v>
      </c>
      <c r="N6" s="1580" t="s">
        <v>541</v>
      </c>
      <c r="O6" s="1580" t="s">
        <v>543</v>
      </c>
      <c r="P6" s="1580" t="s">
        <v>545</v>
      </c>
      <c r="Q6" s="1580" t="s">
        <v>549</v>
      </c>
      <c r="R6" s="1580" t="s">
        <v>862</v>
      </c>
      <c r="S6" s="1580" t="s">
        <v>553</v>
      </c>
      <c r="T6" s="1581" t="s">
        <v>861</v>
      </c>
      <c r="U6" s="1580" t="s">
        <v>555</v>
      </c>
      <c r="V6" s="1582" t="s">
        <v>541</v>
      </c>
      <c r="W6" s="1582" t="s">
        <v>270</v>
      </c>
      <c r="X6" s="1580" t="s">
        <v>271</v>
      </c>
      <c r="Y6" s="1580" t="s">
        <v>272</v>
      </c>
      <c r="Z6" s="1583"/>
    </row>
    <row r="7" spans="1:26">
      <c r="B7" s="1703"/>
      <c r="C7" s="1584" t="s">
        <v>397</v>
      </c>
      <c r="D7" s="1584"/>
      <c r="E7" s="1584"/>
      <c r="F7" s="1559"/>
      <c r="G7" s="1578"/>
      <c r="H7" s="1578"/>
      <c r="I7" s="1579"/>
      <c r="J7" s="1740"/>
      <c r="K7" s="1572"/>
      <c r="L7" s="1572"/>
      <c r="M7" s="1585">
        <f>メイン!$V$47/メイン!$V$67</f>
        <v>0.7</v>
      </c>
      <c r="N7" s="1585">
        <f>(メイン!J49+メイン!J52+メイン!J53)/メイン!$H$19</f>
        <v>0</v>
      </c>
      <c r="O7" s="1585">
        <f>メイン!$V$54/メイン!$V$67</f>
        <v>0.3</v>
      </c>
      <c r="P7" s="1585">
        <f>メイン!$V$56/メイン!$V$67</f>
        <v>0</v>
      </c>
      <c r="Q7" s="1585">
        <f>メイン!$V$60/メイン!$V$67</f>
        <v>0</v>
      </c>
      <c r="R7" s="1585">
        <f>メイン!$V$61/メイン!$V$67</f>
        <v>0</v>
      </c>
      <c r="S7" s="1585">
        <f>メイン!$V$62/メイン!$V$67</f>
        <v>0</v>
      </c>
      <c r="T7" s="1585">
        <f>メイン!$V$57/メイン!$V$67</f>
        <v>0</v>
      </c>
      <c r="U7" s="1585">
        <f>メイン!$V$63/メイン!$V$67</f>
        <v>0</v>
      </c>
      <c r="V7" s="1585">
        <f>(メイン!J50+メイン!J51)/メイン!$H$19</f>
        <v>0</v>
      </c>
      <c r="W7" s="1585">
        <f>Q7</f>
        <v>0</v>
      </c>
      <c r="X7" s="1585">
        <f>R7</f>
        <v>0</v>
      </c>
      <c r="Y7" s="1585">
        <f>S7</f>
        <v>0</v>
      </c>
      <c r="Z7" s="1583"/>
    </row>
    <row r="8" spans="1:26" s="1596" customFormat="1" ht="14.25">
      <c r="A8"/>
      <c r="B8" s="1586" t="s">
        <v>398</v>
      </c>
      <c r="C8" s="1587" t="s">
        <v>399</v>
      </c>
      <c r="D8" s="1588"/>
      <c r="E8" s="1588"/>
      <c r="F8" s="1559"/>
      <c r="G8" s="1589"/>
      <c r="H8" s="1589"/>
      <c r="I8" s="1590"/>
      <c r="J8" s="1586" t="s">
        <v>274</v>
      </c>
      <c r="K8" s="1591" t="s">
        <v>276</v>
      </c>
      <c r="L8" s="1591" t="s">
        <v>413</v>
      </c>
      <c r="M8" s="1592"/>
      <c r="N8" s="1592"/>
      <c r="O8" s="1592"/>
      <c r="P8" s="1592"/>
      <c r="Q8" s="1592">
        <f>1-V8</f>
        <v>1</v>
      </c>
      <c r="R8" s="1592">
        <f>1-W8</f>
        <v>1</v>
      </c>
      <c r="S8" s="1592">
        <f>1-X8</f>
        <v>1</v>
      </c>
      <c r="T8" s="1593"/>
      <c r="U8" s="1592"/>
      <c r="V8" s="1869"/>
      <c r="W8" s="1594">
        <f>メイン!$J$68</f>
        <v>0</v>
      </c>
      <c r="X8" s="1594">
        <f>メイン!$J$69</f>
        <v>0</v>
      </c>
      <c r="Y8" s="1594">
        <f>メイン!$J$70</f>
        <v>0</v>
      </c>
      <c r="Z8" s="1595"/>
    </row>
    <row r="9" spans="1:26" s="1605" customFormat="1">
      <c r="A9"/>
      <c r="B9" s="1597" t="str">
        <f t="shared" ref="B9:B40" si="0">J9</f>
        <v>Q1</v>
      </c>
      <c r="C9" s="1598" t="str">
        <f t="shared" ref="C9:C40" si="1">L9</f>
        <v>室内環境</v>
      </c>
      <c r="D9" s="1599">
        <f>G9</f>
        <v>0.39999999999999997</v>
      </c>
      <c r="E9" s="1599">
        <f>H9</f>
        <v>0</v>
      </c>
      <c r="F9" s="1559"/>
      <c r="G9" s="1600">
        <f>SUMPRODUCT($M$7:$Y$7,M9:Y9)</f>
        <v>0.39999999999999997</v>
      </c>
      <c r="H9" s="1600">
        <f>(W$7*W9)+(X$7*X9)+(Y$7*Y9)</f>
        <v>0</v>
      </c>
      <c r="I9" s="1601"/>
      <c r="J9" s="1597" t="s">
        <v>1683</v>
      </c>
      <c r="K9" s="2059" t="s">
        <v>276</v>
      </c>
      <c r="L9" s="2058" t="s">
        <v>1684</v>
      </c>
      <c r="M9" s="1603">
        <v>0.4</v>
      </c>
      <c r="N9" s="1603">
        <v>0.4</v>
      </c>
      <c r="O9" s="1603">
        <v>0.4</v>
      </c>
      <c r="P9" s="1603">
        <v>0.4</v>
      </c>
      <c r="Q9" s="1603">
        <v>0.4</v>
      </c>
      <c r="R9" s="1603">
        <v>0.4</v>
      </c>
      <c r="S9" s="1603">
        <v>0.4</v>
      </c>
      <c r="T9" s="1603">
        <v>0.4</v>
      </c>
      <c r="U9" s="1603">
        <v>0.3</v>
      </c>
      <c r="V9" s="2060">
        <v>0.4</v>
      </c>
      <c r="W9" s="2061"/>
      <c r="X9" s="2060"/>
      <c r="Y9" s="2060"/>
      <c r="Z9" s="1604"/>
    </row>
    <row r="10" spans="1:26" s="1605" customFormat="1">
      <c r="A10"/>
      <c r="B10" s="1597">
        <f t="shared" si="0"/>
        <v>1</v>
      </c>
      <c r="C10" s="1607" t="str">
        <f t="shared" si="1"/>
        <v>音環境</v>
      </c>
      <c r="D10" s="1608">
        <f>SUM(D11:D19)</f>
        <v>0.13739999999999999</v>
      </c>
      <c r="E10" s="1608">
        <f>SUM(E11:E19)</f>
        <v>0</v>
      </c>
      <c r="F10" s="1559"/>
      <c r="G10" s="1609">
        <f>SUMPRODUCT($M$7:$Y$7,M10:Y10)</f>
        <v>0.15</v>
      </c>
      <c r="H10" s="1609">
        <f t="shared" ref="H10:H73" si="2">(W$7*W10)+(X$7*X10)+(Y$7*Y10)</f>
        <v>0</v>
      </c>
      <c r="I10" s="1601"/>
      <c r="J10" s="1641">
        <v>1</v>
      </c>
      <c r="K10" s="1744" t="s">
        <v>277</v>
      </c>
      <c r="L10" s="1780" t="s">
        <v>1066</v>
      </c>
      <c r="M10" s="1610">
        <v>0.15</v>
      </c>
      <c r="N10" s="1610">
        <v>0.15</v>
      </c>
      <c r="O10" s="1610">
        <v>0.15</v>
      </c>
      <c r="P10" s="1610">
        <v>0.15</v>
      </c>
      <c r="Q10" s="1610">
        <v>0.15</v>
      </c>
      <c r="R10" s="1610">
        <v>0.15</v>
      </c>
      <c r="S10" s="1610">
        <v>0.15</v>
      </c>
      <c r="T10" s="1611">
        <v>0.23</v>
      </c>
      <c r="U10" s="1610">
        <v>0.15</v>
      </c>
      <c r="V10" s="1711">
        <v>0.15</v>
      </c>
      <c r="W10" s="2063"/>
      <c r="X10" s="1711"/>
      <c r="Y10" s="1711"/>
      <c r="Z10" s="1612"/>
    </row>
    <row r="11" spans="1:26">
      <c r="B11" s="1597">
        <f t="shared" si="0"/>
        <v>1.1000000000000001</v>
      </c>
      <c r="C11" s="1614" t="str">
        <f t="shared" si="1"/>
        <v>騒音</v>
      </c>
      <c r="D11" s="1622">
        <f>G10*G11</f>
        <v>7.8E-2</v>
      </c>
      <c r="E11" s="1622">
        <f>H10*H11</f>
        <v>0</v>
      </c>
      <c r="F11" s="1559"/>
      <c r="G11" s="1616">
        <f t="shared" ref="G11:G73" si="3">SUMPRODUCT($M$7:$Y$7,M11:Y11)</f>
        <v>0.52</v>
      </c>
      <c r="H11" s="1616">
        <f t="shared" si="2"/>
        <v>0</v>
      </c>
      <c r="I11" s="1571"/>
      <c r="J11" s="1647">
        <v>1.1000000000000001</v>
      </c>
      <c r="K11" s="1693" t="s">
        <v>278</v>
      </c>
      <c r="L11" s="2064" t="s">
        <v>1471</v>
      </c>
      <c r="M11" s="2497">
        <v>0.4</v>
      </c>
      <c r="N11" s="2497">
        <v>0.4</v>
      </c>
      <c r="O11" s="2497">
        <v>0.8</v>
      </c>
      <c r="P11" s="2497">
        <v>0.4</v>
      </c>
      <c r="Q11" s="2497">
        <v>0.4</v>
      </c>
      <c r="R11" s="2497">
        <v>0.8</v>
      </c>
      <c r="S11" s="2497">
        <v>0.8</v>
      </c>
      <c r="T11" s="2497">
        <v>0.8</v>
      </c>
      <c r="U11" s="2497">
        <v>0.5</v>
      </c>
      <c r="V11" s="2496">
        <v>0.4</v>
      </c>
      <c r="W11" s="2498">
        <v>0.5</v>
      </c>
      <c r="X11" s="2496">
        <v>0.4</v>
      </c>
      <c r="Y11" s="2496">
        <v>0.4</v>
      </c>
      <c r="Z11" s="1620"/>
    </row>
    <row r="12" spans="1:26" hidden="1">
      <c r="B12" s="1597" t="str">
        <f t="shared" si="0"/>
        <v>1.1.1</v>
      </c>
      <c r="C12" s="1650" t="str">
        <f t="shared" si="1"/>
        <v>室内騒音レベル</v>
      </c>
      <c r="D12" s="1615"/>
      <c r="E12" s="1615"/>
      <c r="F12" s="1559"/>
      <c r="G12" s="1616">
        <f t="shared" si="3"/>
        <v>0</v>
      </c>
      <c r="H12" s="1616">
        <f t="shared" si="2"/>
        <v>0</v>
      </c>
      <c r="I12" s="1571"/>
      <c r="J12" s="1647" t="s">
        <v>279</v>
      </c>
      <c r="K12" s="1693" t="s">
        <v>280</v>
      </c>
      <c r="L12" s="2064" t="s">
        <v>942</v>
      </c>
      <c r="M12" s="2497"/>
      <c r="N12" s="2497"/>
      <c r="O12" s="2497"/>
      <c r="P12" s="2497"/>
      <c r="Q12" s="2497"/>
      <c r="R12" s="2497"/>
      <c r="S12" s="2497"/>
      <c r="T12" s="2497"/>
      <c r="U12" s="2497"/>
      <c r="V12" s="2496"/>
      <c r="W12" s="2498"/>
      <c r="X12" s="2496"/>
      <c r="Y12" s="2496"/>
      <c r="Z12" s="1620"/>
    </row>
    <row r="13" spans="1:26" hidden="1">
      <c r="B13" s="1597" t="str">
        <f t="shared" si="0"/>
        <v>1.1.2</v>
      </c>
      <c r="C13" s="1650" t="str">
        <f t="shared" si="1"/>
        <v>設備騒音対策</v>
      </c>
      <c r="D13" s="1615"/>
      <c r="E13" s="1615"/>
      <c r="F13" s="1559"/>
      <c r="G13" s="1616">
        <f t="shared" si="3"/>
        <v>0</v>
      </c>
      <c r="H13" s="1616">
        <f t="shared" si="2"/>
        <v>0</v>
      </c>
      <c r="I13" s="1571"/>
      <c r="J13" s="1647" t="s">
        <v>281</v>
      </c>
      <c r="K13" s="1693" t="s">
        <v>280</v>
      </c>
      <c r="L13" s="2064" t="s">
        <v>414</v>
      </c>
      <c r="M13" s="2497"/>
      <c r="N13" s="2497"/>
      <c r="O13" s="2497"/>
      <c r="P13" s="2497"/>
      <c r="Q13" s="2497"/>
      <c r="R13" s="2497"/>
      <c r="S13" s="2497"/>
      <c r="T13" s="2497"/>
      <c r="U13" s="2497"/>
      <c r="V13" s="2496"/>
      <c r="W13" s="2498"/>
      <c r="X13" s="2496"/>
      <c r="Y13" s="2496"/>
      <c r="Z13" s="1620"/>
    </row>
    <row r="14" spans="1:26">
      <c r="B14" s="1597">
        <f t="shared" si="0"/>
        <v>1.2</v>
      </c>
      <c r="C14" s="516" t="str">
        <f t="shared" si="1"/>
        <v>遮音</v>
      </c>
      <c r="D14" s="1622"/>
      <c r="E14" s="1622"/>
      <c r="F14" s="1559"/>
      <c r="G14" s="1616">
        <f t="shared" si="3"/>
        <v>0.27999999999999997</v>
      </c>
      <c r="H14" s="1616">
        <f t="shared" si="2"/>
        <v>0</v>
      </c>
      <c r="I14" s="1571"/>
      <c r="J14" s="1647">
        <v>1.2</v>
      </c>
      <c r="K14" s="1693" t="s">
        <v>278</v>
      </c>
      <c r="L14" s="1985" t="s">
        <v>415</v>
      </c>
      <c r="M14" s="2497">
        <v>0.4</v>
      </c>
      <c r="N14" s="2497">
        <v>0.4</v>
      </c>
      <c r="O14" s="2497"/>
      <c r="P14" s="2497">
        <v>0.4</v>
      </c>
      <c r="Q14" s="2497">
        <v>0.4</v>
      </c>
      <c r="R14" s="2497"/>
      <c r="S14" s="2497"/>
      <c r="T14" s="2497"/>
      <c r="U14" s="2497">
        <v>0.5</v>
      </c>
      <c r="V14" s="2496">
        <v>0.4</v>
      </c>
      <c r="W14" s="2498">
        <v>0.5</v>
      </c>
      <c r="X14" s="2496">
        <v>0.4</v>
      </c>
      <c r="Y14" s="2496">
        <v>0.4</v>
      </c>
      <c r="Z14" s="1620"/>
    </row>
    <row r="15" spans="1:26">
      <c r="B15" s="1597" t="str">
        <f t="shared" si="0"/>
        <v>1.2.1</v>
      </c>
      <c r="C15" s="516" t="str">
        <f t="shared" si="1"/>
        <v>開口部遮音性能</v>
      </c>
      <c r="D15" s="1615">
        <f t="shared" ref="D15:E18" si="4">G$10*G$14*G15</f>
        <v>0</v>
      </c>
      <c r="E15" s="1615">
        <f t="shared" si="4"/>
        <v>0</v>
      </c>
      <c r="F15" s="1559"/>
      <c r="G15" s="1616">
        <f t="shared" si="3"/>
        <v>0</v>
      </c>
      <c r="H15" s="1616">
        <f t="shared" si="2"/>
        <v>0</v>
      </c>
      <c r="I15" s="1571"/>
      <c r="J15" s="1647" t="s">
        <v>1626</v>
      </c>
      <c r="K15" s="1693" t="s">
        <v>282</v>
      </c>
      <c r="L15" s="1985" t="s">
        <v>1627</v>
      </c>
      <c r="M15" s="1654"/>
      <c r="N15" s="1654"/>
      <c r="O15" s="1654"/>
      <c r="P15" s="1654"/>
      <c r="Q15" s="1654"/>
      <c r="R15" s="1654"/>
      <c r="S15" s="1654"/>
      <c r="T15" s="1654"/>
      <c r="U15" s="1654"/>
      <c r="V15" s="1623"/>
      <c r="W15" s="1625"/>
      <c r="X15" s="1623"/>
      <c r="Y15" s="1623"/>
      <c r="Z15" s="1620"/>
    </row>
    <row r="16" spans="1:26">
      <c r="B16" s="1597" t="str">
        <f t="shared" si="0"/>
        <v>1.2.2</v>
      </c>
      <c r="C16" s="516" t="str">
        <f t="shared" si="1"/>
        <v>界壁遮音性能</v>
      </c>
      <c r="D16" s="1615">
        <f t="shared" si="4"/>
        <v>2.9399999999999996E-2</v>
      </c>
      <c r="E16" s="1615">
        <f t="shared" si="4"/>
        <v>0</v>
      </c>
      <c r="F16" s="1559"/>
      <c r="G16" s="1616">
        <f t="shared" si="3"/>
        <v>0.7</v>
      </c>
      <c r="H16" s="1616">
        <f t="shared" si="2"/>
        <v>0</v>
      </c>
      <c r="I16" s="1571"/>
      <c r="J16" s="1647" t="s">
        <v>1628</v>
      </c>
      <c r="K16" s="1693" t="s">
        <v>282</v>
      </c>
      <c r="L16" s="1985" t="s">
        <v>641</v>
      </c>
      <c r="M16" s="2496">
        <v>1</v>
      </c>
      <c r="N16" s="2496">
        <v>0.4</v>
      </c>
      <c r="O16" s="2496"/>
      <c r="P16" s="2496">
        <v>1</v>
      </c>
      <c r="Q16" s="2496">
        <v>0.4</v>
      </c>
      <c r="R16" s="2496"/>
      <c r="S16" s="2496"/>
      <c r="T16" s="2499"/>
      <c r="U16" s="2496">
        <v>1</v>
      </c>
      <c r="V16" s="2496">
        <v>0.4</v>
      </c>
      <c r="W16" s="1625">
        <v>1</v>
      </c>
      <c r="X16" s="1623">
        <v>0.4</v>
      </c>
      <c r="Y16" s="1623">
        <v>0.4</v>
      </c>
      <c r="Z16" s="1620"/>
    </row>
    <row r="17" spans="1:26">
      <c r="B17" s="1597" t="str">
        <f t="shared" si="0"/>
        <v>1.2.3</v>
      </c>
      <c r="C17" s="516" t="str">
        <f t="shared" si="1"/>
        <v>界床遮音性能（軽量衝撃源）</v>
      </c>
      <c r="D17" s="1615">
        <f t="shared" si="4"/>
        <v>0</v>
      </c>
      <c r="E17" s="1615">
        <f t="shared" si="4"/>
        <v>0</v>
      </c>
      <c r="F17" s="1559"/>
      <c r="G17" s="1616">
        <f t="shared" si="3"/>
        <v>0</v>
      </c>
      <c r="H17" s="1616">
        <f t="shared" si="2"/>
        <v>0</v>
      </c>
      <c r="I17" s="1571"/>
      <c r="J17" s="1647" t="s">
        <v>1476</v>
      </c>
      <c r="K17" s="1693" t="s">
        <v>282</v>
      </c>
      <c r="L17" s="1985" t="s">
        <v>642</v>
      </c>
      <c r="M17" s="2496"/>
      <c r="N17" s="2496">
        <v>0.3</v>
      </c>
      <c r="O17" s="2496"/>
      <c r="P17" s="2496"/>
      <c r="Q17" s="2496">
        <v>0.6</v>
      </c>
      <c r="R17" s="2496"/>
      <c r="S17" s="2496"/>
      <c r="T17" s="2499"/>
      <c r="U17" s="2496"/>
      <c r="V17" s="2496">
        <v>0.3</v>
      </c>
      <c r="W17" s="1625"/>
      <c r="X17" s="1623">
        <v>0.3</v>
      </c>
      <c r="Y17" s="2496">
        <v>0.3</v>
      </c>
      <c r="Z17" s="1620"/>
    </row>
    <row r="18" spans="1:26">
      <c r="B18" s="1597" t="str">
        <f t="shared" si="0"/>
        <v>1.2.4</v>
      </c>
      <c r="C18" s="516" t="str">
        <f t="shared" si="1"/>
        <v>界床遮音性能（重量衝撃源）</v>
      </c>
      <c r="D18" s="1615">
        <f>G$10*G$14*G18</f>
        <v>0</v>
      </c>
      <c r="E18" s="1615">
        <f t="shared" si="4"/>
        <v>0</v>
      </c>
      <c r="F18" s="1559"/>
      <c r="G18" s="1616">
        <f>SUMPRODUCT($M$7:$Y$7,M18:Y18)</f>
        <v>0</v>
      </c>
      <c r="H18" s="1616">
        <f t="shared" si="2"/>
        <v>0</v>
      </c>
      <c r="I18" s="1571"/>
      <c r="J18" s="1647" t="s">
        <v>1629</v>
      </c>
      <c r="K18" s="1693" t="s">
        <v>282</v>
      </c>
      <c r="L18" s="1985" t="s">
        <v>643</v>
      </c>
      <c r="M18" s="2496"/>
      <c r="N18" s="2496">
        <v>0.3</v>
      </c>
      <c r="O18" s="2496"/>
      <c r="P18" s="2496"/>
      <c r="Q18" s="2496"/>
      <c r="R18" s="2496"/>
      <c r="S18" s="2496"/>
      <c r="T18" s="2499"/>
      <c r="U18" s="2496"/>
      <c r="V18" s="2496">
        <v>0.3</v>
      </c>
      <c r="W18" s="1625"/>
      <c r="X18" s="1623">
        <v>0.3</v>
      </c>
      <c r="Y18" s="2496">
        <v>0.3</v>
      </c>
      <c r="Z18" s="1620"/>
    </row>
    <row r="19" spans="1:26">
      <c r="B19" s="1597">
        <f t="shared" si="0"/>
        <v>1.3</v>
      </c>
      <c r="C19" s="516" t="str">
        <f t="shared" si="1"/>
        <v>吸音</v>
      </c>
      <c r="D19" s="1622">
        <f>G10*G19</f>
        <v>2.9999999999999995E-2</v>
      </c>
      <c r="E19" s="1622">
        <f>H10*H19</f>
        <v>0</v>
      </c>
      <c r="F19" s="1559"/>
      <c r="G19" s="1616">
        <f t="shared" si="3"/>
        <v>0.19999999999999998</v>
      </c>
      <c r="H19" s="1616">
        <f t="shared" si="2"/>
        <v>0</v>
      </c>
      <c r="I19" s="1571"/>
      <c r="J19" s="1647">
        <v>1.3</v>
      </c>
      <c r="K19" s="1693" t="s">
        <v>278</v>
      </c>
      <c r="L19" s="1985" t="s">
        <v>644</v>
      </c>
      <c r="M19" s="2496">
        <v>0.2</v>
      </c>
      <c r="N19" s="2497">
        <v>0.2</v>
      </c>
      <c r="O19" s="2497">
        <v>0.2</v>
      </c>
      <c r="P19" s="2497">
        <v>0.2</v>
      </c>
      <c r="Q19" s="2496">
        <v>0.2</v>
      </c>
      <c r="R19" s="2497">
        <v>0.2</v>
      </c>
      <c r="S19" s="2497">
        <v>0.2</v>
      </c>
      <c r="T19" s="2496">
        <v>0.2</v>
      </c>
      <c r="U19" s="2497"/>
      <c r="V19" s="2496">
        <v>0.2</v>
      </c>
      <c r="W19" s="1625"/>
      <c r="X19" s="1623">
        <v>0.2</v>
      </c>
      <c r="Y19" s="2496">
        <v>0.2</v>
      </c>
      <c r="Z19" s="1620"/>
    </row>
    <row r="20" spans="1:26" s="1605" customFormat="1">
      <c r="A20"/>
      <c r="B20" s="1597">
        <f t="shared" si="0"/>
        <v>2</v>
      </c>
      <c r="C20" s="1628" t="str">
        <f t="shared" si="1"/>
        <v>温熱環境</v>
      </c>
      <c r="D20" s="1608">
        <f>SUM(D21:D33)</f>
        <v>0.35</v>
      </c>
      <c r="E20" s="1608">
        <f>SUM(E21:E33)</f>
        <v>0</v>
      </c>
      <c r="F20" s="1559"/>
      <c r="G20" s="1609">
        <f t="shared" si="3"/>
        <v>0.35</v>
      </c>
      <c r="H20" s="1609">
        <f t="shared" si="2"/>
        <v>0</v>
      </c>
      <c r="I20" s="1601"/>
      <c r="J20" s="1641">
        <v>2</v>
      </c>
      <c r="K20" s="1744" t="s">
        <v>277</v>
      </c>
      <c r="L20" s="1787" t="s">
        <v>1069</v>
      </c>
      <c r="M20" s="2500">
        <v>0.35</v>
      </c>
      <c r="N20" s="2500">
        <v>0.35</v>
      </c>
      <c r="O20" s="2500">
        <v>0.35</v>
      </c>
      <c r="P20" s="2500">
        <v>0.35</v>
      </c>
      <c r="Q20" s="2500">
        <v>0.35</v>
      </c>
      <c r="R20" s="2500">
        <v>0.35</v>
      </c>
      <c r="S20" s="2500">
        <v>0.35</v>
      </c>
      <c r="T20" s="2500">
        <v>0.44</v>
      </c>
      <c r="U20" s="2500">
        <v>0.35</v>
      </c>
      <c r="V20" s="2501">
        <v>0.35</v>
      </c>
      <c r="W20" s="2063"/>
      <c r="X20" s="1711"/>
      <c r="Y20" s="2501"/>
      <c r="Z20" s="1612"/>
    </row>
    <row r="21" spans="1:26">
      <c r="B21" s="1597">
        <f t="shared" si="0"/>
        <v>2.1</v>
      </c>
      <c r="C21" s="1630" t="str">
        <f t="shared" si="1"/>
        <v>室温制御</v>
      </c>
      <c r="D21" s="1615"/>
      <c r="E21" s="1615"/>
      <c r="F21" s="1559"/>
      <c r="G21" s="1616">
        <f t="shared" si="3"/>
        <v>0.5</v>
      </c>
      <c r="H21" s="1616">
        <f t="shared" si="2"/>
        <v>0</v>
      </c>
      <c r="I21" s="1571"/>
      <c r="J21" s="1647">
        <v>2.1</v>
      </c>
      <c r="K21" s="1693" t="s">
        <v>283</v>
      </c>
      <c r="L21" s="1737" t="s">
        <v>648</v>
      </c>
      <c r="M21" s="2497">
        <v>0.5</v>
      </c>
      <c r="N21" s="2497">
        <v>0.5</v>
      </c>
      <c r="O21" s="2497">
        <v>0.5</v>
      </c>
      <c r="P21" s="2497">
        <v>0.5</v>
      </c>
      <c r="Q21" s="2497">
        <v>0.5</v>
      </c>
      <c r="R21" s="2497">
        <v>0.5</v>
      </c>
      <c r="S21" s="2497">
        <v>0.5</v>
      </c>
      <c r="T21" s="2497">
        <v>0.5</v>
      </c>
      <c r="U21" s="2497">
        <v>0.5</v>
      </c>
      <c r="V21" s="2496">
        <v>0.5</v>
      </c>
      <c r="W21" s="1625">
        <v>1</v>
      </c>
      <c r="X21" s="1623">
        <v>1</v>
      </c>
      <c r="Y21" s="1623">
        <v>1</v>
      </c>
      <c r="Z21" s="1620"/>
    </row>
    <row r="22" spans="1:26">
      <c r="B22" s="1597" t="str">
        <f t="shared" si="0"/>
        <v>2.1.1</v>
      </c>
      <c r="C22" s="1614" t="str">
        <f t="shared" si="1"/>
        <v>室温設定</v>
      </c>
      <c r="D22" s="1615">
        <f>G$20*G$21*G22</f>
        <v>5.2499999999999998E-2</v>
      </c>
      <c r="E22" s="1615">
        <f t="shared" ref="D22:E29" si="5">H$20*H$21*H22</f>
        <v>0</v>
      </c>
      <c r="F22" s="1559"/>
      <c r="G22" s="1616">
        <f t="shared" si="3"/>
        <v>0.3</v>
      </c>
      <c r="H22" s="1616">
        <f t="shared" si="2"/>
        <v>0</v>
      </c>
      <c r="I22" s="1571"/>
      <c r="J22" s="1647" t="s">
        <v>1479</v>
      </c>
      <c r="K22" s="1693" t="s">
        <v>284</v>
      </c>
      <c r="L22" s="2064" t="s">
        <v>416</v>
      </c>
      <c r="M22" s="2497">
        <v>0.3</v>
      </c>
      <c r="N22" s="2497">
        <v>0.3</v>
      </c>
      <c r="O22" s="2497">
        <v>0.3</v>
      </c>
      <c r="P22" s="2497">
        <v>0.3</v>
      </c>
      <c r="Q22" s="2497">
        <v>0.3</v>
      </c>
      <c r="R22" s="2497">
        <v>0.3</v>
      </c>
      <c r="S22" s="2497">
        <v>0.5</v>
      </c>
      <c r="T22" s="2502">
        <v>0.3</v>
      </c>
      <c r="U22" s="2497">
        <v>0.3</v>
      </c>
      <c r="V22" s="2496">
        <v>0.3</v>
      </c>
      <c r="W22" s="1625"/>
      <c r="X22" s="1623"/>
      <c r="Y22" s="1623"/>
      <c r="Z22" s="1632"/>
    </row>
    <row r="23" spans="1:26" ht="13.5" hidden="1" customHeight="1">
      <c r="B23" s="1597" t="str">
        <f t="shared" si="0"/>
        <v>2.1.2</v>
      </c>
      <c r="C23" s="1650" t="str">
        <f t="shared" si="1"/>
        <v>負荷変動・追従制御性</v>
      </c>
      <c r="D23" s="1615">
        <f t="shared" si="5"/>
        <v>1.0499999999999999E-2</v>
      </c>
      <c r="E23" s="1615">
        <f>H$20*H$21*H23</f>
        <v>0</v>
      </c>
      <c r="F23" s="1559"/>
      <c r="G23" s="1616">
        <f t="shared" si="3"/>
        <v>0.06</v>
      </c>
      <c r="H23" s="1616">
        <f t="shared" si="2"/>
        <v>0</v>
      </c>
      <c r="I23" s="1571"/>
      <c r="J23" s="1647" t="s">
        <v>285</v>
      </c>
      <c r="K23" s="1693" t="s">
        <v>284</v>
      </c>
      <c r="L23" s="2064" t="s">
        <v>286</v>
      </c>
      <c r="M23" s="2503"/>
      <c r="N23" s="2503">
        <v>0.2</v>
      </c>
      <c r="O23" s="2503">
        <v>0.2</v>
      </c>
      <c r="P23" s="2503">
        <v>0.2</v>
      </c>
      <c r="Q23" s="2503"/>
      <c r="R23" s="2503"/>
      <c r="S23" s="2503"/>
      <c r="T23" s="2504">
        <v>0.3</v>
      </c>
      <c r="U23" s="2503"/>
      <c r="V23" s="2496">
        <v>0.2</v>
      </c>
      <c r="W23" s="1625"/>
      <c r="X23" s="1623"/>
      <c r="Y23" s="1623"/>
      <c r="Z23" s="1632"/>
    </row>
    <row r="24" spans="1:26">
      <c r="B24" s="1597" t="str">
        <f t="shared" si="0"/>
        <v>2.1.3</v>
      </c>
      <c r="C24" s="1614" t="str">
        <f t="shared" si="1"/>
        <v>外皮性能</v>
      </c>
      <c r="D24" s="1615">
        <f t="shared" si="5"/>
        <v>2.9749999999999995E-2</v>
      </c>
      <c r="E24" s="1615">
        <f t="shared" si="5"/>
        <v>0</v>
      </c>
      <c r="F24" s="1559"/>
      <c r="G24" s="1616">
        <f t="shared" si="3"/>
        <v>0.16999999999999998</v>
      </c>
      <c r="H24" s="1616">
        <f t="shared" si="2"/>
        <v>0</v>
      </c>
      <c r="I24" s="1571"/>
      <c r="J24" s="1647" t="s">
        <v>287</v>
      </c>
      <c r="K24" s="1693" t="s">
        <v>284</v>
      </c>
      <c r="L24" s="2064" t="s">
        <v>288</v>
      </c>
      <c r="M24" s="2497">
        <v>0.2</v>
      </c>
      <c r="N24" s="2497">
        <v>0.2</v>
      </c>
      <c r="O24" s="2497">
        <v>0.1</v>
      </c>
      <c r="P24" s="2497">
        <v>0.1</v>
      </c>
      <c r="Q24" s="2497">
        <v>0.2</v>
      </c>
      <c r="R24" s="2497">
        <v>0.2</v>
      </c>
      <c r="S24" s="2497">
        <v>0.3</v>
      </c>
      <c r="T24" s="2502">
        <v>0.1</v>
      </c>
      <c r="U24" s="2497">
        <v>0.2</v>
      </c>
      <c r="V24" s="2496">
        <v>0.2</v>
      </c>
      <c r="W24" s="1625">
        <v>0.5</v>
      </c>
      <c r="X24" s="1623">
        <v>0.5</v>
      </c>
      <c r="Y24" s="1623">
        <v>0.6</v>
      </c>
      <c r="Z24" s="1632"/>
    </row>
    <row r="25" spans="1:26">
      <c r="B25" s="1597" t="str">
        <f t="shared" si="0"/>
        <v>2.1.4</v>
      </c>
      <c r="C25" s="1614" t="str">
        <f t="shared" si="1"/>
        <v>ゾーン別制御性</v>
      </c>
      <c r="D25" s="1615">
        <f t="shared" si="5"/>
        <v>4.725E-2</v>
      </c>
      <c r="E25" s="1615">
        <f t="shared" si="5"/>
        <v>0</v>
      </c>
      <c r="F25" s="1559"/>
      <c r="G25" s="1616">
        <f t="shared" si="3"/>
        <v>0.27</v>
      </c>
      <c r="H25" s="1616">
        <f t="shared" si="2"/>
        <v>0</v>
      </c>
      <c r="I25" s="1571"/>
      <c r="J25" s="1647" t="s">
        <v>289</v>
      </c>
      <c r="K25" s="1693" t="s">
        <v>284</v>
      </c>
      <c r="L25" s="2064" t="s">
        <v>290</v>
      </c>
      <c r="M25" s="2497">
        <v>0.3</v>
      </c>
      <c r="N25" s="2497"/>
      <c r="O25" s="2497">
        <v>0.2</v>
      </c>
      <c r="P25" s="2497">
        <v>0.2</v>
      </c>
      <c r="Q25" s="2497">
        <v>0.3</v>
      </c>
      <c r="R25" s="2497">
        <v>0.3</v>
      </c>
      <c r="S25" s="2497"/>
      <c r="T25" s="2502">
        <v>0.2</v>
      </c>
      <c r="U25" s="2497">
        <v>0.3</v>
      </c>
      <c r="V25" s="2496">
        <v>0</v>
      </c>
      <c r="W25" s="1625"/>
      <c r="X25" s="1623"/>
      <c r="Y25" s="1623"/>
      <c r="Z25" s="1632"/>
    </row>
    <row r="26" spans="1:26" hidden="1">
      <c r="B26" s="1597" t="str">
        <f t="shared" si="0"/>
        <v>2.1.5</v>
      </c>
      <c r="C26" s="1650" t="str">
        <f t="shared" si="1"/>
        <v>温度・湿度制御</v>
      </c>
      <c r="D26" s="1615">
        <f t="shared" si="5"/>
        <v>1.7499999999999998E-2</v>
      </c>
      <c r="E26" s="1615">
        <f t="shared" si="5"/>
        <v>0</v>
      </c>
      <c r="F26" s="1559"/>
      <c r="G26" s="1616">
        <f>SUMPRODUCT($M$7:$Y$7,M26:Y26)</f>
        <v>9.9999999999999992E-2</v>
      </c>
      <c r="H26" s="1616">
        <f t="shared" si="2"/>
        <v>0</v>
      </c>
      <c r="I26" s="1571"/>
      <c r="J26" s="1647" t="s">
        <v>291</v>
      </c>
      <c r="K26" s="1693" t="s">
        <v>284</v>
      </c>
      <c r="L26" s="2064" t="s">
        <v>292</v>
      </c>
      <c r="M26" s="2503">
        <v>0.1</v>
      </c>
      <c r="N26" s="2503">
        <v>0.1</v>
      </c>
      <c r="O26" s="2503">
        <v>0.1</v>
      </c>
      <c r="P26" s="2503">
        <v>0.1</v>
      </c>
      <c r="Q26" s="2503">
        <v>0.1</v>
      </c>
      <c r="R26" s="2503">
        <v>0.1</v>
      </c>
      <c r="S26" s="2503">
        <v>0.2</v>
      </c>
      <c r="T26" s="2504">
        <v>0.1</v>
      </c>
      <c r="U26" s="2503">
        <v>0.1</v>
      </c>
      <c r="V26" s="2496">
        <v>0.1</v>
      </c>
      <c r="W26" s="1625">
        <v>0.3</v>
      </c>
      <c r="X26" s="1623">
        <v>0.3</v>
      </c>
      <c r="Y26" s="1623"/>
      <c r="Z26" s="1632"/>
    </row>
    <row r="27" spans="1:26" hidden="1">
      <c r="B27" s="1597" t="str">
        <f t="shared" si="0"/>
        <v>2.1.6</v>
      </c>
      <c r="C27" s="1650" t="str">
        <f t="shared" si="1"/>
        <v>個別制御</v>
      </c>
      <c r="D27" s="1615">
        <f t="shared" si="5"/>
        <v>0</v>
      </c>
      <c r="E27" s="1615">
        <f t="shared" si="5"/>
        <v>0</v>
      </c>
      <c r="F27" s="1559"/>
      <c r="G27" s="1616">
        <f t="shared" si="3"/>
        <v>0</v>
      </c>
      <c r="H27" s="1616">
        <f t="shared" si="2"/>
        <v>0</v>
      </c>
      <c r="I27" s="1571"/>
      <c r="J27" s="1647" t="s">
        <v>293</v>
      </c>
      <c r="K27" s="1693" t="s">
        <v>284</v>
      </c>
      <c r="L27" s="2064" t="s">
        <v>294</v>
      </c>
      <c r="M27" s="2503"/>
      <c r="N27" s="2503"/>
      <c r="O27" s="2503"/>
      <c r="P27" s="2503"/>
      <c r="Q27" s="2503"/>
      <c r="R27" s="2503"/>
      <c r="S27" s="2503"/>
      <c r="T27" s="2504"/>
      <c r="U27" s="2503"/>
      <c r="V27" s="2496">
        <v>0</v>
      </c>
      <c r="W27" s="1625">
        <v>0.2</v>
      </c>
      <c r="X27" s="1623">
        <v>0.2</v>
      </c>
      <c r="Y27" s="1623">
        <v>0.4</v>
      </c>
      <c r="Z27" s="1632"/>
    </row>
    <row r="28" spans="1:26" hidden="1">
      <c r="B28" s="1597" t="str">
        <f t="shared" si="0"/>
        <v>2.1.7</v>
      </c>
      <c r="C28" s="1650" t="str">
        <f t="shared" si="1"/>
        <v>時間外空調に対する配慮</v>
      </c>
      <c r="D28" s="1615">
        <f t="shared" si="5"/>
        <v>1.2249999999999999E-2</v>
      </c>
      <c r="E28" s="1615">
        <f t="shared" si="5"/>
        <v>0</v>
      </c>
      <c r="F28" s="1559"/>
      <c r="G28" s="1616">
        <f t="shared" si="3"/>
        <v>6.9999999999999993E-2</v>
      </c>
      <c r="H28" s="1616">
        <f t="shared" si="2"/>
        <v>0</v>
      </c>
      <c r="I28" s="1571"/>
      <c r="J28" s="1647" t="s">
        <v>295</v>
      </c>
      <c r="K28" s="1693" t="s">
        <v>284</v>
      </c>
      <c r="L28" s="2064" t="s">
        <v>943</v>
      </c>
      <c r="M28" s="2503">
        <v>0.1</v>
      </c>
      <c r="N28" s="2503">
        <v>0.2</v>
      </c>
      <c r="O28" s="2503"/>
      <c r="P28" s="2503"/>
      <c r="Q28" s="2503">
        <v>0.1</v>
      </c>
      <c r="R28" s="2503">
        <v>0.1</v>
      </c>
      <c r="S28" s="2503"/>
      <c r="T28" s="2504"/>
      <c r="U28" s="2503">
        <v>0.1</v>
      </c>
      <c r="V28" s="2496">
        <v>0.2</v>
      </c>
      <c r="W28" s="1625"/>
      <c r="X28" s="1623"/>
      <c r="Y28" s="1623"/>
      <c r="Z28" s="1632"/>
    </row>
    <row r="29" spans="1:26" hidden="1">
      <c r="B29" s="1597" t="str">
        <f t="shared" si="0"/>
        <v>2.1.8</v>
      </c>
      <c r="C29" s="1650" t="str">
        <f t="shared" si="1"/>
        <v>監視システム</v>
      </c>
      <c r="D29" s="1615">
        <f t="shared" si="5"/>
        <v>5.2499999999999995E-3</v>
      </c>
      <c r="E29" s="1615">
        <f t="shared" si="5"/>
        <v>0</v>
      </c>
      <c r="F29" s="1559"/>
      <c r="G29" s="1616">
        <f t="shared" si="3"/>
        <v>0.03</v>
      </c>
      <c r="H29" s="1616">
        <f t="shared" si="2"/>
        <v>0</v>
      </c>
      <c r="I29" s="1571"/>
      <c r="J29" s="1647" t="s">
        <v>296</v>
      </c>
      <c r="K29" s="1693" t="s">
        <v>284</v>
      </c>
      <c r="L29" s="2064" t="s">
        <v>297</v>
      </c>
      <c r="M29" s="2503"/>
      <c r="N29" s="2503"/>
      <c r="O29" s="2503">
        <v>0.1</v>
      </c>
      <c r="P29" s="2503">
        <v>0.1</v>
      </c>
      <c r="Q29" s="2503"/>
      <c r="R29" s="2503"/>
      <c r="S29" s="2503"/>
      <c r="T29" s="2504"/>
      <c r="U29" s="2503"/>
      <c r="V29" s="2496">
        <v>0</v>
      </c>
      <c r="W29" s="1625"/>
      <c r="X29" s="1623"/>
      <c r="Y29" s="1623"/>
      <c r="Z29" s="1632"/>
    </row>
    <row r="30" spans="1:26">
      <c r="B30" s="1597">
        <f t="shared" si="0"/>
        <v>2.2000000000000002</v>
      </c>
      <c r="C30" s="1630" t="str">
        <f t="shared" si="1"/>
        <v>湿度制御</v>
      </c>
      <c r="D30" s="1622">
        <f>G20*G30</f>
        <v>6.9999999999999993E-2</v>
      </c>
      <c r="E30" s="1622">
        <f>H20*H30</f>
        <v>0</v>
      </c>
      <c r="F30" s="1559"/>
      <c r="G30" s="1616">
        <f t="shared" si="3"/>
        <v>0.19999999999999998</v>
      </c>
      <c r="H30" s="1616">
        <f t="shared" si="2"/>
        <v>0</v>
      </c>
      <c r="I30" s="1571"/>
      <c r="J30" s="1647">
        <v>2.2000000000000002</v>
      </c>
      <c r="K30" s="1693" t="s">
        <v>283</v>
      </c>
      <c r="L30" s="1737" t="s">
        <v>977</v>
      </c>
      <c r="M30" s="2497">
        <v>0.2</v>
      </c>
      <c r="N30" s="2497">
        <v>0.2</v>
      </c>
      <c r="O30" s="2497">
        <v>0.2</v>
      </c>
      <c r="P30" s="2497">
        <v>0.2</v>
      </c>
      <c r="Q30" s="2497">
        <v>0.2</v>
      </c>
      <c r="R30" s="2497">
        <v>0.2</v>
      </c>
      <c r="S30" s="2497">
        <v>0.2</v>
      </c>
      <c r="T30" s="2502">
        <v>0.2</v>
      </c>
      <c r="U30" s="2497">
        <v>0.2</v>
      </c>
      <c r="V30" s="2496">
        <v>0.2</v>
      </c>
      <c r="W30" s="1625"/>
      <c r="X30" s="1623"/>
      <c r="Y30" s="1623"/>
      <c r="Z30" s="1620"/>
    </row>
    <row r="31" spans="1:26">
      <c r="B31" s="1597">
        <f t="shared" si="0"/>
        <v>2.2999999999999998</v>
      </c>
      <c r="C31" s="1630" t="str">
        <f t="shared" si="1"/>
        <v>空調方式</v>
      </c>
      <c r="D31" s="1615"/>
      <c r="E31" s="1615"/>
      <c r="F31" s="1559"/>
      <c r="G31" s="1616">
        <f t="shared" si="3"/>
        <v>0.3</v>
      </c>
      <c r="H31" s="1616">
        <f t="shared" si="2"/>
        <v>0</v>
      </c>
      <c r="I31" s="1571"/>
      <c r="J31" s="1647">
        <v>2.2999999999999998</v>
      </c>
      <c r="K31" s="1693" t="s">
        <v>283</v>
      </c>
      <c r="L31" s="1737" t="s">
        <v>657</v>
      </c>
      <c r="M31" s="2497">
        <v>0.3</v>
      </c>
      <c r="N31" s="2497">
        <v>0.3</v>
      </c>
      <c r="O31" s="2497">
        <v>0.3</v>
      </c>
      <c r="P31" s="2497">
        <v>0.3</v>
      </c>
      <c r="Q31" s="2497">
        <v>0.3</v>
      </c>
      <c r="R31" s="2497">
        <v>0.3</v>
      </c>
      <c r="S31" s="2497">
        <v>0.3</v>
      </c>
      <c r="T31" s="2502">
        <v>0.3</v>
      </c>
      <c r="U31" s="2497">
        <v>0.3</v>
      </c>
      <c r="V31" s="2496">
        <v>0.3</v>
      </c>
      <c r="W31" s="1625"/>
      <c r="X31" s="1623"/>
      <c r="Y31" s="1623"/>
      <c r="Z31" s="1620"/>
    </row>
    <row r="32" spans="1:26">
      <c r="B32" s="1597" t="str">
        <f t="shared" si="0"/>
        <v>2.3.1</v>
      </c>
      <c r="C32" s="1660" t="str">
        <f t="shared" si="1"/>
        <v>上下温度差</v>
      </c>
      <c r="D32" s="1615">
        <f>G$20*G$31*G32</f>
        <v>5.2499999999999998E-2</v>
      </c>
      <c r="E32" s="1615">
        <f>H$20*H$31*H32</f>
        <v>0</v>
      </c>
      <c r="F32" s="1559"/>
      <c r="G32" s="1616">
        <f t="shared" si="3"/>
        <v>0.5</v>
      </c>
      <c r="H32" s="1616">
        <f t="shared" si="2"/>
        <v>0</v>
      </c>
      <c r="I32" s="1571"/>
      <c r="J32" s="1647" t="s">
        <v>1482</v>
      </c>
      <c r="K32" s="1693" t="s">
        <v>298</v>
      </c>
      <c r="L32" s="1737" t="s">
        <v>659</v>
      </c>
      <c r="M32" s="2497">
        <v>0.5</v>
      </c>
      <c r="N32" s="2497">
        <v>0.5</v>
      </c>
      <c r="O32" s="2497">
        <v>0.5</v>
      </c>
      <c r="P32" s="2497">
        <v>0.5</v>
      </c>
      <c r="Q32" s="2497">
        <v>0.5</v>
      </c>
      <c r="R32" s="2497">
        <v>0.5</v>
      </c>
      <c r="S32" s="2497">
        <v>0.5</v>
      </c>
      <c r="T32" s="2502">
        <v>0.5</v>
      </c>
      <c r="U32" s="2497">
        <v>0.5</v>
      </c>
      <c r="V32" s="2496">
        <v>0.5</v>
      </c>
      <c r="W32" s="1625"/>
      <c r="X32" s="1625"/>
      <c r="Y32" s="1625"/>
      <c r="Z32" s="1620"/>
    </row>
    <row r="33" spans="1:26">
      <c r="B33" s="1597" t="str">
        <f t="shared" si="0"/>
        <v>2.3.2</v>
      </c>
      <c r="C33" s="1660" t="str">
        <f t="shared" si="1"/>
        <v>平均気流速度</v>
      </c>
      <c r="D33" s="1615">
        <f>G$20*G$31*G33</f>
        <v>5.2499999999999998E-2</v>
      </c>
      <c r="E33" s="1615">
        <f>H$20*H$31*H33</f>
        <v>0</v>
      </c>
      <c r="F33" s="1559"/>
      <c r="G33" s="1616">
        <f t="shared" si="3"/>
        <v>0.5</v>
      </c>
      <c r="H33" s="1616">
        <f t="shared" si="2"/>
        <v>0</v>
      </c>
      <c r="I33" s="1571"/>
      <c r="J33" s="1647" t="s">
        <v>1484</v>
      </c>
      <c r="K33" s="1693" t="s">
        <v>298</v>
      </c>
      <c r="L33" s="1737" t="s">
        <v>662</v>
      </c>
      <c r="M33" s="2497">
        <v>0.5</v>
      </c>
      <c r="N33" s="2497">
        <v>0.5</v>
      </c>
      <c r="O33" s="2497">
        <v>0.5</v>
      </c>
      <c r="P33" s="2497">
        <v>0.5</v>
      </c>
      <c r="Q33" s="2497">
        <v>0.5</v>
      </c>
      <c r="R33" s="2497">
        <v>0.5</v>
      </c>
      <c r="S33" s="2497">
        <v>0.5</v>
      </c>
      <c r="T33" s="2497">
        <v>0.5</v>
      </c>
      <c r="U33" s="2497">
        <v>0.5</v>
      </c>
      <c r="V33" s="2496">
        <v>0.5</v>
      </c>
      <c r="W33" s="1625"/>
      <c r="X33" s="1625"/>
      <c r="Y33" s="1625"/>
      <c r="Z33" s="1620"/>
    </row>
    <row r="34" spans="1:26" s="1605" customFormat="1">
      <c r="A34"/>
      <c r="B34" s="1597">
        <f t="shared" si="0"/>
        <v>3</v>
      </c>
      <c r="C34" s="1607" t="str">
        <f t="shared" si="1"/>
        <v>光・視環境</v>
      </c>
      <c r="D34" s="1608">
        <f>SUM(D35:D46)</f>
        <v>0.20799999999999996</v>
      </c>
      <c r="E34" s="1608">
        <f>SUM(E35:E46)</f>
        <v>0</v>
      </c>
      <c r="F34" s="1559"/>
      <c r="G34" s="1609">
        <f t="shared" si="3"/>
        <v>0.25</v>
      </c>
      <c r="H34" s="1609">
        <f t="shared" si="2"/>
        <v>0</v>
      </c>
      <c r="I34" s="1601"/>
      <c r="J34" s="1641">
        <v>3</v>
      </c>
      <c r="K34" s="1744" t="s">
        <v>277</v>
      </c>
      <c r="L34" s="1780" t="s">
        <v>1190</v>
      </c>
      <c r="M34" s="1610">
        <v>0.25</v>
      </c>
      <c r="N34" s="1610">
        <v>0.25</v>
      </c>
      <c r="O34" s="1610">
        <v>0.25</v>
      </c>
      <c r="P34" s="1610">
        <v>0.25</v>
      </c>
      <c r="Q34" s="1610">
        <v>0.25</v>
      </c>
      <c r="R34" s="1610">
        <v>0.25</v>
      </c>
      <c r="S34" s="1610">
        <v>0.25</v>
      </c>
      <c r="T34" s="1629">
        <v>0</v>
      </c>
      <c r="U34" s="1610">
        <v>0.25</v>
      </c>
      <c r="V34" s="1711">
        <v>0.25</v>
      </c>
      <c r="W34" s="2063"/>
      <c r="X34" s="1711"/>
      <c r="Y34" s="1711"/>
      <c r="Z34" s="1612"/>
    </row>
    <row r="35" spans="1:26">
      <c r="B35" s="1597">
        <f t="shared" si="0"/>
        <v>3.1</v>
      </c>
      <c r="C35" s="1630" t="str">
        <f t="shared" si="1"/>
        <v>昼光利用</v>
      </c>
      <c r="D35" s="1615"/>
      <c r="E35" s="1615"/>
      <c r="F35" s="1559"/>
      <c r="G35" s="1616">
        <f t="shared" si="3"/>
        <v>0.36</v>
      </c>
      <c r="H35" s="1616">
        <f t="shared" si="2"/>
        <v>0</v>
      </c>
      <c r="I35" s="1571"/>
      <c r="J35" s="1647">
        <v>3.1</v>
      </c>
      <c r="K35" s="1693" t="s">
        <v>299</v>
      </c>
      <c r="L35" s="1737" t="s">
        <v>666</v>
      </c>
      <c r="M35" s="1618">
        <v>0.3</v>
      </c>
      <c r="N35" s="1618">
        <v>0.3</v>
      </c>
      <c r="O35" s="1618">
        <v>0.5</v>
      </c>
      <c r="P35" s="1618">
        <v>1</v>
      </c>
      <c r="Q35" s="1618">
        <v>0.3</v>
      </c>
      <c r="R35" s="1618">
        <v>0.3</v>
      </c>
      <c r="S35" s="1618">
        <v>0.3</v>
      </c>
      <c r="T35" s="1631"/>
      <c r="U35" s="1618">
        <v>0.3</v>
      </c>
      <c r="V35" s="1623">
        <v>0.3</v>
      </c>
      <c r="W35" s="1625">
        <v>0.3</v>
      </c>
      <c r="X35" s="1623">
        <v>0.3</v>
      </c>
      <c r="Y35" s="1623">
        <v>0.3</v>
      </c>
      <c r="Z35" s="1620"/>
    </row>
    <row r="36" spans="1:26">
      <c r="B36" s="1597" t="str">
        <f t="shared" si="0"/>
        <v>3.1.1</v>
      </c>
      <c r="C36" s="1614" t="str">
        <f t="shared" si="1"/>
        <v>昼光率</v>
      </c>
      <c r="D36" s="1615">
        <f t="shared" ref="D36:E38" si="6">G$34*G$35*G36</f>
        <v>3.78E-2</v>
      </c>
      <c r="E36" s="1615">
        <f t="shared" si="6"/>
        <v>0</v>
      </c>
      <c r="F36" s="1559"/>
      <c r="G36" s="1616">
        <f t="shared" si="3"/>
        <v>0.42</v>
      </c>
      <c r="H36" s="1616">
        <f t="shared" si="2"/>
        <v>0</v>
      </c>
      <c r="I36" s="1571"/>
      <c r="J36" s="1647" t="s">
        <v>1617</v>
      </c>
      <c r="K36" s="1693" t="s">
        <v>300</v>
      </c>
      <c r="L36" s="2064" t="s">
        <v>301</v>
      </c>
      <c r="M36" s="1618">
        <v>0.6</v>
      </c>
      <c r="N36" s="1618">
        <v>0.6</v>
      </c>
      <c r="O36" s="1618"/>
      <c r="P36" s="1618"/>
      <c r="Q36" s="1618">
        <v>0.6</v>
      </c>
      <c r="R36" s="1618">
        <v>0.6</v>
      </c>
      <c r="S36" s="1618">
        <v>0.6</v>
      </c>
      <c r="T36" s="1631"/>
      <c r="U36" s="1618">
        <v>0.6</v>
      </c>
      <c r="V36" s="1623">
        <v>0.6</v>
      </c>
      <c r="W36" s="1625">
        <v>0.6</v>
      </c>
      <c r="X36" s="1623">
        <v>0.6</v>
      </c>
      <c r="Y36" s="1623">
        <v>0.5</v>
      </c>
      <c r="Z36" s="1620"/>
    </row>
    <row r="37" spans="1:26">
      <c r="B37" s="1597" t="str">
        <f t="shared" si="0"/>
        <v>3.1.2</v>
      </c>
      <c r="C37" s="1614" t="str">
        <f t="shared" si="1"/>
        <v>方位別開口</v>
      </c>
      <c r="D37" s="1615">
        <f t="shared" si="6"/>
        <v>0</v>
      </c>
      <c r="E37" s="1615">
        <f t="shared" si="6"/>
        <v>0</v>
      </c>
      <c r="F37" s="1559"/>
      <c r="G37" s="1616">
        <f t="shared" si="3"/>
        <v>0</v>
      </c>
      <c r="H37" s="1616">
        <f t="shared" si="2"/>
        <v>0</v>
      </c>
      <c r="I37" s="1571"/>
      <c r="J37" s="1647" t="s">
        <v>1487</v>
      </c>
      <c r="K37" s="1693" t="s">
        <v>300</v>
      </c>
      <c r="L37" s="2064" t="s">
        <v>302</v>
      </c>
      <c r="M37" s="1618"/>
      <c r="N37" s="1618"/>
      <c r="O37" s="1618"/>
      <c r="P37" s="1618"/>
      <c r="Q37" s="1618"/>
      <c r="R37" s="1618"/>
      <c r="S37" s="1618"/>
      <c r="T37" s="1631"/>
      <c r="U37" s="1618"/>
      <c r="V37" s="1623"/>
      <c r="W37" s="1625"/>
      <c r="X37" s="1623"/>
      <c r="Y37" s="1623">
        <v>0.3</v>
      </c>
      <c r="Z37" s="1620"/>
    </row>
    <row r="38" spans="1:26">
      <c r="B38" s="1597" t="str">
        <f t="shared" si="0"/>
        <v>3.1.3</v>
      </c>
      <c r="C38" s="1614" t="str">
        <f t="shared" si="1"/>
        <v>昼光利用設備</v>
      </c>
      <c r="D38" s="1615">
        <f t="shared" si="6"/>
        <v>5.2199999999999996E-2</v>
      </c>
      <c r="E38" s="1615">
        <f t="shared" si="6"/>
        <v>0</v>
      </c>
      <c r="F38" s="1559"/>
      <c r="G38" s="1616">
        <f t="shared" si="3"/>
        <v>0.57999999999999996</v>
      </c>
      <c r="H38" s="1616">
        <f t="shared" si="2"/>
        <v>0</v>
      </c>
      <c r="I38" s="1571"/>
      <c r="J38" s="1647" t="s">
        <v>1618</v>
      </c>
      <c r="K38" s="1693" t="s">
        <v>300</v>
      </c>
      <c r="L38" s="2064" t="s">
        <v>303</v>
      </c>
      <c r="M38" s="1618">
        <v>0.4</v>
      </c>
      <c r="N38" s="1618">
        <v>0.4</v>
      </c>
      <c r="O38" s="1618">
        <v>1</v>
      </c>
      <c r="P38" s="1618">
        <v>1</v>
      </c>
      <c r="Q38" s="1618">
        <v>0.4</v>
      </c>
      <c r="R38" s="1618">
        <v>0.4</v>
      </c>
      <c r="S38" s="1618">
        <v>0.4</v>
      </c>
      <c r="T38" s="1631"/>
      <c r="U38" s="1618">
        <v>0.4</v>
      </c>
      <c r="V38" s="1623">
        <v>0.4</v>
      </c>
      <c r="W38" s="1625">
        <v>0.4</v>
      </c>
      <c r="X38" s="1623">
        <v>0.4</v>
      </c>
      <c r="Y38" s="1623">
        <v>0.2</v>
      </c>
      <c r="Z38" s="1620"/>
    </row>
    <row r="39" spans="1:26">
      <c r="B39" s="1597">
        <f t="shared" si="0"/>
        <v>3.2</v>
      </c>
      <c r="C39" s="1614" t="str">
        <f t="shared" si="1"/>
        <v>グレア対策</v>
      </c>
      <c r="D39" s="1622"/>
      <c r="E39" s="1622"/>
      <c r="F39" s="1559"/>
      <c r="G39" s="1616">
        <f t="shared" si="3"/>
        <v>0.21</v>
      </c>
      <c r="H39" s="1616">
        <f t="shared" si="2"/>
        <v>0</v>
      </c>
      <c r="I39" s="1571"/>
      <c r="J39" s="1647">
        <v>3.2</v>
      </c>
      <c r="K39" s="1693" t="s">
        <v>299</v>
      </c>
      <c r="L39" s="2064" t="s">
        <v>677</v>
      </c>
      <c r="M39" s="1618">
        <v>0.3</v>
      </c>
      <c r="N39" s="1618">
        <v>0.3</v>
      </c>
      <c r="O39" s="1618"/>
      <c r="P39" s="1618"/>
      <c r="Q39" s="1618">
        <v>0.3</v>
      </c>
      <c r="R39" s="1618">
        <v>0.3</v>
      </c>
      <c r="S39" s="1618">
        <v>0.3</v>
      </c>
      <c r="T39" s="1631"/>
      <c r="U39" s="1618">
        <v>0.3</v>
      </c>
      <c r="V39" s="2496">
        <v>0.3</v>
      </c>
      <c r="W39" s="1625">
        <v>0.3</v>
      </c>
      <c r="X39" s="1623">
        <v>0.3</v>
      </c>
      <c r="Y39" s="1623">
        <v>0.3</v>
      </c>
      <c r="Z39" s="1620"/>
    </row>
    <row r="40" spans="1:26">
      <c r="B40" s="1597" t="str">
        <f t="shared" si="0"/>
        <v>3.2.1</v>
      </c>
      <c r="C40" s="1614" t="str">
        <f t="shared" si="1"/>
        <v>照明器具のグレア</v>
      </c>
      <c r="D40" s="1615">
        <f t="shared" ref="D40:E42" si="7">G$34*G$39*G40</f>
        <v>1.4699999999999998E-2</v>
      </c>
      <c r="E40" s="1615">
        <f t="shared" si="7"/>
        <v>0</v>
      </c>
      <c r="F40" s="1559"/>
      <c r="G40" s="1616">
        <f t="shared" si="3"/>
        <v>0.27999999999999997</v>
      </c>
      <c r="H40" s="1616">
        <f t="shared" si="2"/>
        <v>0</v>
      </c>
      <c r="I40" s="1571"/>
      <c r="J40" s="1647" t="s">
        <v>1490</v>
      </c>
      <c r="K40" s="1693" t="s">
        <v>304</v>
      </c>
      <c r="L40" s="2064" t="s">
        <v>305</v>
      </c>
      <c r="M40" s="1654">
        <v>0.4</v>
      </c>
      <c r="N40" s="1654">
        <v>0.4</v>
      </c>
      <c r="O40" s="1654"/>
      <c r="P40" s="1654"/>
      <c r="Q40" s="1654">
        <v>0.4</v>
      </c>
      <c r="R40" s="1654">
        <v>0.4</v>
      </c>
      <c r="S40" s="1654">
        <v>0.4</v>
      </c>
      <c r="T40" s="2071"/>
      <c r="U40" s="1654">
        <v>0.4</v>
      </c>
      <c r="V40" s="2496">
        <v>0.3</v>
      </c>
      <c r="W40" s="1625">
        <v>0.4</v>
      </c>
      <c r="X40" s="1623">
        <v>0.4</v>
      </c>
      <c r="Y40" s="1623">
        <v>0.4</v>
      </c>
      <c r="Z40" s="1632"/>
    </row>
    <row r="41" spans="1:26">
      <c r="B41" s="1597" t="str">
        <f t="shared" ref="B41:B73" si="8">J41</f>
        <v>3.2.2</v>
      </c>
      <c r="C41" s="1614" t="str">
        <f t="shared" ref="C41:C73" si="9">L41</f>
        <v>昼光制御</v>
      </c>
      <c r="D41" s="1615">
        <f t="shared" si="7"/>
        <v>2.2049999999999997E-2</v>
      </c>
      <c r="E41" s="1615">
        <f t="shared" si="7"/>
        <v>0</v>
      </c>
      <c r="F41" s="1559"/>
      <c r="G41" s="1616">
        <f t="shared" si="3"/>
        <v>0.42</v>
      </c>
      <c r="H41" s="1616">
        <f t="shared" si="2"/>
        <v>0</v>
      </c>
      <c r="I41" s="1571"/>
      <c r="J41" s="1647" t="s">
        <v>1492</v>
      </c>
      <c r="K41" s="1693" t="s">
        <v>304</v>
      </c>
      <c r="L41" s="2064" t="s">
        <v>306</v>
      </c>
      <c r="M41" s="1618">
        <v>0.6</v>
      </c>
      <c r="N41" s="1618">
        <v>0.6</v>
      </c>
      <c r="O41" s="1618"/>
      <c r="P41" s="1618"/>
      <c r="Q41" s="1618">
        <v>0.6</v>
      </c>
      <c r="R41" s="1618">
        <v>0.6</v>
      </c>
      <c r="S41" s="1618">
        <v>0.6</v>
      </c>
      <c r="T41" s="1631"/>
      <c r="U41" s="1618">
        <v>0.6</v>
      </c>
      <c r="V41" s="2496">
        <v>0.4</v>
      </c>
      <c r="W41" s="1625">
        <v>0.6</v>
      </c>
      <c r="X41" s="1623">
        <v>0.6</v>
      </c>
      <c r="Y41" s="1623">
        <v>0.6</v>
      </c>
      <c r="Z41" s="1632"/>
    </row>
    <row r="42" spans="1:26">
      <c r="B42" s="1597" t="str">
        <f>J42</f>
        <v>3.2.3</v>
      </c>
      <c r="C42" s="1614" t="str">
        <f>L42</f>
        <v>映り込み対策</v>
      </c>
      <c r="D42" s="1615">
        <f>G$34*G$39*G42</f>
        <v>0</v>
      </c>
      <c r="E42" s="1615">
        <f t="shared" si="7"/>
        <v>0</v>
      </c>
      <c r="F42" s="1559"/>
      <c r="G42" s="1616">
        <f t="shared" si="3"/>
        <v>0</v>
      </c>
      <c r="H42" s="1616">
        <f t="shared" si="2"/>
        <v>0</v>
      </c>
      <c r="I42" s="1571"/>
      <c r="J42" s="1647" t="s">
        <v>379</v>
      </c>
      <c r="K42" s="1693" t="s">
        <v>307</v>
      </c>
      <c r="L42" s="2064" t="s">
        <v>886</v>
      </c>
      <c r="M42" s="1618"/>
      <c r="N42" s="1618"/>
      <c r="O42" s="1618"/>
      <c r="P42" s="1618"/>
      <c r="Q42" s="1618"/>
      <c r="R42" s="1618"/>
      <c r="S42" s="1618"/>
      <c r="T42" s="1631"/>
      <c r="U42" s="1618"/>
      <c r="V42" s="2496">
        <v>0.3</v>
      </c>
      <c r="W42" s="1625"/>
      <c r="X42" s="1623"/>
      <c r="Y42" s="1623"/>
      <c r="Z42" s="1632"/>
    </row>
    <row r="43" spans="1:26" ht="15.75" customHeight="1">
      <c r="B43" s="1597">
        <f t="shared" si="8"/>
        <v>3.3</v>
      </c>
      <c r="C43" s="1630" t="str">
        <f t="shared" si="9"/>
        <v>照度</v>
      </c>
      <c r="D43" s="1615"/>
      <c r="E43" s="1615"/>
      <c r="F43" s="1559"/>
      <c r="G43" s="1616">
        <f t="shared" si="3"/>
        <v>0.105</v>
      </c>
      <c r="H43" s="1616">
        <f t="shared" si="2"/>
        <v>0</v>
      </c>
      <c r="I43" s="1571"/>
      <c r="J43" s="1647">
        <v>3.3</v>
      </c>
      <c r="K43" s="1693" t="s">
        <v>299</v>
      </c>
      <c r="L43" s="1737" t="s">
        <v>683</v>
      </c>
      <c r="M43" s="1618">
        <v>0.15</v>
      </c>
      <c r="N43" s="1618">
        <v>0.15</v>
      </c>
      <c r="O43" s="1618"/>
      <c r="P43" s="1618"/>
      <c r="Q43" s="1618">
        <v>0.15</v>
      </c>
      <c r="R43" s="1618">
        <v>0.15</v>
      </c>
      <c r="S43" s="1618">
        <v>0.15</v>
      </c>
      <c r="T43" s="1631"/>
      <c r="U43" s="1618">
        <v>0.15</v>
      </c>
      <c r="V43" s="1623">
        <v>0.15</v>
      </c>
      <c r="W43" s="1625">
        <v>0.15</v>
      </c>
      <c r="X43" s="1623">
        <v>0.15</v>
      </c>
      <c r="Y43" s="1623">
        <v>0.15</v>
      </c>
      <c r="Z43" s="1620"/>
    </row>
    <row r="44" spans="1:26" hidden="1">
      <c r="B44" s="1597" t="str">
        <f t="shared" si="8"/>
        <v>3.3.1</v>
      </c>
      <c r="C44" s="1650" t="str">
        <f t="shared" si="9"/>
        <v>照度</v>
      </c>
      <c r="D44" s="1651">
        <f>G$34*G$43*G44</f>
        <v>0</v>
      </c>
      <c r="E44" s="1651">
        <f>H$34*H$43*H44</f>
        <v>0</v>
      </c>
      <c r="F44" s="1559"/>
      <c r="G44" s="1652">
        <f t="shared" si="3"/>
        <v>0</v>
      </c>
      <c r="H44" s="1652">
        <f t="shared" si="2"/>
        <v>0</v>
      </c>
      <c r="I44" s="1571"/>
      <c r="J44" s="2067" t="s">
        <v>1495</v>
      </c>
      <c r="K44" s="2069" t="s">
        <v>307</v>
      </c>
      <c r="L44" s="2070" t="s">
        <v>1497</v>
      </c>
      <c r="M44" s="1618"/>
      <c r="N44" s="1618"/>
      <c r="O44" s="1618"/>
      <c r="P44" s="1618"/>
      <c r="Q44" s="1618"/>
      <c r="R44" s="1618"/>
      <c r="S44" s="1618"/>
      <c r="T44" s="1631"/>
      <c r="U44" s="1618"/>
      <c r="V44" s="2072"/>
      <c r="W44" s="2073"/>
      <c r="X44" s="2072"/>
      <c r="Y44" s="2072"/>
      <c r="Z44" s="1632"/>
    </row>
    <row r="45" spans="1:26" hidden="1">
      <c r="B45" s="1597" t="str">
        <f t="shared" si="8"/>
        <v>3.3.2</v>
      </c>
      <c r="C45" s="1650" t="str">
        <f t="shared" si="9"/>
        <v>照度均斉度</v>
      </c>
      <c r="D45" s="1651">
        <f>G$34*G$43*G45</f>
        <v>0</v>
      </c>
      <c r="E45" s="1651">
        <f>H$34*H$43*H45</f>
        <v>0</v>
      </c>
      <c r="F45" s="1559"/>
      <c r="G45" s="1652">
        <f t="shared" si="3"/>
        <v>0</v>
      </c>
      <c r="H45" s="1652">
        <f t="shared" si="2"/>
        <v>0</v>
      </c>
      <c r="I45" s="1571"/>
      <c r="J45" s="2067" t="s">
        <v>1541</v>
      </c>
      <c r="K45" s="2069" t="s">
        <v>307</v>
      </c>
      <c r="L45" s="2070" t="s">
        <v>1630</v>
      </c>
      <c r="M45" s="1654"/>
      <c r="N45" s="1654"/>
      <c r="O45" s="1654"/>
      <c r="P45" s="1654"/>
      <c r="Q45" s="1654"/>
      <c r="R45" s="1654"/>
      <c r="S45" s="1654"/>
      <c r="T45" s="2071"/>
      <c r="U45" s="1654"/>
      <c r="V45" s="2072"/>
      <c r="W45" s="2073"/>
      <c r="X45" s="2072"/>
      <c r="Y45" s="2072"/>
      <c r="Z45" s="1632"/>
    </row>
    <row r="46" spans="1:26">
      <c r="B46" s="1597">
        <f t="shared" si="8"/>
        <v>3.4</v>
      </c>
      <c r="C46" s="1630" t="str">
        <f t="shared" si="9"/>
        <v>照明制御</v>
      </c>
      <c r="D46" s="1615">
        <f>G$34*G46</f>
        <v>8.1249999999999989E-2</v>
      </c>
      <c r="E46" s="1615">
        <f>H$34*H46</f>
        <v>0</v>
      </c>
      <c r="F46" s="1559"/>
      <c r="G46" s="1616">
        <f t="shared" si="3"/>
        <v>0.32499999999999996</v>
      </c>
      <c r="H46" s="1616">
        <f t="shared" si="2"/>
        <v>0</v>
      </c>
      <c r="I46" s="1571"/>
      <c r="J46" s="1647">
        <v>3.4</v>
      </c>
      <c r="K46" s="1693" t="s">
        <v>299</v>
      </c>
      <c r="L46" s="1737" t="s">
        <v>684</v>
      </c>
      <c r="M46" s="1618">
        <v>0.25</v>
      </c>
      <c r="N46" s="1618">
        <v>0.25</v>
      </c>
      <c r="O46" s="1618">
        <v>0.5</v>
      </c>
      <c r="P46" s="1618"/>
      <c r="Q46" s="1618">
        <v>0.25</v>
      </c>
      <c r="R46" s="1618">
        <v>0.25</v>
      </c>
      <c r="S46" s="1618">
        <v>0.25</v>
      </c>
      <c r="T46" s="1631"/>
      <c r="U46" s="1618">
        <v>0.25</v>
      </c>
      <c r="V46" s="1623">
        <v>0.25</v>
      </c>
      <c r="W46" s="1625">
        <v>0.25</v>
      </c>
      <c r="X46" s="1623">
        <v>0.25</v>
      </c>
      <c r="Y46" s="1623">
        <v>0.25</v>
      </c>
      <c r="Z46" s="1620"/>
    </row>
    <row r="47" spans="1:26" s="1605" customFormat="1">
      <c r="A47"/>
      <c r="B47" s="1597">
        <f t="shared" si="8"/>
        <v>4</v>
      </c>
      <c r="C47" s="1628" t="str">
        <f t="shared" si="9"/>
        <v>空気質環境</v>
      </c>
      <c r="D47" s="1608">
        <f>SUM(D48:D60)</f>
        <v>0.25</v>
      </c>
      <c r="E47" s="1608">
        <f>SUM(E48:E60)</f>
        <v>0</v>
      </c>
      <c r="F47" s="1559"/>
      <c r="G47" s="1609">
        <f t="shared" si="3"/>
        <v>0.25</v>
      </c>
      <c r="H47" s="1609">
        <f t="shared" si="2"/>
        <v>0</v>
      </c>
      <c r="I47" s="1601"/>
      <c r="J47" s="1641">
        <v>4</v>
      </c>
      <c r="K47" s="1744" t="s">
        <v>277</v>
      </c>
      <c r="L47" s="1787" t="s">
        <v>1193</v>
      </c>
      <c r="M47" s="1634">
        <v>0.25</v>
      </c>
      <c r="N47" s="1634">
        <v>0.25</v>
      </c>
      <c r="O47" s="1634">
        <v>0.25</v>
      </c>
      <c r="P47" s="1634">
        <v>0.25</v>
      </c>
      <c r="Q47" s="1634">
        <v>0.25</v>
      </c>
      <c r="R47" s="1634">
        <v>0.25</v>
      </c>
      <c r="S47" s="1634">
        <v>0.25</v>
      </c>
      <c r="T47" s="1635">
        <v>0.33</v>
      </c>
      <c r="U47" s="1634">
        <v>0.25</v>
      </c>
      <c r="V47" s="1711">
        <v>0.25</v>
      </c>
      <c r="W47" s="2063"/>
      <c r="X47" s="1711"/>
      <c r="Y47" s="1711"/>
      <c r="Z47" s="1612"/>
    </row>
    <row r="48" spans="1:26">
      <c r="B48" s="1597">
        <f t="shared" si="8"/>
        <v>4.0999999999999996</v>
      </c>
      <c r="C48" s="1630" t="str">
        <f t="shared" si="9"/>
        <v>発生源対策</v>
      </c>
      <c r="D48" s="1615"/>
      <c r="E48" s="1615"/>
      <c r="F48" s="1559"/>
      <c r="G48" s="1616">
        <f t="shared" si="3"/>
        <v>0.5</v>
      </c>
      <c r="H48" s="1616">
        <f t="shared" si="2"/>
        <v>0</v>
      </c>
      <c r="I48" s="1571"/>
      <c r="J48" s="1647">
        <v>4.0999999999999996</v>
      </c>
      <c r="K48" s="1693" t="s">
        <v>308</v>
      </c>
      <c r="L48" s="1737" t="s">
        <v>686</v>
      </c>
      <c r="M48" s="1636">
        <v>0.5</v>
      </c>
      <c r="N48" s="1636">
        <v>0.5</v>
      </c>
      <c r="O48" s="1636">
        <v>0.5</v>
      </c>
      <c r="P48" s="1636">
        <v>0.5</v>
      </c>
      <c r="Q48" s="1636">
        <v>0.5</v>
      </c>
      <c r="R48" s="1636">
        <v>0.5</v>
      </c>
      <c r="S48" s="1636">
        <v>0.6</v>
      </c>
      <c r="T48" s="1637">
        <v>0.5</v>
      </c>
      <c r="U48" s="1636">
        <v>0.5</v>
      </c>
      <c r="V48" s="1623">
        <v>0.5</v>
      </c>
      <c r="W48" s="1625">
        <v>0.625</v>
      </c>
      <c r="X48" s="1623">
        <v>0.625</v>
      </c>
      <c r="Y48" s="1623">
        <v>0.625</v>
      </c>
      <c r="Z48" s="1620"/>
    </row>
    <row r="49" spans="1:26">
      <c r="B49" s="1597" t="str">
        <f t="shared" si="8"/>
        <v>4.1.1</v>
      </c>
      <c r="C49" s="1614" t="str">
        <f t="shared" si="9"/>
        <v xml:space="preserve"> 化学汚染物質</v>
      </c>
      <c r="D49" s="1615">
        <f t="shared" ref="D49:E52" si="10">G$47*G$48*G49</f>
        <v>3.125E-2</v>
      </c>
      <c r="E49" s="1615">
        <f t="shared" si="10"/>
        <v>0</v>
      </c>
      <c r="F49" s="1559"/>
      <c r="G49" s="1616">
        <f t="shared" si="3"/>
        <v>0.25</v>
      </c>
      <c r="H49" s="1616">
        <f t="shared" si="2"/>
        <v>0</v>
      </c>
      <c r="I49" s="1571"/>
      <c r="J49" s="1647" t="s">
        <v>1501</v>
      </c>
      <c r="K49" s="1693" t="s">
        <v>309</v>
      </c>
      <c r="L49" s="2064" t="s">
        <v>310</v>
      </c>
      <c r="M49" s="1636">
        <v>0.25</v>
      </c>
      <c r="N49" s="1636">
        <v>0.25</v>
      </c>
      <c r="O49" s="1636">
        <v>0.25</v>
      </c>
      <c r="P49" s="1636">
        <v>0.25</v>
      </c>
      <c r="Q49" s="1639">
        <v>0.25</v>
      </c>
      <c r="R49" s="1639">
        <v>0.33</v>
      </c>
      <c r="S49" s="1639">
        <v>0.33</v>
      </c>
      <c r="T49" s="1637">
        <v>0.25</v>
      </c>
      <c r="U49" s="1636">
        <v>0.25</v>
      </c>
      <c r="V49" s="1623">
        <v>0.25</v>
      </c>
      <c r="W49" s="1625">
        <v>0.25</v>
      </c>
      <c r="X49" s="1623">
        <v>0.25</v>
      </c>
      <c r="Y49" s="1623">
        <v>0.25</v>
      </c>
      <c r="Z49" s="1632"/>
    </row>
    <row r="50" spans="1:26">
      <c r="B50" s="1597" t="str">
        <f t="shared" si="8"/>
        <v>4.1.2</v>
      </c>
      <c r="C50" s="1614" t="str">
        <f t="shared" si="9"/>
        <v xml:space="preserve"> アスベスト対策</v>
      </c>
      <c r="D50" s="1615">
        <f t="shared" si="10"/>
        <v>3.125E-2</v>
      </c>
      <c r="E50" s="1615">
        <f t="shared" si="10"/>
        <v>0</v>
      </c>
      <c r="F50" s="1559"/>
      <c r="G50" s="1616">
        <f t="shared" si="3"/>
        <v>0.25</v>
      </c>
      <c r="H50" s="1616">
        <f t="shared" si="2"/>
        <v>0</v>
      </c>
      <c r="I50" s="1571"/>
      <c r="J50" s="1647" t="s">
        <v>1502</v>
      </c>
      <c r="K50" s="1693" t="s">
        <v>309</v>
      </c>
      <c r="L50" s="2064" t="s">
        <v>1503</v>
      </c>
      <c r="M50" s="1636">
        <v>0.25</v>
      </c>
      <c r="N50" s="1636">
        <v>0.25</v>
      </c>
      <c r="O50" s="1636">
        <v>0.25</v>
      </c>
      <c r="P50" s="1636">
        <v>0.25</v>
      </c>
      <c r="Q50" s="1639">
        <v>0.25</v>
      </c>
      <c r="R50" s="1639">
        <v>0.33</v>
      </c>
      <c r="S50" s="1639">
        <v>0.33</v>
      </c>
      <c r="T50" s="1637">
        <v>0.25</v>
      </c>
      <c r="U50" s="1636">
        <v>0.25</v>
      </c>
      <c r="V50" s="1623">
        <v>0.25</v>
      </c>
      <c r="W50" s="1625">
        <v>0.25</v>
      </c>
      <c r="X50" s="1623">
        <v>0.25</v>
      </c>
      <c r="Y50" s="1623">
        <v>0.25</v>
      </c>
      <c r="Z50" s="1632"/>
    </row>
    <row r="51" spans="1:26" hidden="1">
      <c r="B51" s="1597" t="str">
        <f t="shared" si="8"/>
        <v>4.1.3</v>
      </c>
      <c r="C51" s="1650" t="str">
        <f t="shared" si="9"/>
        <v xml:space="preserve"> ダニ・カビ等</v>
      </c>
      <c r="D51" s="1615">
        <f t="shared" si="10"/>
        <v>3.125E-2</v>
      </c>
      <c r="E51" s="1615">
        <f t="shared" si="10"/>
        <v>0</v>
      </c>
      <c r="F51" s="1559"/>
      <c r="G51" s="1616">
        <f t="shared" si="3"/>
        <v>0.25</v>
      </c>
      <c r="H51" s="1616">
        <f t="shared" si="2"/>
        <v>0</v>
      </c>
      <c r="I51" s="1571"/>
      <c r="J51" s="1647" t="s">
        <v>1504</v>
      </c>
      <c r="K51" s="1693" t="s">
        <v>309</v>
      </c>
      <c r="L51" s="2064" t="s">
        <v>944</v>
      </c>
      <c r="M51" s="2074">
        <v>0.25</v>
      </c>
      <c r="N51" s="2074">
        <v>0.25</v>
      </c>
      <c r="O51" s="2074">
        <v>0.25</v>
      </c>
      <c r="P51" s="2074">
        <v>0.25</v>
      </c>
      <c r="Q51" s="2078">
        <v>0.25</v>
      </c>
      <c r="R51" s="2078">
        <v>0.33</v>
      </c>
      <c r="S51" s="2078">
        <v>0.33</v>
      </c>
      <c r="T51" s="2075">
        <v>0.25</v>
      </c>
      <c r="U51" s="2074">
        <v>0.25</v>
      </c>
      <c r="V51" s="1623">
        <v>0.25</v>
      </c>
      <c r="W51" s="1625">
        <v>0.25</v>
      </c>
      <c r="X51" s="1623">
        <v>0.25</v>
      </c>
      <c r="Y51" s="1623">
        <v>0.25</v>
      </c>
      <c r="Z51" s="1632"/>
    </row>
    <row r="52" spans="1:26" hidden="1">
      <c r="B52" s="1597" t="str">
        <f t="shared" si="8"/>
        <v>4.1.4</v>
      </c>
      <c r="C52" s="1650" t="str">
        <f t="shared" si="9"/>
        <v xml:space="preserve"> レジオネラ対策</v>
      </c>
      <c r="D52" s="1615">
        <f t="shared" si="10"/>
        <v>3.125E-2</v>
      </c>
      <c r="E52" s="1615">
        <f t="shared" si="10"/>
        <v>0</v>
      </c>
      <c r="F52" s="1559"/>
      <c r="G52" s="1616">
        <f t="shared" si="3"/>
        <v>0.25</v>
      </c>
      <c r="H52" s="1616">
        <f t="shared" si="2"/>
        <v>0</v>
      </c>
      <c r="I52" s="1571"/>
      <c r="J52" s="1647" t="s">
        <v>1505</v>
      </c>
      <c r="K52" s="1693" t="s">
        <v>309</v>
      </c>
      <c r="L52" s="2064" t="s">
        <v>312</v>
      </c>
      <c r="M52" s="1636">
        <v>0.25</v>
      </c>
      <c r="N52" s="1636">
        <v>0.25</v>
      </c>
      <c r="O52" s="1636">
        <v>0.25</v>
      </c>
      <c r="P52" s="1636">
        <v>0.25</v>
      </c>
      <c r="Q52" s="1636">
        <v>0.25</v>
      </c>
      <c r="R52" s="1636"/>
      <c r="S52" s="1636"/>
      <c r="T52" s="1637">
        <v>0.25</v>
      </c>
      <c r="U52" s="1636">
        <v>0.25</v>
      </c>
      <c r="V52" s="1623">
        <v>0.25</v>
      </c>
      <c r="W52" s="1625">
        <v>0.25</v>
      </c>
      <c r="X52" s="1623">
        <v>0.25</v>
      </c>
      <c r="Y52" s="1623">
        <v>0.25</v>
      </c>
      <c r="Z52" s="1632"/>
    </row>
    <row r="53" spans="1:26">
      <c r="B53" s="1597">
        <f t="shared" si="8"/>
        <v>4.2</v>
      </c>
      <c r="C53" s="1630" t="str">
        <f t="shared" si="9"/>
        <v>換気</v>
      </c>
      <c r="D53" s="1615"/>
      <c r="E53" s="1615"/>
      <c r="F53" s="1559"/>
      <c r="G53" s="1616">
        <f t="shared" si="3"/>
        <v>0.3</v>
      </c>
      <c r="H53" s="1616">
        <f t="shared" si="2"/>
        <v>0</v>
      </c>
      <c r="I53" s="1571"/>
      <c r="J53" s="1647">
        <v>4.2</v>
      </c>
      <c r="K53" s="1693" t="s">
        <v>308</v>
      </c>
      <c r="L53" s="1737" t="s">
        <v>693</v>
      </c>
      <c r="M53" s="1636">
        <v>0.3</v>
      </c>
      <c r="N53" s="1636">
        <v>0.3</v>
      </c>
      <c r="O53" s="1636">
        <v>0.3</v>
      </c>
      <c r="P53" s="1636">
        <v>0.3</v>
      </c>
      <c r="Q53" s="1636">
        <v>0.3</v>
      </c>
      <c r="R53" s="1636">
        <v>0.3</v>
      </c>
      <c r="S53" s="1636">
        <v>0.4</v>
      </c>
      <c r="T53" s="1637">
        <v>0.3</v>
      </c>
      <c r="U53" s="1636">
        <v>0.3</v>
      </c>
      <c r="V53" s="1623">
        <v>0.3</v>
      </c>
      <c r="W53" s="1625">
        <v>0.375</v>
      </c>
      <c r="X53" s="1623">
        <v>0.375</v>
      </c>
      <c r="Y53" s="1623">
        <v>0.375</v>
      </c>
      <c r="Z53" s="1620"/>
    </row>
    <row r="54" spans="1:26">
      <c r="B54" s="1597" t="str">
        <f t="shared" si="8"/>
        <v>4.2.1</v>
      </c>
      <c r="C54" s="1614" t="str">
        <f t="shared" si="9"/>
        <v>換気量</v>
      </c>
      <c r="D54" s="1615">
        <f t="shared" ref="D54:E57" si="11">G$47*G$53*G54</f>
        <v>2.0624999999999998E-2</v>
      </c>
      <c r="E54" s="1615">
        <f t="shared" si="11"/>
        <v>0</v>
      </c>
      <c r="F54" s="1559"/>
      <c r="G54" s="1616">
        <f t="shared" si="3"/>
        <v>0.27499999999999997</v>
      </c>
      <c r="H54" s="1616">
        <f t="shared" si="2"/>
        <v>0</v>
      </c>
      <c r="I54" s="1571"/>
      <c r="J54" s="1647" t="s">
        <v>1506</v>
      </c>
      <c r="K54" s="1693" t="s">
        <v>313</v>
      </c>
      <c r="L54" s="2064" t="s">
        <v>314</v>
      </c>
      <c r="M54" s="1636">
        <v>0.25</v>
      </c>
      <c r="N54" s="1636">
        <v>0.25</v>
      </c>
      <c r="O54" s="1639">
        <v>0.33333333333333331</v>
      </c>
      <c r="P54" s="1639">
        <v>0.33333333333333331</v>
      </c>
      <c r="Q54" s="1639">
        <v>0.33333333333333331</v>
      </c>
      <c r="R54" s="1639">
        <v>0.33333333333333331</v>
      </c>
      <c r="S54" s="1636"/>
      <c r="T54" s="1639">
        <v>0.33333333333333331</v>
      </c>
      <c r="U54" s="1636">
        <v>0.25</v>
      </c>
      <c r="V54" s="1623">
        <v>0.25</v>
      </c>
      <c r="W54" s="1625">
        <v>0.25</v>
      </c>
      <c r="X54" s="1623">
        <v>0.25</v>
      </c>
      <c r="Y54" s="1623"/>
      <c r="Z54" s="1632"/>
    </row>
    <row r="55" spans="1:26">
      <c r="B55" s="1597" t="str">
        <f t="shared" si="8"/>
        <v>4.2.2</v>
      </c>
      <c r="C55" s="1614" t="str">
        <f t="shared" si="9"/>
        <v>自然換気性能</v>
      </c>
      <c r="D55" s="1615">
        <f t="shared" si="11"/>
        <v>1.3125E-2</v>
      </c>
      <c r="E55" s="1615">
        <f t="shared" si="11"/>
        <v>0</v>
      </c>
      <c r="F55" s="1559"/>
      <c r="G55" s="1616">
        <f t="shared" si="3"/>
        <v>0.17499999999999999</v>
      </c>
      <c r="H55" s="1616">
        <f t="shared" si="2"/>
        <v>0</v>
      </c>
      <c r="I55" s="1571"/>
      <c r="J55" s="1647" t="s">
        <v>1508</v>
      </c>
      <c r="K55" s="1693" t="s">
        <v>313</v>
      </c>
      <c r="L55" s="2064" t="s">
        <v>315</v>
      </c>
      <c r="M55" s="1636">
        <v>0.25</v>
      </c>
      <c r="N55" s="1636">
        <v>0.25</v>
      </c>
      <c r="O55" s="1636"/>
      <c r="P55" s="1636"/>
      <c r="Q55" s="1636"/>
      <c r="R55" s="1636"/>
      <c r="S55" s="1636"/>
      <c r="T55" s="1637"/>
      <c r="U55" s="1636">
        <v>0.25</v>
      </c>
      <c r="V55" s="1623">
        <v>0.25</v>
      </c>
      <c r="W55" s="1625">
        <v>0.25</v>
      </c>
      <c r="X55" s="1623">
        <v>0.25</v>
      </c>
      <c r="Y55" s="1623">
        <v>0.33</v>
      </c>
      <c r="Z55" s="1632"/>
    </row>
    <row r="56" spans="1:26">
      <c r="B56" s="1597" t="str">
        <f t="shared" si="8"/>
        <v>4.2.3</v>
      </c>
      <c r="C56" s="1614" t="str">
        <f t="shared" si="9"/>
        <v>取り入れ外気への配慮</v>
      </c>
      <c r="D56" s="1615">
        <f t="shared" si="11"/>
        <v>2.0624999999999998E-2</v>
      </c>
      <c r="E56" s="1615">
        <f t="shared" si="11"/>
        <v>0</v>
      </c>
      <c r="F56" s="1559"/>
      <c r="G56" s="1616">
        <f t="shared" si="3"/>
        <v>0.27499999999999997</v>
      </c>
      <c r="H56" s="1616">
        <f t="shared" si="2"/>
        <v>0</v>
      </c>
      <c r="I56" s="1571"/>
      <c r="J56" s="1647" t="s">
        <v>1509</v>
      </c>
      <c r="K56" s="1693" t="s">
        <v>313</v>
      </c>
      <c r="L56" s="2064" t="s">
        <v>316</v>
      </c>
      <c r="M56" s="1636">
        <v>0.25</v>
      </c>
      <c r="N56" s="1636">
        <v>0.25</v>
      </c>
      <c r="O56" s="1639">
        <v>0.33333333333333331</v>
      </c>
      <c r="P56" s="1639">
        <v>0.33333333333333331</v>
      </c>
      <c r="Q56" s="1639">
        <v>0.33333333333333331</v>
      </c>
      <c r="R56" s="1639">
        <v>0.33333333333333331</v>
      </c>
      <c r="S56" s="1636">
        <v>1</v>
      </c>
      <c r="T56" s="1639">
        <v>0.33333333333333331</v>
      </c>
      <c r="U56" s="1636">
        <v>0.25</v>
      </c>
      <c r="V56" s="1623">
        <v>0.25</v>
      </c>
      <c r="W56" s="1625">
        <v>0.25</v>
      </c>
      <c r="X56" s="1623">
        <v>0.25</v>
      </c>
      <c r="Y56" s="1623">
        <v>0.33</v>
      </c>
      <c r="Z56" s="1632"/>
    </row>
    <row r="57" spans="1:26" hidden="1">
      <c r="B57" s="1597" t="str">
        <f t="shared" si="8"/>
        <v>4.2.4</v>
      </c>
      <c r="C57" s="1650" t="str">
        <f t="shared" si="9"/>
        <v>給気計画</v>
      </c>
      <c r="D57" s="1615">
        <f t="shared" si="11"/>
        <v>2.0624999999999998E-2</v>
      </c>
      <c r="E57" s="1615">
        <f t="shared" si="11"/>
        <v>0</v>
      </c>
      <c r="F57" s="1559"/>
      <c r="G57" s="1616">
        <f t="shared" si="3"/>
        <v>0.27499999999999997</v>
      </c>
      <c r="H57" s="1616">
        <f t="shared" si="2"/>
        <v>0</v>
      </c>
      <c r="I57" s="1571"/>
      <c r="J57" s="1647" t="s">
        <v>1510</v>
      </c>
      <c r="K57" s="1693" t="s">
        <v>313</v>
      </c>
      <c r="L57" s="2064" t="s">
        <v>1511</v>
      </c>
      <c r="M57" s="2074">
        <v>0.25</v>
      </c>
      <c r="N57" s="2074">
        <v>0.25</v>
      </c>
      <c r="O57" s="2078">
        <v>0.33333333333333331</v>
      </c>
      <c r="P57" s="2078">
        <v>0.33333333333333331</v>
      </c>
      <c r="Q57" s="2078">
        <v>0.33333333333333331</v>
      </c>
      <c r="R57" s="2078">
        <v>0.33333333333333331</v>
      </c>
      <c r="S57" s="2074"/>
      <c r="T57" s="2078">
        <v>0.33333333333333331</v>
      </c>
      <c r="U57" s="2074">
        <v>0.25</v>
      </c>
      <c r="V57" s="1623">
        <v>0.25</v>
      </c>
      <c r="W57" s="1625">
        <v>0.25</v>
      </c>
      <c r="X57" s="1623">
        <v>0.25</v>
      </c>
      <c r="Y57" s="1623">
        <v>0.33</v>
      </c>
      <c r="Z57" s="1632"/>
    </row>
    <row r="58" spans="1:26">
      <c r="B58" s="1597">
        <f t="shared" si="8"/>
        <v>4.3</v>
      </c>
      <c r="C58" s="1630" t="str">
        <f t="shared" si="9"/>
        <v>運用管理</v>
      </c>
      <c r="D58" s="1615"/>
      <c r="E58" s="1615"/>
      <c r="F58" s="1559"/>
      <c r="G58" s="1616">
        <f t="shared" si="3"/>
        <v>0.19999999999999998</v>
      </c>
      <c r="H58" s="1616">
        <f t="shared" si="2"/>
        <v>0</v>
      </c>
      <c r="I58" s="1571"/>
      <c r="J58" s="1647">
        <v>4.3</v>
      </c>
      <c r="K58" s="1693" t="s">
        <v>308</v>
      </c>
      <c r="L58" s="1737" t="s">
        <v>701</v>
      </c>
      <c r="M58" s="1636">
        <v>0.2</v>
      </c>
      <c r="N58" s="1636">
        <v>0.2</v>
      </c>
      <c r="O58" s="1636">
        <v>0.2</v>
      </c>
      <c r="P58" s="1636">
        <v>0.2</v>
      </c>
      <c r="Q58" s="1636">
        <v>0.2</v>
      </c>
      <c r="R58" s="1636">
        <v>0.2</v>
      </c>
      <c r="S58" s="1636"/>
      <c r="T58" s="1637">
        <v>0.2</v>
      </c>
      <c r="U58" s="1636">
        <v>0.2</v>
      </c>
      <c r="V58" s="1623">
        <v>0.2</v>
      </c>
      <c r="W58" s="1625"/>
      <c r="X58" s="1623"/>
      <c r="Y58" s="1623"/>
      <c r="Z58" s="1620"/>
    </row>
    <row r="59" spans="1:26">
      <c r="B59" s="1597" t="str">
        <f t="shared" si="8"/>
        <v>4.3.1</v>
      </c>
      <c r="C59" s="1614" t="str">
        <f t="shared" si="9"/>
        <v>CO2の監視</v>
      </c>
      <c r="D59" s="1615">
        <f>G$47*G$58*G59</f>
        <v>2.4999999999999998E-2</v>
      </c>
      <c r="E59" s="1615">
        <f>H$47*H$58*H59</f>
        <v>0</v>
      </c>
      <c r="F59" s="1559"/>
      <c r="G59" s="1616">
        <f t="shared" si="3"/>
        <v>0.5</v>
      </c>
      <c r="H59" s="1616">
        <f t="shared" si="2"/>
        <v>0</v>
      </c>
      <c r="I59" s="1571"/>
      <c r="J59" s="1647" t="s">
        <v>1512</v>
      </c>
      <c r="K59" s="1693" t="s">
        <v>317</v>
      </c>
      <c r="L59" s="2064" t="s">
        <v>1513</v>
      </c>
      <c r="M59" s="1636">
        <v>0.5</v>
      </c>
      <c r="N59" s="1636">
        <v>0.5</v>
      </c>
      <c r="O59" s="1636">
        <v>0.5</v>
      </c>
      <c r="P59" s="1636">
        <v>0.5</v>
      </c>
      <c r="Q59" s="1636"/>
      <c r="R59" s="1636"/>
      <c r="S59" s="1636"/>
      <c r="T59" s="1637">
        <v>0.5</v>
      </c>
      <c r="U59" s="1636">
        <v>0.5</v>
      </c>
      <c r="V59" s="1623">
        <v>0.5</v>
      </c>
      <c r="W59" s="1625"/>
      <c r="X59" s="1623"/>
      <c r="Y59" s="1623"/>
      <c r="Z59" s="1632"/>
    </row>
    <row r="60" spans="1:26">
      <c r="B60" s="1597" t="str">
        <f t="shared" si="8"/>
        <v>4.3.2</v>
      </c>
      <c r="C60" s="1614" t="str">
        <f t="shared" si="9"/>
        <v>喫煙の制御</v>
      </c>
      <c r="D60" s="1615">
        <f>G$47*G$58*G60</f>
        <v>2.4999999999999998E-2</v>
      </c>
      <c r="E60" s="1615">
        <f>H$47*H$58*H60</f>
        <v>0</v>
      </c>
      <c r="F60" s="1559"/>
      <c r="G60" s="1616">
        <f t="shared" si="3"/>
        <v>0.5</v>
      </c>
      <c r="H60" s="1616">
        <f t="shared" si="2"/>
        <v>0</v>
      </c>
      <c r="I60" s="1571"/>
      <c r="J60" s="1647" t="s">
        <v>1514</v>
      </c>
      <c r="K60" s="1693" t="s">
        <v>317</v>
      </c>
      <c r="L60" s="2064" t="s">
        <v>1515</v>
      </c>
      <c r="M60" s="1636">
        <v>0.5</v>
      </c>
      <c r="N60" s="1636">
        <v>0.5</v>
      </c>
      <c r="O60" s="1636">
        <v>0.5</v>
      </c>
      <c r="P60" s="1636">
        <v>0.5</v>
      </c>
      <c r="Q60" s="1636">
        <v>1</v>
      </c>
      <c r="R60" s="1636">
        <v>1</v>
      </c>
      <c r="S60" s="1636"/>
      <c r="T60" s="1637">
        <v>0.5</v>
      </c>
      <c r="U60" s="1636">
        <v>0.5</v>
      </c>
      <c r="V60" s="1623">
        <v>0.5</v>
      </c>
      <c r="W60" s="1625"/>
      <c r="X60" s="1623"/>
      <c r="Y60" s="1623"/>
      <c r="Z60" s="1632"/>
    </row>
    <row r="61" spans="1:26" s="1605" customFormat="1">
      <c r="A61"/>
      <c r="B61" s="1597" t="str">
        <f t="shared" si="8"/>
        <v>Q2</v>
      </c>
      <c r="C61" s="1597" t="str">
        <f t="shared" si="9"/>
        <v>サービス性能</v>
      </c>
      <c r="D61" s="1599">
        <f>G61</f>
        <v>0.3</v>
      </c>
      <c r="E61" s="1599">
        <f>H61</f>
        <v>0</v>
      </c>
      <c r="F61" s="1559"/>
      <c r="G61" s="1600">
        <f t="shared" si="3"/>
        <v>0.3</v>
      </c>
      <c r="H61" s="1600">
        <f t="shared" si="2"/>
        <v>0</v>
      </c>
      <c r="I61" s="1640"/>
      <c r="J61" s="1597" t="s">
        <v>1516</v>
      </c>
      <c r="K61" s="2059" t="s">
        <v>276</v>
      </c>
      <c r="L61" s="2058" t="s">
        <v>1517</v>
      </c>
      <c r="M61" s="1603">
        <v>0.3</v>
      </c>
      <c r="N61" s="1603">
        <v>0.3</v>
      </c>
      <c r="O61" s="1603">
        <v>0.3</v>
      </c>
      <c r="P61" s="1603">
        <v>0.3</v>
      </c>
      <c r="Q61" s="1603">
        <v>0.3</v>
      </c>
      <c r="R61" s="1603">
        <v>0.3</v>
      </c>
      <c r="S61" s="1603">
        <v>0.3</v>
      </c>
      <c r="T61" s="1603">
        <v>0.3</v>
      </c>
      <c r="U61" s="1603">
        <v>0.3</v>
      </c>
      <c r="V61" s="2060">
        <v>0.3</v>
      </c>
      <c r="W61" s="2061">
        <v>0</v>
      </c>
      <c r="X61" s="2060">
        <v>0</v>
      </c>
      <c r="Y61" s="2060">
        <v>0</v>
      </c>
      <c r="Z61" s="1604"/>
    </row>
    <row r="62" spans="1:26" s="1605" customFormat="1">
      <c r="A62"/>
      <c r="B62" s="1597">
        <f t="shared" si="8"/>
        <v>1</v>
      </c>
      <c r="C62" s="1641" t="str">
        <f t="shared" si="9"/>
        <v>機能性</v>
      </c>
      <c r="D62" s="1608">
        <f>SUM(D63:D74)</f>
        <v>0.39999999999999991</v>
      </c>
      <c r="E62" s="1608">
        <f>SUM(E63:E70)</f>
        <v>0</v>
      </c>
      <c r="F62" s="1559"/>
      <c r="G62" s="1609">
        <f t="shared" si="3"/>
        <v>0.39999999999999997</v>
      </c>
      <c r="H62" s="1609">
        <f t="shared" si="2"/>
        <v>0</v>
      </c>
      <c r="I62" s="1642"/>
      <c r="J62" s="1641">
        <v>1</v>
      </c>
      <c r="K62" s="1744" t="s">
        <v>318</v>
      </c>
      <c r="L62" s="1780" t="s">
        <v>319</v>
      </c>
      <c r="M62" s="1643">
        <v>0.4</v>
      </c>
      <c r="N62" s="1643">
        <v>0.4</v>
      </c>
      <c r="O62" s="1643">
        <v>0.4</v>
      </c>
      <c r="P62" s="1643">
        <v>0.4</v>
      </c>
      <c r="Q62" s="1643">
        <v>0.4</v>
      </c>
      <c r="R62" s="1643">
        <v>0.4</v>
      </c>
      <c r="S62" s="1643">
        <v>0.4</v>
      </c>
      <c r="T62" s="1629">
        <v>0.4</v>
      </c>
      <c r="U62" s="1643">
        <v>0.4</v>
      </c>
      <c r="V62" s="2079">
        <v>0.4</v>
      </c>
      <c r="W62" s="2080"/>
      <c r="X62" s="2079"/>
      <c r="Y62" s="2079"/>
      <c r="Z62" s="1612"/>
    </row>
    <row r="63" spans="1:26">
      <c r="B63" s="1597">
        <f t="shared" si="8"/>
        <v>1.1000000000000001</v>
      </c>
      <c r="C63" s="1614" t="str">
        <f t="shared" si="9"/>
        <v>機能性・使いやすさ</v>
      </c>
      <c r="D63" s="1615"/>
      <c r="E63" s="1615"/>
      <c r="F63" s="1559"/>
      <c r="G63" s="1616">
        <f t="shared" si="3"/>
        <v>0.39999999999999997</v>
      </c>
      <c r="H63" s="1616">
        <f t="shared" si="2"/>
        <v>0</v>
      </c>
      <c r="I63" s="1644"/>
      <c r="J63" s="1647">
        <v>1.1000000000000001</v>
      </c>
      <c r="K63" s="1693" t="s">
        <v>320</v>
      </c>
      <c r="L63" s="2064" t="s">
        <v>417</v>
      </c>
      <c r="M63" s="1618">
        <v>0.4</v>
      </c>
      <c r="N63" s="1618">
        <v>0.4</v>
      </c>
      <c r="O63" s="1618">
        <v>0.4</v>
      </c>
      <c r="P63" s="2497">
        <v>0.4</v>
      </c>
      <c r="Q63" s="2497">
        <v>0.4</v>
      </c>
      <c r="R63" s="2497">
        <v>0.4</v>
      </c>
      <c r="S63" s="2497">
        <v>0.4</v>
      </c>
      <c r="T63" s="2497">
        <v>0.4</v>
      </c>
      <c r="U63" s="2497">
        <v>0.4</v>
      </c>
      <c r="V63" s="2496">
        <v>0.4</v>
      </c>
      <c r="W63" s="1623">
        <v>0.6</v>
      </c>
      <c r="X63" s="1623">
        <v>0.6</v>
      </c>
      <c r="Y63" s="1623">
        <v>0.6</v>
      </c>
      <c r="Z63" s="1620"/>
    </row>
    <row r="64" spans="1:26" ht="14.25" customHeight="1">
      <c r="B64" s="1597" t="str">
        <f t="shared" si="8"/>
        <v>1.1.1</v>
      </c>
      <c r="C64" s="1614" t="str">
        <f t="shared" si="9"/>
        <v>広さ・収納性</v>
      </c>
      <c r="D64" s="1615">
        <f t="shared" ref="D64:E66" si="12">G$62*G$63*G64</f>
        <v>3.7333333333333323E-2</v>
      </c>
      <c r="E64" s="1615">
        <f t="shared" si="12"/>
        <v>0</v>
      </c>
      <c r="F64" s="1559"/>
      <c r="G64" s="1616">
        <f t="shared" si="3"/>
        <v>0.23333333333333331</v>
      </c>
      <c r="H64" s="1616">
        <f t="shared" si="2"/>
        <v>0</v>
      </c>
      <c r="I64" s="1645"/>
      <c r="J64" s="1647" t="s">
        <v>1518</v>
      </c>
      <c r="K64" s="1693" t="s">
        <v>321</v>
      </c>
      <c r="L64" s="2064" t="s">
        <v>322</v>
      </c>
      <c r="M64" s="1639">
        <v>0.33333333333333331</v>
      </c>
      <c r="N64" s="1618"/>
      <c r="O64" s="1618"/>
      <c r="P64" s="2497"/>
      <c r="Q64" s="2497"/>
      <c r="R64" s="2497"/>
      <c r="S64" s="2497"/>
      <c r="T64" s="2502"/>
      <c r="U64" s="2505">
        <v>0.33333333333333331</v>
      </c>
      <c r="V64" s="2496">
        <v>0.5</v>
      </c>
      <c r="W64" s="1625">
        <v>1</v>
      </c>
      <c r="X64" s="1623">
        <v>0.5</v>
      </c>
      <c r="Y64" s="1623"/>
      <c r="Z64" s="1632"/>
    </row>
    <row r="65" spans="1:26">
      <c r="B65" s="1597" t="str">
        <f t="shared" si="8"/>
        <v>1.1.2</v>
      </c>
      <c r="C65" s="1614" t="str">
        <f t="shared" si="9"/>
        <v>高度情報通信設備対応</v>
      </c>
      <c r="D65" s="1615">
        <f t="shared" si="12"/>
        <v>3.7333333333333323E-2</v>
      </c>
      <c r="E65" s="1615">
        <f t="shared" si="12"/>
        <v>0</v>
      </c>
      <c r="F65" s="1559"/>
      <c r="G65" s="1616">
        <f t="shared" si="3"/>
        <v>0.23333333333333331</v>
      </c>
      <c r="H65" s="1616">
        <f t="shared" si="2"/>
        <v>0</v>
      </c>
      <c r="I65" s="1645"/>
      <c r="J65" s="1647" t="s">
        <v>1519</v>
      </c>
      <c r="K65" s="1693" t="s">
        <v>321</v>
      </c>
      <c r="L65" s="2064" t="s">
        <v>1520</v>
      </c>
      <c r="M65" s="1639">
        <v>0.33333333333333331</v>
      </c>
      <c r="N65" s="1618"/>
      <c r="O65" s="1618"/>
      <c r="P65" s="2497"/>
      <c r="Q65" s="2497"/>
      <c r="R65" s="2497"/>
      <c r="S65" s="2497"/>
      <c r="T65" s="2502"/>
      <c r="U65" s="2505">
        <v>0.33333333333333331</v>
      </c>
      <c r="V65" s="2496"/>
      <c r="W65" s="1625"/>
      <c r="X65" s="1623">
        <v>0.5</v>
      </c>
      <c r="Y65" s="1623">
        <v>1</v>
      </c>
      <c r="Z65" s="1632"/>
    </row>
    <row r="66" spans="1:26">
      <c r="B66" s="1597" t="str">
        <f t="shared" si="8"/>
        <v>1.1.3</v>
      </c>
      <c r="C66" s="1614" t="str">
        <f t="shared" si="9"/>
        <v>バリアフリー計画</v>
      </c>
      <c r="D66" s="1615">
        <f t="shared" si="12"/>
        <v>8.5333333333333317E-2</v>
      </c>
      <c r="E66" s="1615">
        <f t="shared" si="12"/>
        <v>0</v>
      </c>
      <c r="F66" s="1559"/>
      <c r="G66" s="1616">
        <f t="shared" si="3"/>
        <v>0.53333333333333333</v>
      </c>
      <c r="H66" s="1616">
        <f t="shared" si="2"/>
        <v>0</v>
      </c>
      <c r="I66" s="1645"/>
      <c r="J66" s="1647" t="s">
        <v>1521</v>
      </c>
      <c r="K66" s="1693" t="s">
        <v>321</v>
      </c>
      <c r="L66" s="2064" t="s">
        <v>323</v>
      </c>
      <c r="M66" s="1639">
        <v>0.33333333333333331</v>
      </c>
      <c r="N66" s="1618">
        <v>1</v>
      </c>
      <c r="O66" s="1618">
        <v>1</v>
      </c>
      <c r="P66" s="2497">
        <v>1</v>
      </c>
      <c r="Q66" s="2497">
        <v>1</v>
      </c>
      <c r="R66" s="2497">
        <v>1</v>
      </c>
      <c r="S66" s="2497">
        <v>1</v>
      </c>
      <c r="T66" s="2502">
        <v>1</v>
      </c>
      <c r="U66" s="2505">
        <v>0.33333333333333331</v>
      </c>
      <c r="V66" s="2496">
        <v>0.5</v>
      </c>
      <c r="W66" s="1625"/>
      <c r="X66" s="1623"/>
      <c r="Y66" s="1623"/>
      <c r="Z66" s="1632"/>
    </row>
    <row r="67" spans="1:26">
      <c r="B67" s="1597">
        <f t="shared" si="8"/>
        <v>1.2</v>
      </c>
      <c r="C67" s="1614" t="str">
        <f t="shared" si="9"/>
        <v>心理性・快適性</v>
      </c>
      <c r="D67" s="1615"/>
      <c r="E67" s="1615"/>
      <c r="F67" s="1559"/>
      <c r="G67" s="1616">
        <f t="shared" si="3"/>
        <v>0.3</v>
      </c>
      <c r="H67" s="1616">
        <f t="shared" si="2"/>
        <v>0</v>
      </c>
      <c r="I67" s="1644"/>
      <c r="J67" s="1647">
        <v>1.2</v>
      </c>
      <c r="K67" s="1693" t="s">
        <v>320</v>
      </c>
      <c r="L67" s="2064" t="s">
        <v>715</v>
      </c>
      <c r="M67" s="1618">
        <v>0.3</v>
      </c>
      <c r="N67" s="1618">
        <v>0.3</v>
      </c>
      <c r="O67" s="1618">
        <v>0.3</v>
      </c>
      <c r="P67" s="2497">
        <v>0.3</v>
      </c>
      <c r="Q67" s="2497">
        <v>0.3</v>
      </c>
      <c r="R67" s="2497">
        <v>0.3</v>
      </c>
      <c r="S67" s="2497">
        <v>0.3</v>
      </c>
      <c r="T67" s="2497">
        <v>0.3</v>
      </c>
      <c r="U67" s="2497">
        <v>0.3</v>
      </c>
      <c r="V67" s="2496">
        <v>0.3</v>
      </c>
      <c r="W67" s="1623">
        <v>0.4</v>
      </c>
      <c r="X67" s="1623">
        <v>0.4</v>
      </c>
      <c r="Y67" s="1623">
        <v>0.4</v>
      </c>
      <c r="Z67" s="1620"/>
    </row>
    <row r="68" spans="1:26">
      <c r="B68" s="1597" t="str">
        <f t="shared" si="8"/>
        <v>1.2.1</v>
      </c>
      <c r="C68" s="1614" t="str">
        <f t="shared" si="9"/>
        <v>広さ感・景観</v>
      </c>
      <c r="D68" s="1615">
        <f t="shared" ref="D68:E70" si="13">G$62*G$67*G68</f>
        <v>2.7999999999999994E-2</v>
      </c>
      <c r="E68" s="1615">
        <f t="shared" si="13"/>
        <v>0</v>
      </c>
      <c r="F68" s="1559"/>
      <c r="G68" s="1616">
        <f t="shared" si="3"/>
        <v>0.23333333333333331</v>
      </c>
      <c r="H68" s="1616">
        <f t="shared" si="2"/>
        <v>0</v>
      </c>
      <c r="I68" s="1645"/>
      <c r="J68" s="1647" t="s">
        <v>1522</v>
      </c>
      <c r="K68" s="1693" t="s">
        <v>324</v>
      </c>
      <c r="L68" s="2064" t="s">
        <v>325</v>
      </c>
      <c r="M68" s="1639">
        <v>0.33333333333333331</v>
      </c>
      <c r="N68" s="1618"/>
      <c r="O68" s="1618"/>
      <c r="P68" s="2497"/>
      <c r="Q68" s="2497"/>
      <c r="R68" s="2497"/>
      <c r="S68" s="2497"/>
      <c r="T68" s="2502"/>
      <c r="U68" s="2497"/>
      <c r="V68" s="2496"/>
      <c r="W68" s="1625"/>
      <c r="X68" s="1625"/>
      <c r="Y68" s="1625"/>
      <c r="Z68" s="1632"/>
    </row>
    <row r="69" spans="1:26">
      <c r="B69" s="1597" t="str">
        <f t="shared" si="8"/>
        <v>1.2.2</v>
      </c>
      <c r="C69" s="1614" t="str">
        <f t="shared" si="9"/>
        <v>リフレッシュスペース</v>
      </c>
      <c r="D69" s="1615">
        <f t="shared" si="13"/>
        <v>4.5999999999999992E-2</v>
      </c>
      <c r="E69" s="1615">
        <f t="shared" si="13"/>
        <v>0</v>
      </c>
      <c r="F69" s="1559"/>
      <c r="G69" s="1616">
        <f t="shared" si="3"/>
        <v>0.3833333333333333</v>
      </c>
      <c r="H69" s="1616">
        <f t="shared" si="2"/>
        <v>0</v>
      </c>
      <c r="I69" s="1645"/>
      <c r="J69" s="1647" t="s">
        <v>1523</v>
      </c>
      <c r="K69" s="1693" t="s">
        <v>324</v>
      </c>
      <c r="L69" s="2064" t="s">
        <v>326</v>
      </c>
      <c r="M69" s="1639">
        <v>0.33333333333333331</v>
      </c>
      <c r="N69" s="1618"/>
      <c r="O69" s="1618">
        <v>0.5</v>
      </c>
      <c r="P69" s="2497"/>
      <c r="Q69" s="2497"/>
      <c r="R69" s="2497"/>
      <c r="S69" s="2497"/>
      <c r="T69" s="2502"/>
      <c r="U69" s="2497"/>
      <c r="V69" s="2496"/>
      <c r="W69" s="1625"/>
      <c r="X69" s="1625"/>
      <c r="Y69" s="1625"/>
      <c r="Z69" s="1632"/>
    </row>
    <row r="70" spans="1:26">
      <c r="B70" s="1597" t="str">
        <f t="shared" si="8"/>
        <v>1.2.3</v>
      </c>
      <c r="C70" s="1614" t="str">
        <f t="shared" si="9"/>
        <v>内装計画</v>
      </c>
      <c r="D70" s="1615">
        <f t="shared" si="13"/>
        <v>4.5999999999999992E-2</v>
      </c>
      <c r="E70" s="1615">
        <f t="shared" si="13"/>
        <v>0</v>
      </c>
      <c r="F70" s="1559"/>
      <c r="G70" s="1616">
        <f t="shared" si="3"/>
        <v>0.3833333333333333</v>
      </c>
      <c r="H70" s="1616">
        <f t="shared" si="2"/>
        <v>0</v>
      </c>
      <c r="I70" s="1645"/>
      <c r="J70" s="1647" t="s">
        <v>1524</v>
      </c>
      <c r="K70" s="1693" t="s">
        <v>324</v>
      </c>
      <c r="L70" s="2064" t="s">
        <v>327</v>
      </c>
      <c r="M70" s="1639">
        <v>0.33333333333333331</v>
      </c>
      <c r="N70" s="1618">
        <v>1</v>
      </c>
      <c r="O70" s="1618">
        <v>0.5</v>
      </c>
      <c r="P70" s="2497">
        <v>1</v>
      </c>
      <c r="Q70" s="2497">
        <v>1</v>
      </c>
      <c r="R70" s="2497">
        <v>1</v>
      </c>
      <c r="S70" s="2497">
        <v>1</v>
      </c>
      <c r="T70" s="2502">
        <v>1</v>
      </c>
      <c r="U70" s="2497">
        <v>1</v>
      </c>
      <c r="V70" s="2496">
        <v>1</v>
      </c>
      <c r="W70" s="1625">
        <v>1</v>
      </c>
      <c r="X70" s="1625">
        <v>1</v>
      </c>
      <c r="Y70" s="1625">
        <v>1</v>
      </c>
      <c r="Z70" s="1632"/>
    </row>
    <row r="71" spans="1:26">
      <c r="B71" s="1597">
        <f t="shared" si="8"/>
        <v>1.3</v>
      </c>
      <c r="C71" s="1614" t="str">
        <f t="shared" si="9"/>
        <v>維持管理</v>
      </c>
      <c r="D71" s="1615"/>
      <c r="E71" s="1615"/>
      <c r="F71" s="1559"/>
      <c r="G71" s="1616">
        <f t="shared" si="3"/>
        <v>0.3</v>
      </c>
      <c r="H71" s="1616">
        <f t="shared" si="2"/>
        <v>0</v>
      </c>
      <c r="I71" s="1645"/>
      <c r="J71" s="1647">
        <v>1.3</v>
      </c>
      <c r="K71" s="1693" t="s">
        <v>320</v>
      </c>
      <c r="L71" s="2064" t="s">
        <v>328</v>
      </c>
      <c r="M71" s="1639">
        <v>0.3</v>
      </c>
      <c r="N71" s="1639">
        <v>0.3</v>
      </c>
      <c r="O71" s="1639">
        <v>0.3</v>
      </c>
      <c r="P71" s="2497">
        <v>0.3</v>
      </c>
      <c r="Q71" s="2497">
        <v>0.3</v>
      </c>
      <c r="R71" s="2505">
        <v>0.3</v>
      </c>
      <c r="S71" s="2497">
        <v>0.3</v>
      </c>
      <c r="T71" s="2505">
        <v>0.3</v>
      </c>
      <c r="U71" s="2497">
        <v>0.3</v>
      </c>
      <c r="V71" s="2496">
        <v>0.3</v>
      </c>
      <c r="W71" s="1625">
        <v>0</v>
      </c>
      <c r="X71" s="1625">
        <v>0</v>
      </c>
      <c r="Y71" s="1625">
        <v>0</v>
      </c>
      <c r="Z71" s="1632"/>
    </row>
    <row r="72" spans="1:26">
      <c r="B72" s="1597" t="str">
        <f t="shared" si="8"/>
        <v>1.3.1</v>
      </c>
      <c r="C72" s="1614" t="str">
        <f t="shared" si="9"/>
        <v>総合的な取組み</v>
      </c>
      <c r="D72" s="1615">
        <f t="shared" ref="D72:E74" si="14">G$62*G$71*G72</f>
        <v>5.9999999999999991E-2</v>
      </c>
      <c r="E72" s="1615">
        <f t="shared" si="14"/>
        <v>0</v>
      </c>
      <c r="F72" s="1559"/>
      <c r="G72" s="1616">
        <f t="shared" si="3"/>
        <v>0.5</v>
      </c>
      <c r="H72" s="1616">
        <f t="shared" si="2"/>
        <v>0</v>
      </c>
      <c r="I72" s="1645"/>
      <c r="J72" s="1647" t="s">
        <v>329</v>
      </c>
      <c r="K72" s="1693" t="s">
        <v>330</v>
      </c>
      <c r="L72" s="334" t="s">
        <v>950</v>
      </c>
      <c r="M72" s="1639">
        <v>0.5</v>
      </c>
      <c r="N72" s="1639">
        <v>0.5</v>
      </c>
      <c r="O72" s="1639">
        <v>0.5</v>
      </c>
      <c r="P72" s="2496">
        <v>0.5</v>
      </c>
      <c r="Q72" s="2496">
        <v>0.5</v>
      </c>
      <c r="R72" s="2505">
        <v>0.5</v>
      </c>
      <c r="S72" s="2496">
        <v>0.5</v>
      </c>
      <c r="T72" s="2505">
        <v>0.5</v>
      </c>
      <c r="U72" s="2496">
        <v>0.5</v>
      </c>
      <c r="V72" s="2496">
        <v>0.5</v>
      </c>
      <c r="W72" s="1625">
        <v>0</v>
      </c>
      <c r="X72" s="1625">
        <v>0</v>
      </c>
      <c r="Y72" s="1625">
        <v>0</v>
      </c>
      <c r="Z72" s="1632"/>
    </row>
    <row r="73" spans="1:26">
      <c r="B73" s="1597" t="str">
        <f t="shared" si="8"/>
        <v>1.3.2</v>
      </c>
      <c r="C73" s="1614" t="str">
        <f t="shared" si="9"/>
        <v>清掃管理業務</v>
      </c>
      <c r="D73" s="1615">
        <f t="shared" si="14"/>
        <v>3.599999999999999E-2</v>
      </c>
      <c r="E73" s="1615">
        <f t="shared" si="14"/>
        <v>0</v>
      </c>
      <c r="F73" s="1559"/>
      <c r="G73" s="1616">
        <f t="shared" si="3"/>
        <v>0.3</v>
      </c>
      <c r="H73" s="1616">
        <f t="shared" si="2"/>
        <v>0</v>
      </c>
      <c r="I73" s="1645"/>
      <c r="J73" s="1647" t="s">
        <v>331</v>
      </c>
      <c r="K73" s="1693" t="s">
        <v>330</v>
      </c>
      <c r="L73" s="334" t="s">
        <v>951</v>
      </c>
      <c r="M73" s="1639">
        <v>0.3</v>
      </c>
      <c r="N73" s="1639">
        <v>0.3</v>
      </c>
      <c r="O73" s="1639">
        <v>0.3</v>
      </c>
      <c r="P73" s="2496">
        <v>0.3</v>
      </c>
      <c r="Q73" s="2496">
        <v>0.3</v>
      </c>
      <c r="R73" s="2505">
        <v>0.3</v>
      </c>
      <c r="S73" s="2496">
        <v>0.3</v>
      </c>
      <c r="T73" s="2505">
        <v>0.3</v>
      </c>
      <c r="U73" s="2496">
        <v>0.3</v>
      </c>
      <c r="V73" s="2496">
        <v>0.3</v>
      </c>
      <c r="W73" s="1625">
        <v>0</v>
      </c>
      <c r="X73" s="1625">
        <v>0</v>
      </c>
      <c r="Y73" s="1625">
        <v>0</v>
      </c>
      <c r="Z73" s="1632"/>
    </row>
    <row r="74" spans="1:26">
      <c r="B74" s="1597" t="str">
        <f t="shared" ref="B74:B105" si="15">J74</f>
        <v>1.3.3</v>
      </c>
      <c r="C74" s="1614" t="str">
        <f t="shared" ref="C74:C105" si="16">L74</f>
        <v>衛生管理業務</v>
      </c>
      <c r="D74" s="1615">
        <f t="shared" si="14"/>
        <v>2.3999999999999994E-2</v>
      </c>
      <c r="E74" s="1615">
        <f t="shared" si="14"/>
        <v>0</v>
      </c>
      <c r="F74" s="1559"/>
      <c r="G74" s="1616">
        <f t="shared" ref="G74:G141" si="17">SUMPRODUCT($M$7:$Y$7,M74:Y74)</f>
        <v>0.19999999999999998</v>
      </c>
      <c r="H74" s="1616">
        <f t="shared" ref="H74:H141" si="18">(W$7*W74)+(X$7*X74)+(Y$7*Y74)</f>
        <v>0</v>
      </c>
      <c r="I74" s="1645"/>
      <c r="J74" s="1647" t="s">
        <v>332</v>
      </c>
      <c r="K74" s="1693" t="s">
        <v>1708</v>
      </c>
      <c r="L74" s="334" t="s">
        <v>724</v>
      </c>
      <c r="M74" s="1639">
        <v>0.2</v>
      </c>
      <c r="N74" s="1639">
        <v>0.2</v>
      </c>
      <c r="O74" s="1639">
        <v>0.2</v>
      </c>
      <c r="P74" s="2496">
        <v>0.2</v>
      </c>
      <c r="Q74" s="2496">
        <v>0.2</v>
      </c>
      <c r="R74" s="2505">
        <v>0.2</v>
      </c>
      <c r="S74" s="2496">
        <v>0.2</v>
      </c>
      <c r="T74" s="2505">
        <v>0.2</v>
      </c>
      <c r="U74" s="2496">
        <v>0.2</v>
      </c>
      <c r="V74" s="2496">
        <v>0.2</v>
      </c>
      <c r="W74" s="1625">
        <v>0</v>
      </c>
      <c r="X74" s="1625">
        <v>0</v>
      </c>
      <c r="Y74" s="1625">
        <v>0</v>
      </c>
      <c r="Z74" s="1632"/>
    </row>
    <row r="75" spans="1:26" s="1605" customFormat="1">
      <c r="A75"/>
      <c r="B75" s="1597">
        <f t="shared" si="15"/>
        <v>2</v>
      </c>
      <c r="C75" s="1628" t="str">
        <f t="shared" si="16"/>
        <v>耐用性・信頼性</v>
      </c>
      <c r="D75" s="1608">
        <f>SUM(D76:D95)</f>
        <v>0.28499999999999992</v>
      </c>
      <c r="E75" s="1608">
        <f>SUM(E76:E95)</f>
        <v>0</v>
      </c>
      <c r="F75" s="1559"/>
      <c r="G75" s="1609">
        <f t="shared" si="17"/>
        <v>0.3</v>
      </c>
      <c r="H75" s="1609">
        <f t="shared" si="18"/>
        <v>0</v>
      </c>
      <c r="I75" s="1642"/>
      <c r="J75" s="1641">
        <v>2</v>
      </c>
      <c r="K75" s="1744" t="s">
        <v>318</v>
      </c>
      <c r="L75" s="1787" t="s">
        <v>419</v>
      </c>
      <c r="M75" s="1610">
        <v>0.3</v>
      </c>
      <c r="N75" s="1610">
        <v>0.3</v>
      </c>
      <c r="O75" s="1610">
        <v>0.3</v>
      </c>
      <c r="P75" s="1610">
        <v>0.3</v>
      </c>
      <c r="Q75" s="1610">
        <v>0.3</v>
      </c>
      <c r="R75" s="1610">
        <v>0.3</v>
      </c>
      <c r="S75" s="1610">
        <v>0.3</v>
      </c>
      <c r="T75" s="1646">
        <v>0.3</v>
      </c>
      <c r="U75" s="1610">
        <v>0.3</v>
      </c>
      <c r="V75" s="1711">
        <v>0.3</v>
      </c>
      <c r="W75" s="2063">
        <v>0</v>
      </c>
      <c r="X75" s="1711">
        <v>0</v>
      </c>
      <c r="Y75" s="1711">
        <v>0</v>
      </c>
      <c r="Z75" s="1612"/>
    </row>
    <row r="76" spans="1:26">
      <c r="B76" s="1597">
        <f t="shared" si="15"/>
        <v>2.1</v>
      </c>
      <c r="C76" s="1647" t="str">
        <f t="shared" si="16"/>
        <v>耐震･免震</v>
      </c>
      <c r="D76" s="1648"/>
      <c r="E76" s="1648"/>
      <c r="F76" s="1559"/>
      <c r="G76" s="1616">
        <f t="shared" si="17"/>
        <v>0.25</v>
      </c>
      <c r="H76" s="1616">
        <f t="shared" si="18"/>
        <v>0</v>
      </c>
      <c r="I76" s="1644"/>
      <c r="J76" s="1647">
        <v>2.1</v>
      </c>
      <c r="K76" s="1693" t="s">
        <v>333</v>
      </c>
      <c r="L76" s="1737" t="s">
        <v>728</v>
      </c>
      <c r="M76" s="1618">
        <v>0.25</v>
      </c>
      <c r="N76" s="1618">
        <v>0.25</v>
      </c>
      <c r="O76" s="1618">
        <v>0.25</v>
      </c>
      <c r="P76" s="1618">
        <v>0.25</v>
      </c>
      <c r="Q76" s="1618">
        <v>0.25</v>
      </c>
      <c r="R76" s="1618">
        <v>0.25</v>
      </c>
      <c r="S76" s="1618">
        <v>0.25</v>
      </c>
      <c r="T76" s="1626">
        <v>0.25</v>
      </c>
      <c r="U76" s="1618">
        <v>0.25</v>
      </c>
      <c r="V76" s="1623">
        <v>0.25</v>
      </c>
      <c r="W76" s="1625">
        <v>0</v>
      </c>
      <c r="X76" s="1623">
        <v>0</v>
      </c>
      <c r="Y76" s="1623">
        <v>0</v>
      </c>
      <c r="Z76" s="1620"/>
    </row>
    <row r="77" spans="1:26">
      <c r="B77" s="1597" t="str">
        <f t="shared" si="15"/>
        <v>2.1.1</v>
      </c>
      <c r="C77" s="1614" t="str">
        <f t="shared" si="16"/>
        <v>耐震性</v>
      </c>
      <c r="D77" s="1615">
        <f>G$75*G$76*G77</f>
        <v>5.9999999999999991E-2</v>
      </c>
      <c r="E77" s="1615">
        <f>H$75*H$76*H77</f>
        <v>0</v>
      </c>
      <c r="F77" s="1559"/>
      <c r="G77" s="1616">
        <f t="shared" si="17"/>
        <v>0.79999999999999993</v>
      </c>
      <c r="H77" s="1616">
        <f t="shared" si="18"/>
        <v>0</v>
      </c>
      <c r="I77" s="1645"/>
      <c r="J77" s="1647" t="s">
        <v>1526</v>
      </c>
      <c r="K77" s="1693" t="s">
        <v>334</v>
      </c>
      <c r="L77" s="2064" t="s">
        <v>335</v>
      </c>
      <c r="M77" s="1618">
        <v>0.8</v>
      </c>
      <c r="N77" s="1618">
        <v>0.8</v>
      </c>
      <c r="O77" s="1618">
        <v>0.8</v>
      </c>
      <c r="P77" s="1618">
        <v>0.8</v>
      </c>
      <c r="Q77" s="1618">
        <v>0.8</v>
      </c>
      <c r="R77" s="1618">
        <v>0.8</v>
      </c>
      <c r="S77" s="1618">
        <v>0.8</v>
      </c>
      <c r="T77" s="1626">
        <v>0.8</v>
      </c>
      <c r="U77" s="1618">
        <v>0.8</v>
      </c>
      <c r="V77" s="1623">
        <v>0.8</v>
      </c>
      <c r="W77" s="1625">
        <v>0</v>
      </c>
      <c r="X77" s="1623">
        <v>0</v>
      </c>
      <c r="Y77" s="1623">
        <v>0</v>
      </c>
      <c r="Z77" s="1632"/>
    </row>
    <row r="78" spans="1:26">
      <c r="B78" s="1597" t="str">
        <f t="shared" si="15"/>
        <v>2.1.2</v>
      </c>
      <c r="C78" s="1614" t="str">
        <f t="shared" si="16"/>
        <v>免震・制振性能</v>
      </c>
      <c r="D78" s="1615">
        <f>G$75*G$76*G78</f>
        <v>1.4999999999999998E-2</v>
      </c>
      <c r="E78" s="1615">
        <f>H$75*H$76*H78</f>
        <v>0</v>
      </c>
      <c r="F78" s="1559"/>
      <c r="G78" s="1616">
        <f t="shared" si="17"/>
        <v>0.19999999999999998</v>
      </c>
      <c r="H78" s="1616">
        <f t="shared" si="18"/>
        <v>0</v>
      </c>
      <c r="I78" s="1645"/>
      <c r="J78" s="1647" t="s">
        <v>1527</v>
      </c>
      <c r="K78" s="1693" t="s">
        <v>334</v>
      </c>
      <c r="L78" s="2064" t="s">
        <v>420</v>
      </c>
      <c r="M78" s="1618">
        <v>0.2</v>
      </c>
      <c r="N78" s="1618">
        <v>0.2</v>
      </c>
      <c r="O78" s="1618">
        <v>0.2</v>
      </c>
      <c r="P78" s="1618">
        <v>0.2</v>
      </c>
      <c r="Q78" s="1618">
        <v>0.2</v>
      </c>
      <c r="R78" s="1618">
        <v>0.2</v>
      </c>
      <c r="S78" s="1618">
        <v>0.2</v>
      </c>
      <c r="T78" s="1626">
        <v>0.2</v>
      </c>
      <c r="U78" s="1618">
        <v>0.2</v>
      </c>
      <c r="V78" s="1623">
        <v>0.2</v>
      </c>
      <c r="W78" s="1625">
        <v>0</v>
      </c>
      <c r="X78" s="1623">
        <v>0</v>
      </c>
      <c r="Y78" s="1623">
        <v>0</v>
      </c>
      <c r="Z78" s="1632"/>
    </row>
    <row r="79" spans="1:26">
      <c r="B79" s="1597">
        <f t="shared" si="15"/>
        <v>2.2000000000000002</v>
      </c>
      <c r="C79" s="1647" t="str">
        <f t="shared" si="16"/>
        <v>部品・部材の耐用年数</v>
      </c>
      <c r="D79" s="1648"/>
      <c r="E79" s="1648"/>
      <c r="F79" s="1559"/>
      <c r="G79" s="1616">
        <f t="shared" si="17"/>
        <v>0.25</v>
      </c>
      <c r="H79" s="1616">
        <f t="shared" si="18"/>
        <v>0</v>
      </c>
      <c r="I79" s="1644"/>
      <c r="J79" s="1647">
        <v>2.2000000000000002</v>
      </c>
      <c r="K79" s="1693" t="s">
        <v>333</v>
      </c>
      <c r="L79" s="1737" t="s">
        <v>734</v>
      </c>
      <c r="M79" s="1618">
        <v>0.25</v>
      </c>
      <c r="N79" s="1618">
        <v>0.25</v>
      </c>
      <c r="O79" s="1618">
        <v>0.25</v>
      </c>
      <c r="P79" s="1618">
        <v>0.25</v>
      </c>
      <c r="Q79" s="1618">
        <v>0.25</v>
      </c>
      <c r="R79" s="1618">
        <v>0.25</v>
      </c>
      <c r="S79" s="1618">
        <v>0.25</v>
      </c>
      <c r="T79" s="1626">
        <v>0.25</v>
      </c>
      <c r="U79" s="1618">
        <v>0.25</v>
      </c>
      <c r="V79" s="1623">
        <v>0.25</v>
      </c>
      <c r="W79" s="1625">
        <v>0</v>
      </c>
      <c r="X79" s="1623">
        <v>0</v>
      </c>
      <c r="Y79" s="1623">
        <v>0</v>
      </c>
      <c r="Z79" s="1620"/>
    </row>
    <row r="80" spans="1:26">
      <c r="B80" s="1597" t="str">
        <f t="shared" si="15"/>
        <v>2.2.1</v>
      </c>
      <c r="C80" s="1614" t="str">
        <f t="shared" si="16"/>
        <v>躯体材料の耐用年数</v>
      </c>
      <c r="D80" s="1615">
        <f t="shared" ref="D80:E85" si="19">G$75*G$79*G80</f>
        <v>1.4999999999999998E-2</v>
      </c>
      <c r="E80" s="1615">
        <f t="shared" si="19"/>
        <v>0</v>
      </c>
      <c r="F80" s="1559"/>
      <c r="G80" s="1616">
        <f t="shared" si="17"/>
        <v>0.19999999999999998</v>
      </c>
      <c r="H80" s="1616">
        <f t="shared" si="18"/>
        <v>0</v>
      </c>
      <c r="I80" s="1644"/>
      <c r="J80" s="1647" t="s">
        <v>1528</v>
      </c>
      <c r="K80" s="1693" t="s">
        <v>336</v>
      </c>
      <c r="L80" s="2064" t="s">
        <v>736</v>
      </c>
      <c r="M80" s="1619">
        <v>0.2</v>
      </c>
      <c r="N80" s="1619">
        <v>0.2</v>
      </c>
      <c r="O80" s="1619">
        <v>0.2</v>
      </c>
      <c r="P80" s="1619">
        <v>0.2</v>
      </c>
      <c r="Q80" s="1619">
        <v>0.2</v>
      </c>
      <c r="R80" s="1619">
        <v>0.2</v>
      </c>
      <c r="S80" s="1619">
        <v>0.2</v>
      </c>
      <c r="T80" s="1619">
        <v>0.2</v>
      </c>
      <c r="U80" s="1619">
        <v>0.2</v>
      </c>
      <c r="V80" s="1623">
        <v>0.25</v>
      </c>
      <c r="W80" s="1625">
        <v>0</v>
      </c>
      <c r="X80" s="1623">
        <v>0</v>
      </c>
      <c r="Y80" s="1623">
        <v>0</v>
      </c>
      <c r="Z80" s="1620"/>
    </row>
    <row r="81" spans="2:26">
      <c r="B81" s="1597" t="str">
        <f t="shared" si="15"/>
        <v>2.2.2</v>
      </c>
      <c r="C81" s="1614" t="str">
        <f t="shared" si="16"/>
        <v>外壁仕上げ材の補修必要間隔</v>
      </c>
      <c r="D81" s="1615">
        <f t="shared" si="19"/>
        <v>1.4999999999999998E-2</v>
      </c>
      <c r="E81" s="1615">
        <f t="shared" si="19"/>
        <v>0</v>
      </c>
      <c r="F81" s="1559"/>
      <c r="G81" s="1616">
        <f t="shared" si="17"/>
        <v>0.19999999999999998</v>
      </c>
      <c r="H81" s="1616">
        <f t="shared" si="18"/>
        <v>0</v>
      </c>
      <c r="I81" s="1644"/>
      <c r="J81" s="1647" t="s">
        <v>1529</v>
      </c>
      <c r="K81" s="1693" t="s">
        <v>336</v>
      </c>
      <c r="L81" s="2064" t="s">
        <v>337</v>
      </c>
      <c r="M81" s="1619">
        <v>0.2</v>
      </c>
      <c r="N81" s="1619">
        <v>0.2</v>
      </c>
      <c r="O81" s="1619">
        <v>0.2</v>
      </c>
      <c r="P81" s="1619">
        <v>0.2</v>
      </c>
      <c r="Q81" s="1619">
        <v>0.2</v>
      </c>
      <c r="R81" s="1619">
        <v>0.2</v>
      </c>
      <c r="S81" s="1619">
        <v>0.2</v>
      </c>
      <c r="T81" s="1619">
        <v>0.2</v>
      </c>
      <c r="U81" s="1619">
        <v>0.2</v>
      </c>
      <c r="V81" s="1623">
        <v>0.25</v>
      </c>
      <c r="W81" s="1625">
        <v>0</v>
      </c>
      <c r="X81" s="1623">
        <v>0</v>
      </c>
      <c r="Y81" s="1623">
        <v>0</v>
      </c>
      <c r="Z81" s="1620"/>
    </row>
    <row r="82" spans="2:26">
      <c r="B82" s="1597" t="str">
        <f t="shared" si="15"/>
        <v>2.2.3</v>
      </c>
      <c r="C82" s="1614" t="str">
        <f t="shared" si="16"/>
        <v>主要内装仕上げ材の更新必要間隔</v>
      </c>
      <c r="D82" s="1615">
        <f t="shared" si="19"/>
        <v>0</v>
      </c>
      <c r="E82" s="1615">
        <f t="shared" si="19"/>
        <v>0</v>
      </c>
      <c r="F82" s="1559"/>
      <c r="G82" s="1616">
        <f t="shared" si="17"/>
        <v>0</v>
      </c>
      <c r="H82" s="1616">
        <f t="shared" si="18"/>
        <v>0</v>
      </c>
      <c r="I82" s="1644"/>
      <c r="J82" s="1647" t="s">
        <v>1530</v>
      </c>
      <c r="K82" s="1693" t="s">
        <v>336</v>
      </c>
      <c r="L82" s="2064" t="s">
        <v>338</v>
      </c>
      <c r="M82" s="1654">
        <v>0</v>
      </c>
      <c r="N82" s="1654">
        <v>0</v>
      </c>
      <c r="O82" s="1654">
        <v>0</v>
      </c>
      <c r="P82" s="1654">
        <v>0</v>
      </c>
      <c r="Q82" s="1654">
        <v>0</v>
      </c>
      <c r="R82" s="1654">
        <v>0</v>
      </c>
      <c r="S82" s="1654">
        <v>0</v>
      </c>
      <c r="T82" s="1654">
        <v>0</v>
      </c>
      <c r="U82" s="1654">
        <v>0</v>
      </c>
      <c r="V82" s="1623">
        <v>0</v>
      </c>
      <c r="W82" s="1625">
        <v>0</v>
      </c>
      <c r="X82" s="1623">
        <v>0</v>
      </c>
      <c r="Y82" s="1623">
        <v>0</v>
      </c>
      <c r="Z82" s="1620"/>
    </row>
    <row r="83" spans="2:26">
      <c r="B83" s="1597" t="str">
        <f t="shared" si="15"/>
        <v>2.2.4</v>
      </c>
      <c r="C83" s="1614" t="str">
        <f t="shared" si="16"/>
        <v>空調換気ダクトの更新必要間隔</v>
      </c>
      <c r="D83" s="1615">
        <f t="shared" si="19"/>
        <v>7.4999999999999989E-3</v>
      </c>
      <c r="E83" s="1615">
        <f t="shared" si="19"/>
        <v>0</v>
      </c>
      <c r="F83" s="1559"/>
      <c r="G83" s="1616">
        <f t="shared" si="17"/>
        <v>9.9999999999999992E-2</v>
      </c>
      <c r="H83" s="1616">
        <f t="shared" si="18"/>
        <v>0</v>
      </c>
      <c r="I83" s="1644"/>
      <c r="J83" s="1647" t="s">
        <v>1531</v>
      </c>
      <c r="K83" s="1693" t="s">
        <v>336</v>
      </c>
      <c r="L83" s="2064" t="s">
        <v>341</v>
      </c>
      <c r="M83" s="1619">
        <v>0.1</v>
      </c>
      <c r="N83" s="1619">
        <v>0.1</v>
      </c>
      <c r="O83" s="1619">
        <v>0.1</v>
      </c>
      <c r="P83" s="1619">
        <v>0.1</v>
      </c>
      <c r="Q83" s="1619">
        <v>0.1</v>
      </c>
      <c r="R83" s="1619">
        <v>0.1</v>
      </c>
      <c r="S83" s="1619">
        <v>0.1</v>
      </c>
      <c r="T83" s="1619">
        <v>0.1</v>
      </c>
      <c r="U83" s="1619">
        <v>0.1</v>
      </c>
      <c r="V83" s="1623">
        <v>0.1</v>
      </c>
      <c r="W83" s="1625">
        <v>0</v>
      </c>
      <c r="X83" s="1623">
        <v>0</v>
      </c>
      <c r="Y83" s="1623">
        <v>0</v>
      </c>
      <c r="Z83" s="1620"/>
    </row>
    <row r="84" spans="2:26">
      <c r="B84" s="1597" t="str">
        <f t="shared" si="15"/>
        <v>2.2.5</v>
      </c>
      <c r="C84" s="1614" t="str">
        <f t="shared" si="16"/>
        <v>空調・給排水配管の更新必要間隔</v>
      </c>
      <c r="D84" s="1615">
        <f t="shared" si="19"/>
        <v>7.4999999999999989E-3</v>
      </c>
      <c r="E84" s="1615">
        <f t="shared" si="19"/>
        <v>0</v>
      </c>
      <c r="F84" s="1559"/>
      <c r="G84" s="1616">
        <f t="shared" si="17"/>
        <v>9.9999999999999992E-2</v>
      </c>
      <c r="H84" s="1616">
        <f t="shared" si="18"/>
        <v>0</v>
      </c>
      <c r="I84" s="1644"/>
      <c r="J84" s="1647" t="s">
        <v>1532</v>
      </c>
      <c r="K84" s="1693" t="s">
        <v>336</v>
      </c>
      <c r="L84" s="2064" t="s">
        <v>342</v>
      </c>
      <c r="M84" s="1619">
        <v>0.1</v>
      </c>
      <c r="N84" s="1619">
        <v>0.1</v>
      </c>
      <c r="O84" s="1619">
        <v>0.1</v>
      </c>
      <c r="P84" s="1619">
        <v>0.1</v>
      </c>
      <c r="Q84" s="1619">
        <v>0.1</v>
      </c>
      <c r="R84" s="1619">
        <v>0.1</v>
      </c>
      <c r="S84" s="1619">
        <v>0.1</v>
      </c>
      <c r="T84" s="1619">
        <v>0.1</v>
      </c>
      <c r="U84" s="1619">
        <v>0.1</v>
      </c>
      <c r="V84" s="1623">
        <v>0.1</v>
      </c>
      <c r="W84" s="1625"/>
      <c r="X84" s="1623"/>
      <c r="Y84" s="1623"/>
      <c r="Z84" s="1620"/>
    </row>
    <row r="85" spans="2:26">
      <c r="B85" s="1597" t="str">
        <f t="shared" si="15"/>
        <v>2.2.6</v>
      </c>
      <c r="C85" s="1614" t="str">
        <f t="shared" si="16"/>
        <v>主要設備機器の更新必要間隔</v>
      </c>
      <c r="D85" s="1615">
        <f t="shared" si="19"/>
        <v>1.4999999999999998E-2</v>
      </c>
      <c r="E85" s="1615">
        <f t="shared" si="19"/>
        <v>0</v>
      </c>
      <c r="F85" s="1559"/>
      <c r="G85" s="1616">
        <f t="shared" si="17"/>
        <v>0.19999999999999998</v>
      </c>
      <c r="H85" s="1616">
        <f t="shared" si="18"/>
        <v>0</v>
      </c>
      <c r="I85" s="1644"/>
      <c r="J85" s="1647" t="s">
        <v>1533</v>
      </c>
      <c r="K85" s="1693" t="s">
        <v>336</v>
      </c>
      <c r="L85" s="2064" t="s">
        <v>343</v>
      </c>
      <c r="M85" s="1619">
        <v>0.2</v>
      </c>
      <c r="N85" s="1619">
        <v>0.2</v>
      </c>
      <c r="O85" s="1619">
        <v>0.2</v>
      </c>
      <c r="P85" s="1619">
        <v>0.2</v>
      </c>
      <c r="Q85" s="1619">
        <v>0.2</v>
      </c>
      <c r="R85" s="1619">
        <v>0.2</v>
      </c>
      <c r="S85" s="1619">
        <v>0.2</v>
      </c>
      <c r="T85" s="1619">
        <v>0.2</v>
      </c>
      <c r="U85" s="1619">
        <v>0.2</v>
      </c>
      <c r="V85" s="1623">
        <v>0.25</v>
      </c>
      <c r="W85" s="1625">
        <v>0</v>
      </c>
      <c r="X85" s="1623">
        <v>0</v>
      </c>
      <c r="Y85" s="1623">
        <v>0</v>
      </c>
      <c r="Z85" s="1620"/>
    </row>
    <row r="86" spans="2:26">
      <c r="B86" s="1597">
        <f t="shared" si="15"/>
        <v>2.2999999999999998</v>
      </c>
      <c r="C86" s="1741" t="str">
        <f t="shared" si="16"/>
        <v>適切な更新</v>
      </c>
      <c r="D86" s="1615"/>
      <c r="E86" s="1615"/>
      <c r="F86" s="1559"/>
      <c r="G86" s="1616">
        <f t="shared" si="17"/>
        <v>0.25</v>
      </c>
      <c r="H86" s="1616">
        <f t="shared" si="18"/>
        <v>0</v>
      </c>
      <c r="I86" s="1644"/>
      <c r="J86" s="1647">
        <v>2.2999999999999998</v>
      </c>
      <c r="K86" s="1647" t="s">
        <v>1709</v>
      </c>
      <c r="L86" s="1693" t="s">
        <v>421</v>
      </c>
      <c r="M86" s="1618">
        <v>0.25</v>
      </c>
      <c r="N86" s="1618">
        <v>0.25</v>
      </c>
      <c r="O86" s="1618">
        <v>0.25</v>
      </c>
      <c r="P86" s="1618">
        <v>0.25</v>
      </c>
      <c r="Q86" s="1618">
        <v>0.25</v>
      </c>
      <c r="R86" s="1618">
        <v>0.25</v>
      </c>
      <c r="S86" s="1618">
        <v>0.25</v>
      </c>
      <c r="T86" s="1626">
        <v>0.25</v>
      </c>
      <c r="U86" s="1618">
        <v>0.25</v>
      </c>
      <c r="V86" s="1623">
        <v>0.25</v>
      </c>
      <c r="W86" s="1623"/>
      <c r="X86" s="1625"/>
      <c r="Y86" s="1623"/>
      <c r="Z86" s="1620"/>
    </row>
    <row r="87" spans="2:26">
      <c r="B87" s="1597" t="str">
        <f t="shared" si="15"/>
        <v>2.3.1</v>
      </c>
      <c r="C87" s="1742" t="str">
        <f t="shared" si="16"/>
        <v>屋上（屋根）・外壁仕上げ材の更新</v>
      </c>
      <c r="D87" s="1615">
        <f>G$75*G$86*G87</f>
        <v>2.4999999999999998E-2</v>
      </c>
      <c r="E87" s="1615">
        <f t="shared" ref="D87:E89" si="20">H$75*H$86*H87</f>
        <v>0</v>
      </c>
      <c r="F87" s="1559"/>
      <c r="G87" s="1616">
        <f>SUMPRODUCT($M$7:$Y$7,M87:Y87)</f>
        <v>0.33333333333333331</v>
      </c>
      <c r="H87" s="1616">
        <f t="shared" si="18"/>
        <v>0</v>
      </c>
      <c r="I87" s="1644"/>
      <c r="J87" s="1647" t="s">
        <v>1534</v>
      </c>
      <c r="K87" s="1647" t="s">
        <v>1710</v>
      </c>
      <c r="L87" s="1693" t="s">
        <v>422</v>
      </c>
      <c r="M87" s="1639">
        <v>0.33333333333333331</v>
      </c>
      <c r="N87" s="1639">
        <v>0.33333333333333331</v>
      </c>
      <c r="O87" s="1639">
        <v>0.33333333333333331</v>
      </c>
      <c r="P87" s="1639">
        <v>0.33333333333333331</v>
      </c>
      <c r="Q87" s="1639">
        <v>0.33333333333333331</v>
      </c>
      <c r="R87" s="1639">
        <v>0.33333333333333331</v>
      </c>
      <c r="S87" s="1639">
        <v>0.33333333333333331</v>
      </c>
      <c r="T87" s="1639">
        <v>0.33333333333333331</v>
      </c>
      <c r="U87" s="1639">
        <v>0.33333333333333331</v>
      </c>
      <c r="V87" s="1623">
        <v>0.33333333333333331</v>
      </c>
      <c r="W87" s="1623"/>
      <c r="X87" s="1625"/>
      <c r="Y87" s="1623"/>
      <c r="Z87" s="1620"/>
    </row>
    <row r="88" spans="2:26">
      <c r="B88" s="1597" t="str">
        <f t="shared" si="15"/>
        <v>2.3.2</v>
      </c>
      <c r="C88" s="1742" t="str">
        <f t="shared" si="16"/>
        <v>配管・配線材の更新</v>
      </c>
      <c r="D88" s="1615">
        <f t="shared" si="20"/>
        <v>2.4999999999999998E-2</v>
      </c>
      <c r="E88" s="1615">
        <f t="shared" si="20"/>
        <v>0</v>
      </c>
      <c r="F88" s="1559"/>
      <c r="G88" s="1616">
        <f t="shared" si="17"/>
        <v>0.33333333333333331</v>
      </c>
      <c r="H88" s="1616">
        <f t="shared" si="18"/>
        <v>0</v>
      </c>
      <c r="I88" s="1644"/>
      <c r="J88" s="1647" t="s">
        <v>1535</v>
      </c>
      <c r="K88" s="1647" t="s">
        <v>1710</v>
      </c>
      <c r="L88" s="1693" t="s">
        <v>423</v>
      </c>
      <c r="M88" s="1639">
        <v>0.33333333333333331</v>
      </c>
      <c r="N88" s="1639">
        <v>0.33333333333333331</v>
      </c>
      <c r="O88" s="1639">
        <v>0.33333333333333331</v>
      </c>
      <c r="P88" s="1639">
        <v>0.33333333333333331</v>
      </c>
      <c r="Q88" s="1639">
        <v>0.33333333333333331</v>
      </c>
      <c r="R88" s="1639">
        <v>0.33333333333333331</v>
      </c>
      <c r="S88" s="1639">
        <v>0.33333333333333331</v>
      </c>
      <c r="T88" s="1639">
        <v>0.33333333333333331</v>
      </c>
      <c r="U88" s="1639">
        <v>0.33333333333333331</v>
      </c>
      <c r="V88" s="1623">
        <v>0.33333333333333331</v>
      </c>
      <c r="W88" s="1623"/>
      <c r="X88" s="1625"/>
      <c r="Y88" s="1623"/>
      <c r="Z88" s="1620"/>
    </row>
    <row r="89" spans="2:26">
      <c r="B89" s="1597" t="str">
        <f t="shared" si="15"/>
        <v>2.3.3</v>
      </c>
      <c r="C89" s="1742" t="str">
        <f t="shared" si="16"/>
        <v>主要設備機器の更新</v>
      </c>
      <c r="D89" s="1615">
        <f t="shared" si="20"/>
        <v>2.4999999999999998E-2</v>
      </c>
      <c r="E89" s="1615">
        <f t="shared" si="20"/>
        <v>0</v>
      </c>
      <c r="F89" s="1559"/>
      <c r="G89" s="1616">
        <f t="shared" si="17"/>
        <v>0.33333333333333331</v>
      </c>
      <c r="H89" s="1616">
        <f t="shared" si="18"/>
        <v>0</v>
      </c>
      <c r="I89" s="1644"/>
      <c r="J89" s="1647" t="s">
        <v>1536</v>
      </c>
      <c r="K89" s="1647" t="s">
        <v>1710</v>
      </c>
      <c r="L89" s="1693" t="s">
        <v>424</v>
      </c>
      <c r="M89" s="1639">
        <v>0.33333333333333331</v>
      </c>
      <c r="N89" s="1639">
        <v>0.33333333333333331</v>
      </c>
      <c r="O89" s="1639">
        <v>0.33333333333333331</v>
      </c>
      <c r="P89" s="1639">
        <v>0.33333333333333331</v>
      </c>
      <c r="Q89" s="1639">
        <v>0.33333333333333331</v>
      </c>
      <c r="R89" s="1639">
        <v>0.33333333333333331</v>
      </c>
      <c r="S89" s="1639">
        <v>0.33333333333333331</v>
      </c>
      <c r="T89" s="1639">
        <v>0.33333333333333331</v>
      </c>
      <c r="U89" s="1639">
        <v>0.33333333333333331</v>
      </c>
      <c r="V89" s="1623">
        <v>0.33333333333333331</v>
      </c>
      <c r="W89" s="1623"/>
      <c r="X89" s="1625"/>
      <c r="Y89" s="1623"/>
      <c r="Z89" s="1620"/>
    </row>
    <row r="90" spans="2:26">
      <c r="B90" s="1597">
        <f t="shared" si="15"/>
        <v>2.4</v>
      </c>
      <c r="C90" s="1647" t="str">
        <f t="shared" si="16"/>
        <v>信頼性</v>
      </c>
      <c r="D90" s="1648"/>
      <c r="E90" s="1648"/>
      <c r="F90" s="1559"/>
      <c r="G90" s="1616">
        <f t="shared" si="17"/>
        <v>0.25</v>
      </c>
      <c r="H90" s="1616">
        <f t="shared" si="18"/>
        <v>0</v>
      </c>
      <c r="I90" s="1644"/>
      <c r="J90" s="1647">
        <v>2.4</v>
      </c>
      <c r="K90" s="1693" t="s">
        <v>333</v>
      </c>
      <c r="L90" s="1737" t="s">
        <v>748</v>
      </c>
      <c r="M90" s="1618">
        <v>0.25</v>
      </c>
      <c r="N90" s="1618">
        <v>0.25</v>
      </c>
      <c r="O90" s="1618">
        <v>0.25</v>
      </c>
      <c r="P90" s="1618">
        <v>0.25</v>
      </c>
      <c r="Q90" s="1618">
        <v>0.25</v>
      </c>
      <c r="R90" s="1618">
        <v>0.25</v>
      </c>
      <c r="S90" s="1618">
        <v>0.25</v>
      </c>
      <c r="T90" s="1626">
        <v>0.25</v>
      </c>
      <c r="U90" s="1618">
        <v>0.25</v>
      </c>
      <c r="V90" s="1623">
        <v>0.25</v>
      </c>
      <c r="W90" s="1625">
        <v>0</v>
      </c>
      <c r="X90" s="1623">
        <v>0</v>
      </c>
      <c r="Y90" s="1623">
        <v>0</v>
      </c>
      <c r="Z90" s="1620"/>
    </row>
    <row r="91" spans="2:26">
      <c r="B91" s="1597" t="str">
        <f t="shared" si="15"/>
        <v>2.4.1</v>
      </c>
      <c r="C91" s="1614" t="str">
        <f t="shared" si="16"/>
        <v>空調・換気設備</v>
      </c>
      <c r="D91" s="1615">
        <f t="shared" ref="D91:E95" si="21">G$75*G$90*G91</f>
        <v>1.4999999999999998E-2</v>
      </c>
      <c r="E91" s="1615">
        <f t="shared" si="21"/>
        <v>0</v>
      </c>
      <c r="F91" s="1559"/>
      <c r="G91" s="1616">
        <f t="shared" si="17"/>
        <v>0.19999999999999998</v>
      </c>
      <c r="H91" s="1616">
        <f t="shared" si="18"/>
        <v>0</v>
      </c>
      <c r="I91" s="1644"/>
      <c r="J91" s="1647" t="s">
        <v>1537</v>
      </c>
      <c r="K91" s="1693" t="s">
        <v>345</v>
      </c>
      <c r="L91" s="2064" t="s">
        <v>346</v>
      </c>
      <c r="M91" s="1618">
        <v>0.2</v>
      </c>
      <c r="N91" s="1618">
        <v>0.2</v>
      </c>
      <c r="O91" s="1618">
        <v>0.2</v>
      </c>
      <c r="P91" s="1618">
        <v>0.2</v>
      </c>
      <c r="Q91" s="1618">
        <v>0.2</v>
      </c>
      <c r="R91" s="1618">
        <v>0.2</v>
      </c>
      <c r="S91" s="1618">
        <v>0.2</v>
      </c>
      <c r="T91" s="1626">
        <v>0.2</v>
      </c>
      <c r="U91" s="1618">
        <v>0.2</v>
      </c>
      <c r="V91" s="1623">
        <v>0.2</v>
      </c>
      <c r="W91" s="1625">
        <v>0</v>
      </c>
      <c r="X91" s="1623">
        <v>0</v>
      </c>
      <c r="Y91" s="1623">
        <v>0</v>
      </c>
      <c r="Z91" s="1620"/>
    </row>
    <row r="92" spans="2:26">
      <c r="B92" s="1597" t="str">
        <f t="shared" si="15"/>
        <v>2.4.2</v>
      </c>
      <c r="C92" s="1614" t="str">
        <f t="shared" si="16"/>
        <v>給排水・衛生設備</v>
      </c>
      <c r="D92" s="1615">
        <f t="shared" si="21"/>
        <v>1.4999999999999998E-2</v>
      </c>
      <c r="E92" s="1615">
        <f t="shared" si="21"/>
        <v>0</v>
      </c>
      <c r="F92" s="1559"/>
      <c r="G92" s="1616">
        <f t="shared" si="17"/>
        <v>0.19999999999999998</v>
      </c>
      <c r="H92" s="1616">
        <f t="shared" si="18"/>
        <v>0</v>
      </c>
      <c r="I92" s="1644"/>
      <c r="J92" s="1647" t="s">
        <v>347</v>
      </c>
      <c r="K92" s="1693" t="s">
        <v>345</v>
      </c>
      <c r="L92" s="2064" t="s">
        <v>348</v>
      </c>
      <c r="M92" s="1618">
        <v>0.2</v>
      </c>
      <c r="N92" s="1618">
        <v>0.2</v>
      </c>
      <c r="O92" s="1618">
        <v>0.2</v>
      </c>
      <c r="P92" s="1618">
        <v>0.2</v>
      </c>
      <c r="Q92" s="1618">
        <v>0.2</v>
      </c>
      <c r="R92" s="1618">
        <v>0.2</v>
      </c>
      <c r="S92" s="1618">
        <v>0.2</v>
      </c>
      <c r="T92" s="1626">
        <v>0.2</v>
      </c>
      <c r="U92" s="1618">
        <v>0.2</v>
      </c>
      <c r="V92" s="1623">
        <v>0.2</v>
      </c>
      <c r="W92" s="1625">
        <v>0</v>
      </c>
      <c r="X92" s="1623">
        <v>0</v>
      </c>
      <c r="Y92" s="1623">
        <v>0</v>
      </c>
      <c r="Z92" s="1620"/>
    </row>
    <row r="93" spans="2:26">
      <c r="B93" s="1597" t="str">
        <f t="shared" si="15"/>
        <v>2.4.3</v>
      </c>
      <c r="C93" s="1614" t="str">
        <f t="shared" si="16"/>
        <v>電気設備</v>
      </c>
      <c r="D93" s="1615">
        <f t="shared" si="21"/>
        <v>1.4999999999999998E-2</v>
      </c>
      <c r="E93" s="1615">
        <f t="shared" si="21"/>
        <v>0</v>
      </c>
      <c r="F93" s="1559"/>
      <c r="G93" s="1616">
        <f t="shared" si="17"/>
        <v>0.19999999999999998</v>
      </c>
      <c r="H93" s="1616">
        <f t="shared" si="18"/>
        <v>0</v>
      </c>
      <c r="I93" s="1644"/>
      <c r="J93" s="1647" t="s">
        <v>349</v>
      </c>
      <c r="K93" s="1693" t="s">
        <v>345</v>
      </c>
      <c r="L93" s="2064" t="s">
        <v>350</v>
      </c>
      <c r="M93" s="1618">
        <v>0.2</v>
      </c>
      <c r="N93" s="1618">
        <v>0.2</v>
      </c>
      <c r="O93" s="1618">
        <v>0.2</v>
      </c>
      <c r="P93" s="1618">
        <v>0.2</v>
      </c>
      <c r="Q93" s="1618">
        <v>0.2</v>
      </c>
      <c r="R93" s="1618">
        <v>0.2</v>
      </c>
      <c r="S93" s="1618">
        <v>0.2</v>
      </c>
      <c r="T93" s="1626">
        <v>0.2</v>
      </c>
      <c r="U93" s="1618">
        <v>0.2</v>
      </c>
      <c r="V93" s="1623">
        <v>0.2</v>
      </c>
      <c r="W93" s="1625">
        <v>0</v>
      </c>
      <c r="X93" s="1623">
        <v>0</v>
      </c>
      <c r="Y93" s="1623">
        <v>0</v>
      </c>
      <c r="Z93" s="1620"/>
    </row>
    <row r="94" spans="2:26">
      <c r="B94" s="1597" t="str">
        <f t="shared" si="15"/>
        <v>2.4.4</v>
      </c>
      <c r="C94" s="1614" t="str">
        <f t="shared" si="16"/>
        <v>機械・配管支持方法</v>
      </c>
      <c r="D94" s="1615">
        <f t="shared" si="21"/>
        <v>1.4999999999999998E-2</v>
      </c>
      <c r="E94" s="1615">
        <f t="shared" si="21"/>
        <v>0</v>
      </c>
      <c r="F94" s="1559"/>
      <c r="G94" s="1616">
        <f t="shared" si="17"/>
        <v>0.19999999999999998</v>
      </c>
      <c r="H94" s="1616">
        <f t="shared" si="18"/>
        <v>0</v>
      </c>
      <c r="I94" s="1644"/>
      <c r="J94" s="1647" t="s">
        <v>351</v>
      </c>
      <c r="K94" s="1693" t="s">
        <v>345</v>
      </c>
      <c r="L94" s="2064" t="s">
        <v>352</v>
      </c>
      <c r="M94" s="1618">
        <v>0.2</v>
      </c>
      <c r="N94" s="1618">
        <v>0.2</v>
      </c>
      <c r="O94" s="1618">
        <v>0.2</v>
      </c>
      <c r="P94" s="1618">
        <v>0.2</v>
      </c>
      <c r="Q94" s="1618">
        <v>0.2</v>
      </c>
      <c r="R94" s="1618">
        <v>0.2</v>
      </c>
      <c r="S94" s="1618">
        <v>0.2</v>
      </c>
      <c r="T94" s="1626">
        <v>0.2</v>
      </c>
      <c r="U94" s="1618">
        <v>0.2</v>
      </c>
      <c r="V94" s="1623">
        <v>0.2</v>
      </c>
      <c r="W94" s="1625">
        <v>0</v>
      </c>
      <c r="X94" s="1623">
        <v>0</v>
      </c>
      <c r="Y94" s="1623">
        <v>0</v>
      </c>
      <c r="Z94" s="1620"/>
    </row>
    <row r="95" spans="2:26">
      <c r="B95" s="1597" t="str">
        <f t="shared" si="15"/>
        <v>2.4.5</v>
      </c>
      <c r="C95" s="1614" t="str">
        <f t="shared" si="16"/>
        <v>通信・情報設備</v>
      </c>
      <c r="D95" s="1615">
        <f t="shared" si="21"/>
        <v>1.4999999999999998E-2</v>
      </c>
      <c r="E95" s="1615">
        <f t="shared" si="21"/>
        <v>0</v>
      </c>
      <c r="F95" s="1559"/>
      <c r="G95" s="1616">
        <f t="shared" si="17"/>
        <v>0.19999999999999998</v>
      </c>
      <c r="H95" s="1616">
        <f t="shared" si="18"/>
        <v>0</v>
      </c>
      <c r="I95" s="1644"/>
      <c r="J95" s="1647" t="s">
        <v>353</v>
      </c>
      <c r="K95" s="1693" t="s">
        <v>345</v>
      </c>
      <c r="L95" s="2064" t="s">
        <v>354</v>
      </c>
      <c r="M95" s="1618">
        <v>0.2</v>
      </c>
      <c r="N95" s="1618">
        <v>0.2</v>
      </c>
      <c r="O95" s="1618">
        <v>0.2</v>
      </c>
      <c r="P95" s="1618">
        <v>0.2</v>
      </c>
      <c r="Q95" s="1618">
        <v>0.2</v>
      </c>
      <c r="R95" s="1618">
        <v>0.2</v>
      </c>
      <c r="S95" s="1618">
        <v>0.2</v>
      </c>
      <c r="T95" s="1626">
        <v>0.2</v>
      </c>
      <c r="U95" s="1618">
        <v>0.2</v>
      </c>
      <c r="V95" s="1623">
        <v>0.2</v>
      </c>
      <c r="W95" s="1625">
        <v>0</v>
      </c>
      <c r="X95" s="1623">
        <v>0</v>
      </c>
      <c r="Y95" s="1623">
        <v>0</v>
      </c>
      <c r="Z95" s="1620"/>
    </row>
    <row r="96" spans="2:26" hidden="1">
      <c r="B96" s="1597">
        <f t="shared" si="15"/>
        <v>0</v>
      </c>
      <c r="C96" s="1650">
        <f t="shared" si="16"/>
        <v>0</v>
      </c>
      <c r="D96" s="1651"/>
      <c r="E96" s="1651"/>
      <c r="F96" s="1559"/>
      <c r="G96" s="1652">
        <f t="shared" si="17"/>
        <v>0</v>
      </c>
      <c r="H96" s="1652">
        <f t="shared" si="18"/>
        <v>0</v>
      </c>
      <c r="I96" s="1644"/>
      <c r="J96" s="1647"/>
      <c r="K96" s="1693" t="s">
        <v>276</v>
      </c>
      <c r="L96" s="2064"/>
      <c r="M96" s="1654">
        <v>0</v>
      </c>
      <c r="N96" s="1654">
        <v>0</v>
      </c>
      <c r="O96" s="1654">
        <v>0</v>
      </c>
      <c r="P96" s="1654">
        <v>0</v>
      </c>
      <c r="Q96" s="1654">
        <v>0</v>
      </c>
      <c r="R96" s="1654">
        <v>0</v>
      </c>
      <c r="S96" s="1654">
        <v>0</v>
      </c>
      <c r="T96" s="1655">
        <v>0</v>
      </c>
      <c r="U96" s="1654">
        <v>0</v>
      </c>
      <c r="V96" s="1623"/>
      <c r="W96" s="1625">
        <v>0</v>
      </c>
      <c r="X96" s="1623">
        <v>0</v>
      </c>
      <c r="Y96" s="1623">
        <v>0</v>
      </c>
      <c r="Z96" s="1620"/>
    </row>
    <row r="97" spans="1:26" s="1605" customFormat="1">
      <c r="A97"/>
      <c r="B97" s="1597">
        <f t="shared" si="15"/>
        <v>3</v>
      </c>
      <c r="C97" s="1657" t="str">
        <f t="shared" si="16"/>
        <v>対応性・更新性</v>
      </c>
      <c r="D97" s="1608">
        <f>SUM(D98:D108)</f>
        <v>0.30000000000000004</v>
      </c>
      <c r="E97" s="1608">
        <f>SUM(E98:E108)</f>
        <v>0</v>
      </c>
      <c r="F97" s="1559"/>
      <c r="G97" s="1609">
        <f t="shared" si="17"/>
        <v>0.3</v>
      </c>
      <c r="H97" s="1609">
        <f t="shared" si="18"/>
        <v>0</v>
      </c>
      <c r="I97" s="1642"/>
      <c r="J97" s="1641">
        <v>3</v>
      </c>
      <c r="K97" s="1744" t="s">
        <v>318</v>
      </c>
      <c r="L97" s="1787" t="s">
        <v>355</v>
      </c>
      <c r="M97" s="1610">
        <v>0.3</v>
      </c>
      <c r="N97" s="1610">
        <v>0.3</v>
      </c>
      <c r="O97" s="1610">
        <v>0.3</v>
      </c>
      <c r="P97" s="1610">
        <v>0.3</v>
      </c>
      <c r="Q97" s="1610">
        <v>0.3</v>
      </c>
      <c r="R97" s="1610">
        <v>0.3</v>
      </c>
      <c r="S97" s="1610">
        <v>0.3</v>
      </c>
      <c r="T97" s="1646">
        <v>0.3</v>
      </c>
      <c r="U97" s="1610">
        <v>0.3</v>
      </c>
      <c r="V97" s="1711">
        <v>0.3</v>
      </c>
      <c r="W97" s="2063"/>
      <c r="X97" s="1711"/>
      <c r="Y97" s="1711"/>
      <c r="Z97" s="1612"/>
    </row>
    <row r="98" spans="1:26">
      <c r="B98" s="1597">
        <f t="shared" si="15"/>
        <v>3.1</v>
      </c>
      <c r="C98" s="1647" t="str">
        <f t="shared" si="16"/>
        <v>空間のゆとり</v>
      </c>
      <c r="D98" s="1608"/>
      <c r="E98" s="1608"/>
      <c r="F98" s="1559"/>
      <c r="G98" s="1616">
        <f t="shared" si="17"/>
        <v>0.3</v>
      </c>
      <c r="H98" s="1616">
        <f t="shared" si="18"/>
        <v>0</v>
      </c>
      <c r="I98" s="1644"/>
      <c r="J98" s="1647">
        <v>3.1</v>
      </c>
      <c r="K98" s="1693" t="s">
        <v>356</v>
      </c>
      <c r="L98" s="1737" t="s">
        <v>757</v>
      </c>
      <c r="M98" s="1618">
        <v>0.3</v>
      </c>
      <c r="N98" s="1618">
        <v>0.3</v>
      </c>
      <c r="O98" s="1618">
        <v>0.3</v>
      </c>
      <c r="P98" s="1618">
        <v>0.3</v>
      </c>
      <c r="Q98" s="1618">
        <v>0.3</v>
      </c>
      <c r="R98" s="1618"/>
      <c r="S98" s="1618"/>
      <c r="T98" s="1626">
        <v>0.3</v>
      </c>
      <c r="U98" s="1618">
        <v>0.3</v>
      </c>
      <c r="V98" s="1623">
        <v>0.3</v>
      </c>
      <c r="W98" s="1625">
        <v>0.5</v>
      </c>
      <c r="X98" s="1623">
        <v>0.5</v>
      </c>
      <c r="Y98" s="1623">
        <v>0.5</v>
      </c>
      <c r="Z98" s="1620"/>
    </row>
    <row r="99" spans="1:26">
      <c r="B99" s="1597" t="str">
        <f t="shared" si="15"/>
        <v>3.1.1</v>
      </c>
      <c r="C99" s="1614" t="str">
        <f t="shared" si="16"/>
        <v>階高のゆとり</v>
      </c>
      <c r="D99" s="1615">
        <f>G$97*G$98*G99</f>
        <v>5.3999999999999999E-2</v>
      </c>
      <c r="E99" s="1615">
        <f>H$97*H$98*H99</f>
        <v>0</v>
      </c>
      <c r="F99" s="1559"/>
      <c r="G99" s="1616">
        <f t="shared" si="17"/>
        <v>0.6</v>
      </c>
      <c r="H99" s="1616">
        <f t="shared" si="18"/>
        <v>0</v>
      </c>
      <c r="I99" s="1644"/>
      <c r="J99" s="1647" t="s">
        <v>1538</v>
      </c>
      <c r="K99" s="1693" t="s">
        <v>357</v>
      </c>
      <c r="L99" s="2064" t="s">
        <v>358</v>
      </c>
      <c r="M99" s="1618">
        <v>0.6</v>
      </c>
      <c r="N99" s="1618">
        <v>0.6</v>
      </c>
      <c r="O99" s="1618">
        <v>0.6</v>
      </c>
      <c r="P99" s="1618">
        <v>0.6</v>
      </c>
      <c r="Q99" s="1618">
        <v>0.6</v>
      </c>
      <c r="R99" s="1618"/>
      <c r="S99" s="1618"/>
      <c r="T99" s="1626">
        <v>0</v>
      </c>
      <c r="U99" s="1618">
        <v>0.6</v>
      </c>
      <c r="V99" s="1623">
        <v>0.6</v>
      </c>
      <c r="W99" s="1625">
        <v>0.6</v>
      </c>
      <c r="X99" s="1623">
        <v>0.6</v>
      </c>
      <c r="Y99" s="1623">
        <v>0.6</v>
      </c>
      <c r="Z99" s="1620"/>
    </row>
    <row r="100" spans="1:26">
      <c r="B100" s="1597" t="str">
        <f t="shared" si="15"/>
        <v>3.1.2</v>
      </c>
      <c r="C100" s="1614" t="str">
        <f t="shared" si="16"/>
        <v>空間の形状・自由さ</v>
      </c>
      <c r="D100" s="1615">
        <f>G$97*G$98*G100</f>
        <v>3.5999999999999997E-2</v>
      </c>
      <c r="E100" s="1615">
        <f>H$97*H$98*H100</f>
        <v>0</v>
      </c>
      <c r="F100" s="1559"/>
      <c r="G100" s="1616">
        <f t="shared" si="17"/>
        <v>0.39999999999999997</v>
      </c>
      <c r="H100" s="1616">
        <f t="shared" si="18"/>
        <v>0</v>
      </c>
      <c r="I100" s="1644"/>
      <c r="J100" s="1647" t="s">
        <v>1539</v>
      </c>
      <c r="K100" s="1693" t="s">
        <v>357</v>
      </c>
      <c r="L100" s="2064" t="s">
        <v>359</v>
      </c>
      <c r="M100" s="1618">
        <v>0.4</v>
      </c>
      <c r="N100" s="1618">
        <v>0.4</v>
      </c>
      <c r="O100" s="1618">
        <v>0.4</v>
      </c>
      <c r="P100" s="1618">
        <v>0.4</v>
      </c>
      <c r="Q100" s="1618">
        <v>0.4</v>
      </c>
      <c r="R100" s="1618"/>
      <c r="S100" s="1618"/>
      <c r="T100" s="1626">
        <v>1</v>
      </c>
      <c r="U100" s="1618">
        <v>0.4</v>
      </c>
      <c r="V100" s="1623">
        <v>0.4</v>
      </c>
      <c r="W100" s="1625">
        <v>0.4</v>
      </c>
      <c r="X100" s="1623">
        <v>0.4</v>
      </c>
      <c r="Y100" s="1623">
        <v>0.4</v>
      </c>
      <c r="Z100" s="1620"/>
    </row>
    <row r="101" spans="1:26">
      <c r="B101" s="1597">
        <f t="shared" si="15"/>
        <v>3.2</v>
      </c>
      <c r="C101" s="1647" t="str">
        <f t="shared" si="16"/>
        <v>荷重のゆとり</v>
      </c>
      <c r="D101" s="1615">
        <f>G$97*G101</f>
        <v>0.09</v>
      </c>
      <c r="E101" s="1615">
        <f>H$97*H101</f>
        <v>0</v>
      </c>
      <c r="F101" s="1559"/>
      <c r="G101" s="1616">
        <f t="shared" si="17"/>
        <v>0.3</v>
      </c>
      <c r="H101" s="1616">
        <f t="shared" si="18"/>
        <v>0</v>
      </c>
      <c r="I101" s="1644"/>
      <c r="J101" s="1647">
        <v>3.2</v>
      </c>
      <c r="K101" s="1693" t="s">
        <v>356</v>
      </c>
      <c r="L101" s="1737" t="s">
        <v>761</v>
      </c>
      <c r="M101" s="1618">
        <v>0.3</v>
      </c>
      <c r="N101" s="1618">
        <v>0.3</v>
      </c>
      <c r="O101" s="1618">
        <v>0.3</v>
      </c>
      <c r="P101" s="1618">
        <v>0.3</v>
      </c>
      <c r="Q101" s="1618">
        <v>0.3</v>
      </c>
      <c r="R101" s="1618"/>
      <c r="S101" s="1618"/>
      <c r="T101" s="1626">
        <v>0.3</v>
      </c>
      <c r="U101" s="1618">
        <v>0.3</v>
      </c>
      <c r="V101" s="1623">
        <v>0.3</v>
      </c>
      <c r="W101" s="1625">
        <v>0.5</v>
      </c>
      <c r="X101" s="1623">
        <v>0.5</v>
      </c>
      <c r="Y101" s="1623">
        <v>0.5</v>
      </c>
      <c r="Z101" s="1620"/>
    </row>
    <row r="102" spans="1:26">
      <c r="B102" s="1597">
        <f t="shared" si="15"/>
        <v>3.3</v>
      </c>
      <c r="C102" s="1647" t="str">
        <f t="shared" si="16"/>
        <v>設備の更新性</v>
      </c>
      <c r="D102" s="1648"/>
      <c r="E102" s="1648"/>
      <c r="F102" s="1559"/>
      <c r="G102" s="1616">
        <f t="shared" si="17"/>
        <v>0.39999999999999997</v>
      </c>
      <c r="H102" s="1616">
        <f t="shared" si="18"/>
        <v>0</v>
      </c>
      <c r="I102" s="1644"/>
      <c r="J102" s="1647">
        <v>3.3</v>
      </c>
      <c r="K102" s="1693" t="s">
        <v>356</v>
      </c>
      <c r="L102" s="1737" t="s">
        <v>762</v>
      </c>
      <c r="M102" s="1618">
        <v>0.4</v>
      </c>
      <c r="N102" s="1618">
        <v>0.4</v>
      </c>
      <c r="O102" s="1618">
        <v>0.4</v>
      </c>
      <c r="P102" s="1618">
        <v>0.4</v>
      </c>
      <c r="Q102" s="1618">
        <v>0.4</v>
      </c>
      <c r="R102" s="1618">
        <v>1</v>
      </c>
      <c r="S102" s="1618">
        <v>1</v>
      </c>
      <c r="T102" s="1626">
        <v>0.4</v>
      </c>
      <c r="U102" s="1618">
        <v>0.4</v>
      </c>
      <c r="V102" s="1623">
        <v>0.4</v>
      </c>
      <c r="W102" s="1625"/>
      <c r="X102" s="1623"/>
      <c r="Y102" s="1623"/>
      <c r="Z102" s="1620"/>
    </row>
    <row r="103" spans="1:26">
      <c r="B103" s="1597" t="str">
        <f t="shared" si="15"/>
        <v>3.3.1</v>
      </c>
      <c r="C103" s="1614" t="str">
        <f t="shared" si="16"/>
        <v>空調配管の更新性</v>
      </c>
      <c r="D103" s="1615">
        <f t="shared" ref="D103:E108" si="22">G$97*G$102*G103</f>
        <v>2.3999999999999994E-2</v>
      </c>
      <c r="E103" s="1615">
        <f t="shared" si="22"/>
        <v>0</v>
      </c>
      <c r="F103" s="1559"/>
      <c r="G103" s="1616">
        <f t="shared" si="17"/>
        <v>0.19999999999999998</v>
      </c>
      <c r="H103" s="1616">
        <f t="shared" si="18"/>
        <v>0</v>
      </c>
      <c r="I103" s="1644"/>
      <c r="J103" s="1647" t="s">
        <v>1540</v>
      </c>
      <c r="K103" s="1693" t="s">
        <v>360</v>
      </c>
      <c r="L103" s="2064" t="s">
        <v>361</v>
      </c>
      <c r="M103" s="1618">
        <v>0.2</v>
      </c>
      <c r="N103" s="1618">
        <v>0.2</v>
      </c>
      <c r="O103" s="1618">
        <v>0.2</v>
      </c>
      <c r="P103" s="1618">
        <v>0.2</v>
      </c>
      <c r="Q103" s="1618">
        <v>0.2</v>
      </c>
      <c r="R103" s="1618">
        <v>0.2</v>
      </c>
      <c r="S103" s="1618">
        <v>0.2</v>
      </c>
      <c r="T103" s="1626">
        <v>0.2</v>
      </c>
      <c r="U103" s="1618">
        <v>0.2</v>
      </c>
      <c r="V103" s="1623">
        <v>0.2</v>
      </c>
      <c r="W103" s="1625"/>
      <c r="X103" s="1623"/>
      <c r="Y103" s="1623"/>
      <c r="Z103" s="1620"/>
    </row>
    <row r="104" spans="1:26">
      <c r="B104" s="1597" t="str">
        <f t="shared" si="15"/>
        <v>3.3.2</v>
      </c>
      <c r="C104" s="1614" t="str">
        <f t="shared" si="16"/>
        <v>給排水管の更新性</v>
      </c>
      <c r="D104" s="1615">
        <f t="shared" si="22"/>
        <v>2.3999999999999994E-2</v>
      </c>
      <c r="E104" s="1615">
        <f t="shared" si="22"/>
        <v>0</v>
      </c>
      <c r="F104" s="1559"/>
      <c r="G104" s="1616">
        <f t="shared" si="17"/>
        <v>0.19999999999999998</v>
      </c>
      <c r="H104" s="1616">
        <f t="shared" si="18"/>
        <v>0</v>
      </c>
      <c r="I104" s="1644"/>
      <c r="J104" s="1647" t="s">
        <v>1542</v>
      </c>
      <c r="K104" s="1693" t="s">
        <v>360</v>
      </c>
      <c r="L104" s="2064" t="s">
        <v>362</v>
      </c>
      <c r="M104" s="1618">
        <v>0.2</v>
      </c>
      <c r="N104" s="1618">
        <v>0.2</v>
      </c>
      <c r="O104" s="1618">
        <v>0.2</v>
      </c>
      <c r="P104" s="1618">
        <v>0.2</v>
      </c>
      <c r="Q104" s="1618">
        <v>0.2</v>
      </c>
      <c r="R104" s="1618">
        <v>0.2</v>
      </c>
      <c r="S104" s="1618">
        <v>0.2</v>
      </c>
      <c r="T104" s="1626">
        <v>0.2</v>
      </c>
      <c r="U104" s="1618">
        <v>0.2</v>
      </c>
      <c r="V104" s="1623">
        <v>0.2</v>
      </c>
      <c r="W104" s="1625"/>
      <c r="X104" s="1623"/>
      <c r="Y104" s="1623"/>
      <c r="Z104" s="1620"/>
    </row>
    <row r="105" spans="1:26">
      <c r="B105" s="1597" t="str">
        <f t="shared" si="15"/>
        <v>3.3.3</v>
      </c>
      <c r="C105" s="1614" t="str">
        <f t="shared" si="16"/>
        <v>電気配線の更新性</v>
      </c>
      <c r="D105" s="1615">
        <f t="shared" si="22"/>
        <v>1.1999999999999997E-2</v>
      </c>
      <c r="E105" s="1615">
        <f t="shared" si="22"/>
        <v>0</v>
      </c>
      <c r="F105" s="1559"/>
      <c r="G105" s="1616">
        <f t="shared" si="17"/>
        <v>9.9999999999999992E-2</v>
      </c>
      <c r="H105" s="1616">
        <f t="shared" si="18"/>
        <v>0</v>
      </c>
      <c r="I105" s="1644"/>
      <c r="J105" s="1647" t="s">
        <v>1544</v>
      </c>
      <c r="K105" s="1693" t="s">
        <v>360</v>
      </c>
      <c r="L105" s="2064" t="s">
        <v>363</v>
      </c>
      <c r="M105" s="1618">
        <v>0.1</v>
      </c>
      <c r="N105" s="1618">
        <v>0.1</v>
      </c>
      <c r="O105" s="1618">
        <v>0.1</v>
      </c>
      <c r="P105" s="1618">
        <v>0.1</v>
      </c>
      <c r="Q105" s="1618">
        <v>0.1</v>
      </c>
      <c r="R105" s="1618">
        <v>0.1</v>
      </c>
      <c r="S105" s="1618">
        <v>0.1</v>
      </c>
      <c r="T105" s="1626">
        <v>0.1</v>
      </c>
      <c r="U105" s="1618">
        <v>0.1</v>
      </c>
      <c r="V105" s="1623">
        <v>0.1</v>
      </c>
      <c r="W105" s="1625"/>
      <c r="X105" s="1623"/>
      <c r="Y105" s="1623"/>
      <c r="Z105" s="1620"/>
    </row>
    <row r="106" spans="1:26">
      <c r="B106" s="1597" t="str">
        <f t="shared" ref="B106:B141" si="23">J106</f>
        <v>3.3.4</v>
      </c>
      <c r="C106" s="1614" t="str">
        <f t="shared" ref="C106:C141" si="24">L106</f>
        <v>通信配線の更新性</v>
      </c>
      <c r="D106" s="1615">
        <f t="shared" si="22"/>
        <v>1.1999999999999997E-2</v>
      </c>
      <c r="E106" s="1615">
        <f t="shared" si="22"/>
        <v>0</v>
      </c>
      <c r="F106" s="1559"/>
      <c r="G106" s="1616">
        <f t="shared" si="17"/>
        <v>9.9999999999999992E-2</v>
      </c>
      <c r="H106" s="1616">
        <f t="shared" si="18"/>
        <v>0</v>
      </c>
      <c r="I106" s="1644"/>
      <c r="J106" s="1647" t="s">
        <v>1545</v>
      </c>
      <c r="K106" s="1693" t="s">
        <v>360</v>
      </c>
      <c r="L106" s="2064" t="s">
        <v>364</v>
      </c>
      <c r="M106" s="1618">
        <v>0.1</v>
      </c>
      <c r="N106" s="1618">
        <v>0.1</v>
      </c>
      <c r="O106" s="1618">
        <v>0.1</v>
      </c>
      <c r="P106" s="1618">
        <v>0.1</v>
      </c>
      <c r="Q106" s="1618">
        <v>0.1</v>
      </c>
      <c r="R106" s="1618">
        <v>0.1</v>
      </c>
      <c r="S106" s="1618">
        <v>0.1</v>
      </c>
      <c r="T106" s="1626">
        <v>0.1</v>
      </c>
      <c r="U106" s="1618">
        <v>0.1</v>
      </c>
      <c r="V106" s="1623">
        <v>0.1</v>
      </c>
      <c r="W106" s="1625"/>
      <c r="X106" s="1623"/>
      <c r="Y106" s="1623"/>
      <c r="Z106" s="1620"/>
    </row>
    <row r="107" spans="1:26">
      <c r="B107" s="1597" t="str">
        <f t="shared" si="23"/>
        <v>3.3.5</v>
      </c>
      <c r="C107" s="1614" t="str">
        <f t="shared" si="24"/>
        <v>設備機器の更新性</v>
      </c>
      <c r="D107" s="1615">
        <f t="shared" si="22"/>
        <v>2.3999999999999994E-2</v>
      </c>
      <c r="E107" s="1615">
        <f t="shared" si="22"/>
        <v>0</v>
      </c>
      <c r="F107" s="1559"/>
      <c r="G107" s="1616">
        <f t="shared" si="17"/>
        <v>0.19999999999999998</v>
      </c>
      <c r="H107" s="1616">
        <f t="shared" si="18"/>
        <v>0</v>
      </c>
      <c r="I107" s="1644"/>
      <c r="J107" s="1647" t="s">
        <v>1547</v>
      </c>
      <c r="K107" s="1693" t="s">
        <v>360</v>
      </c>
      <c r="L107" s="2064" t="s">
        <v>365</v>
      </c>
      <c r="M107" s="1618">
        <v>0.2</v>
      </c>
      <c r="N107" s="1618">
        <v>0.2</v>
      </c>
      <c r="O107" s="1618">
        <v>0.2</v>
      </c>
      <c r="P107" s="1618">
        <v>0.2</v>
      </c>
      <c r="Q107" s="1618">
        <v>0.2</v>
      </c>
      <c r="R107" s="1618">
        <v>0.2</v>
      </c>
      <c r="S107" s="1618">
        <v>0.2</v>
      </c>
      <c r="T107" s="1626">
        <v>0.2</v>
      </c>
      <c r="U107" s="1618">
        <v>0.2</v>
      </c>
      <c r="V107" s="1623">
        <v>0.2</v>
      </c>
      <c r="W107" s="1625"/>
      <c r="X107" s="1623"/>
      <c r="Y107" s="1623"/>
      <c r="Z107" s="1620"/>
    </row>
    <row r="108" spans="1:26">
      <c r="B108" s="1597" t="str">
        <f t="shared" si="23"/>
        <v>3.3.6</v>
      </c>
      <c r="C108" s="1614" t="str">
        <f t="shared" si="24"/>
        <v>バックアップスペースの確保</v>
      </c>
      <c r="D108" s="1615">
        <f t="shared" si="22"/>
        <v>2.3999999999999994E-2</v>
      </c>
      <c r="E108" s="1615">
        <f t="shared" si="22"/>
        <v>0</v>
      </c>
      <c r="F108" s="1559"/>
      <c r="G108" s="1616">
        <f t="shared" si="17"/>
        <v>0.19999999999999998</v>
      </c>
      <c r="H108" s="1616">
        <f t="shared" si="18"/>
        <v>0</v>
      </c>
      <c r="I108" s="1644"/>
      <c r="J108" s="1647" t="s">
        <v>1548</v>
      </c>
      <c r="K108" s="1693" t="s">
        <v>360</v>
      </c>
      <c r="L108" s="2064" t="s">
        <v>770</v>
      </c>
      <c r="M108" s="1618">
        <v>0.2</v>
      </c>
      <c r="N108" s="1618">
        <v>0.2</v>
      </c>
      <c r="O108" s="1618">
        <v>0.2</v>
      </c>
      <c r="P108" s="1618">
        <v>0.2</v>
      </c>
      <c r="Q108" s="1618">
        <v>0.2</v>
      </c>
      <c r="R108" s="1618">
        <v>0.2</v>
      </c>
      <c r="S108" s="1618">
        <v>0.2</v>
      </c>
      <c r="T108" s="1626">
        <v>0.2</v>
      </c>
      <c r="U108" s="1618">
        <v>0.2</v>
      </c>
      <c r="V108" s="1623">
        <v>0.2</v>
      </c>
      <c r="W108" s="1625"/>
      <c r="X108" s="1623"/>
      <c r="Y108" s="1623"/>
      <c r="Z108" s="1620"/>
    </row>
    <row r="109" spans="1:26" s="1605" customFormat="1">
      <c r="A109"/>
      <c r="B109" s="1597" t="str">
        <f t="shared" si="23"/>
        <v>Q3</v>
      </c>
      <c r="C109" s="1597" t="str">
        <f t="shared" si="24"/>
        <v>室外環境（敷地内）</v>
      </c>
      <c r="D109" s="1599">
        <f t="shared" ref="D109:E111" si="25">G109</f>
        <v>0.3</v>
      </c>
      <c r="E109" s="1599">
        <f t="shared" si="25"/>
        <v>0</v>
      </c>
      <c r="F109" s="1559"/>
      <c r="G109" s="1600">
        <f t="shared" si="17"/>
        <v>0.3</v>
      </c>
      <c r="H109" s="1600">
        <f t="shared" si="18"/>
        <v>0</v>
      </c>
      <c r="I109" s="1640"/>
      <c r="J109" s="1597" t="s">
        <v>1550</v>
      </c>
      <c r="K109" s="2059" t="s">
        <v>276</v>
      </c>
      <c r="L109" s="2058" t="s">
        <v>1552</v>
      </c>
      <c r="M109" s="1603">
        <v>0.3</v>
      </c>
      <c r="N109" s="1603">
        <v>0.3</v>
      </c>
      <c r="O109" s="1603">
        <v>0.3</v>
      </c>
      <c r="P109" s="1603">
        <v>0.3</v>
      </c>
      <c r="Q109" s="1603">
        <v>0.3</v>
      </c>
      <c r="R109" s="1603">
        <v>0.3</v>
      </c>
      <c r="S109" s="1603">
        <v>0.3</v>
      </c>
      <c r="T109" s="1603">
        <v>0.3</v>
      </c>
      <c r="U109" s="1603">
        <v>0.4</v>
      </c>
      <c r="V109" s="2060">
        <v>0.3</v>
      </c>
      <c r="W109" s="2061">
        <v>0</v>
      </c>
      <c r="X109" s="2060">
        <v>0</v>
      </c>
      <c r="Y109" s="2060">
        <v>0</v>
      </c>
      <c r="Z109" s="1604"/>
    </row>
    <row r="110" spans="1:26" s="1605" customFormat="1">
      <c r="A110"/>
      <c r="B110" s="1597">
        <f t="shared" si="23"/>
        <v>1</v>
      </c>
      <c r="C110" s="1628" t="str">
        <f t="shared" si="24"/>
        <v>生物資源の保全と創出</v>
      </c>
      <c r="D110" s="1608">
        <f t="shared" si="25"/>
        <v>0.3</v>
      </c>
      <c r="E110" s="1608">
        <f t="shared" si="25"/>
        <v>0</v>
      </c>
      <c r="F110" s="1559"/>
      <c r="G110" s="1609">
        <f t="shared" si="17"/>
        <v>0.3</v>
      </c>
      <c r="H110" s="1609">
        <f t="shared" si="18"/>
        <v>0</v>
      </c>
      <c r="I110" s="1642"/>
      <c r="J110" s="1641">
        <v>1</v>
      </c>
      <c r="K110" s="1744" t="s">
        <v>366</v>
      </c>
      <c r="L110" s="1787" t="s">
        <v>945</v>
      </c>
      <c r="M110" s="1610">
        <v>0.3</v>
      </c>
      <c r="N110" s="1610">
        <v>0.3</v>
      </c>
      <c r="O110" s="1610">
        <v>0.3</v>
      </c>
      <c r="P110" s="1610">
        <v>0.3</v>
      </c>
      <c r="Q110" s="1610">
        <v>0.3</v>
      </c>
      <c r="R110" s="1610">
        <v>0.3</v>
      </c>
      <c r="S110" s="1610">
        <v>0.3</v>
      </c>
      <c r="T110" s="1646">
        <v>0.3</v>
      </c>
      <c r="U110" s="1610">
        <v>0.3</v>
      </c>
      <c r="V110" s="1711">
        <v>0.3</v>
      </c>
      <c r="W110" s="2063">
        <v>0</v>
      </c>
      <c r="X110" s="1711">
        <v>0</v>
      </c>
      <c r="Y110" s="1711">
        <v>0</v>
      </c>
      <c r="Z110" s="1612"/>
    </row>
    <row r="111" spans="1:26" s="1605" customFormat="1">
      <c r="A111"/>
      <c r="B111" s="1597">
        <f t="shared" si="23"/>
        <v>2</v>
      </c>
      <c r="C111" s="1628" t="str">
        <f t="shared" si="24"/>
        <v>まちなみ・景観への配慮</v>
      </c>
      <c r="D111" s="1608">
        <f t="shared" si="25"/>
        <v>0.39999999999999997</v>
      </c>
      <c r="E111" s="1608">
        <f t="shared" si="25"/>
        <v>0</v>
      </c>
      <c r="F111" s="1559"/>
      <c r="G111" s="1609">
        <f t="shared" si="17"/>
        <v>0.39999999999999997</v>
      </c>
      <c r="H111" s="1609">
        <f t="shared" si="18"/>
        <v>0</v>
      </c>
      <c r="I111" s="1642"/>
      <c r="J111" s="1641">
        <v>2</v>
      </c>
      <c r="K111" s="1744" t="s">
        <v>366</v>
      </c>
      <c r="L111" s="1787" t="s">
        <v>1554</v>
      </c>
      <c r="M111" s="1610">
        <v>0.4</v>
      </c>
      <c r="N111" s="1610">
        <v>0.4</v>
      </c>
      <c r="O111" s="1610">
        <v>0.4</v>
      </c>
      <c r="P111" s="1610">
        <v>0.4</v>
      </c>
      <c r="Q111" s="1610">
        <v>0.4</v>
      </c>
      <c r="R111" s="1610">
        <v>0.4</v>
      </c>
      <c r="S111" s="1610">
        <v>0.4</v>
      </c>
      <c r="T111" s="1646">
        <v>0.4</v>
      </c>
      <c r="U111" s="1610">
        <v>0.4</v>
      </c>
      <c r="V111" s="1711">
        <v>0.4</v>
      </c>
      <c r="W111" s="2063">
        <v>0</v>
      </c>
      <c r="X111" s="1711">
        <v>0</v>
      </c>
      <c r="Y111" s="1711">
        <v>0</v>
      </c>
      <c r="Z111" s="1612"/>
    </row>
    <row r="112" spans="1:26" s="1605" customFormat="1">
      <c r="A112"/>
      <c r="B112" s="1597">
        <f t="shared" si="23"/>
        <v>3</v>
      </c>
      <c r="C112" s="1628" t="str">
        <f t="shared" si="24"/>
        <v>地域性・アメニティへの配慮</v>
      </c>
      <c r="D112" s="1608">
        <f>SUM(D113:D114)</f>
        <v>0.3</v>
      </c>
      <c r="E112" s="1608">
        <f>SUM(E113:E114)</f>
        <v>0</v>
      </c>
      <c r="F112" s="1559"/>
      <c r="G112" s="1609">
        <f t="shared" si="17"/>
        <v>0.3</v>
      </c>
      <c r="H112" s="1609">
        <f t="shared" si="18"/>
        <v>0</v>
      </c>
      <c r="I112" s="1642"/>
      <c r="J112" s="1641">
        <v>3</v>
      </c>
      <c r="K112" s="1744" t="s">
        <v>366</v>
      </c>
      <c r="L112" s="1787" t="s">
        <v>1555</v>
      </c>
      <c r="M112" s="1610">
        <v>0.3</v>
      </c>
      <c r="N112" s="1610">
        <v>0.3</v>
      </c>
      <c r="O112" s="1610">
        <v>0.3</v>
      </c>
      <c r="P112" s="1610">
        <v>0.3</v>
      </c>
      <c r="Q112" s="1610">
        <v>0.3</v>
      </c>
      <c r="R112" s="1610">
        <v>0.3</v>
      </c>
      <c r="S112" s="1610">
        <v>0.3</v>
      </c>
      <c r="T112" s="1646">
        <v>0.3</v>
      </c>
      <c r="U112" s="1610">
        <v>0.3</v>
      </c>
      <c r="V112" s="1711">
        <v>0.3</v>
      </c>
      <c r="W112" s="2063">
        <v>0</v>
      </c>
      <c r="X112" s="1711">
        <v>0</v>
      </c>
      <c r="Y112" s="1711">
        <v>0</v>
      </c>
      <c r="Z112" s="1612"/>
    </row>
    <row r="113" spans="1:26" s="1605" customFormat="1">
      <c r="A113"/>
      <c r="B113" s="1597" t="str">
        <f t="shared" si="23"/>
        <v>3.1</v>
      </c>
      <c r="C113" s="1660" t="str">
        <f t="shared" si="24"/>
        <v>地域性への配慮、快適性の向上</v>
      </c>
      <c r="D113" s="1615">
        <f>G$112*G113</f>
        <v>0.15</v>
      </c>
      <c r="E113" s="1615">
        <f>H$112*H113</f>
        <v>0</v>
      </c>
      <c r="F113" s="1559"/>
      <c r="G113" s="1616">
        <f t="shared" si="17"/>
        <v>0.5</v>
      </c>
      <c r="H113" s="1616">
        <f t="shared" si="18"/>
        <v>0</v>
      </c>
      <c r="I113" s="1642"/>
      <c r="J113" s="1647" t="s">
        <v>1557</v>
      </c>
      <c r="K113" s="1693" t="s">
        <v>367</v>
      </c>
      <c r="L113" s="2086" t="s">
        <v>1559</v>
      </c>
      <c r="M113" s="1661">
        <v>0.5</v>
      </c>
      <c r="N113" s="1661">
        <v>0.5</v>
      </c>
      <c r="O113" s="1661">
        <v>0.5</v>
      </c>
      <c r="P113" s="1661">
        <v>0.5</v>
      </c>
      <c r="Q113" s="1661">
        <v>0.5</v>
      </c>
      <c r="R113" s="1661">
        <v>0.5</v>
      </c>
      <c r="S113" s="1661">
        <v>0.5</v>
      </c>
      <c r="T113" s="1661">
        <v>0.5</v>
      </c>
      <c r="U113" s="1661">
        <v>0.5</v>
      </c>
      <c r="V113" s="2087">
        <v>0.5</v>
      </c>
      <c r="W113" s="2088">
        <v>0</v>
      </c>
      <c r="X113" s="2087">
        <v>0</v>
      </c>
      <c r="Y113" s="2087">
        <v>0</v>
      </c>
      <c r="Z113" s="1612"/>
    </row>
    <row r="114" spans="1:26" s="1605" customFormat="1">
      <c r="A114"/>
      <c r="B114" s="1597" t="str">
        <f t="shared" si="23"/>
        <v>3.2</v>
      </c>
      <c r="C114" s="1660" t="str">
        <f t="shared" si="24"/>
        <v>敷地内温熱環境の向上</v>
      </c>
      <c r="D114" s="1615">
        <f>G$112*G114</f>
        <v>0.15</v>
      </c>
      <c r="E114" s="1615">
        <f>H$112*H114</f>
        <v>0</v>
      </c>
      <c r="F114" s="1559"/>
      <c r="G114" s="1616">
        <f t="shared" si="17"/>
        <v>0.5</v>
      </c>
      <c r="H114" s="1616">
        <f t="shared" si="18"/>
        <v>0</v>
      </c>
      <c r="I114" s="1642"/>
      <c r="J114" s="1647" t="s">
        <v>1561</v>
      </c>
      <c r="K114" s="1693" t="s">
        <v>367</v>
      </c>
      <c r="L114" s="2086" t="s">
        <v>1563</v>
      </c>
      <c r="M114" s="1661">
        <v>0.5</v>
      </c>
      <c r="N114" s="1661">
        <v>0.5</v>
      </c>
      <c r="O114" s="1661">
        <v>0.5</v>
      </c>
      <c r="P114" s="1661">
        <v>0.5</v>
      </c>
      <c r="Q114" s="1661">
        <v>0.5</v>
      </c>
      <c r="R114" s="1661">
        <v>0.5</v>
      </c>
      <c r="S114" s="1661">
        <v>0.5</v>
      </c>
      <c r="T114" s="1661">
        <v>0.5</v>
      </c>
      <c r="U114" s="1661">
        <v>0.5</v>
      </c>
      <c r="V114" s="2087">
        <v>0.5</v>
      </c>
      <c r="W114" s="2088">
        <v>0</v>
      </c>
      <c r="X114" s="2087">
        <v>0</v>
      </c>
      <c r="Y114" s="2087">
        <v>0</v>
      </c>
      <c r="Z114" s="1612"/>
    </row>
    <row r="115" spans="1:26" s="1605" customFormat="1" hidden="1">
      <c r="A115"/>
      <c r="B115" s="1597">
        <f t="shared" si="23"/>
        <v>0</v>
      </c>
      <c r="C115" s="1664">
        <f t="shared" si="24"/>
        <v>0</v>
      </c>
      <c r="D115" s="1664"/>
      <c r="E115" s="1664"/>
      <c r="F115" s="1559"/>
      <c r="G115" s="1665">
        <f t="shared" si="17"/>
        <v>0</v>
      </c>
      <c r="H115" s="1665">
        <f t="shared" si="18"/>
        <v>0</v>
      </c>
      <c r="I115" s="1642"/>
      <c r="J115" s="1641"/>
      <c r="K115" s="1744" t="s">
        <v>276</v>
      </c>
      <c r="L115" s="1787"/>
      <c r="M115" s="1711">
        <v>0</v>
      </c>
      <c r="N115" s="1711">
        <v>0</v>
      </c>
      <c r="O115" s="1711">
        <v>0</v>
      </c>
      <c r="P115" s="1711">
        <v>0</v>
      </c>
      <c r="Q115" s="1711">
        <v>0</v>
      </c>
      <c r="R115" s="1711">
        <v>0</v>
      </c>
      <c r="S115" s="1711">
        <v>0</v>
      </c>
      <c r="T115" s="2083">
        <v>0</v>
      </c>
      <c r="U115" s="1711">
        <v>0</v>
      </c>
      <c r="V115" s="1711">
        <v>0</v>
      </c>
      <c r="W115" s="2063">
        <v>0</v>
      </c>
      <c r="X115" s="1711">
        <v>0</v>
      </c>
      <c r="Y115" s="1711">
        <v>0</v>
      </c>
      <c r="Z115" s="1612"/>
    </row>
    <row r="116" spans="1:26" s="1596" customFormat="1" ht="14.25">
      <c r="A116"/>
      <c r="B116" s="2089" t="str">
        <f t="shared" si="23"/>
        <v>LR</v>
      </c>
      <c r="C116" s="1587" t="str">
        <f t="shared" si="24"/>
        <v>建築物の環境負荷低減性</v>
      </c>
      <c r="D116" s="1667"/>
      <c r="E116" s="1667"/>
      <c r="F116" s="1559"/>
      <c r="G116" s="1589">
        <f t="shared" si="17"/>
        <v>0</v>
      </c>
      <c r="H116" s="1589">
        <f t="shared" si="18"/>
        <v>0</v>
      </c>
      <c r="I116" s="1590"/>
      <c r="J116" s="2049" t="s">
        <v>1564</v>
      </c>
      <c r="K116" s="2045" t="s">
        <v>425</v>
      </c>
      <c r="L116" s="2046" t="s">
        <v>426</v>
      </c>
      <c r="M116" s="2051">
        <v>0</v>
      </c>
      <c r="N116" s="2051">
        <v>0</v>
      </c>
      <c r="O116" s="2051">
        <v>0</v>
      </c>
      <c r="P116" s="2051">
        <v>0</v>
      </c>
      <c r="Q116" s="2051">
        <v>0</v>
      </c>
      <c r="R116" s="2051">
        <v>0</v>
      </c>
      <c r="S116" s="2051">
        <v>0</v>
      </c>
      <c r="T116" s="2052">
        <v>0</v>
      </c>
      <c r="U116" s="2051">
        <v>0</v>
      </c>
      <c r="V116" s="2051">
        <v>0</v>
      </c>
      <c r="W116" s="2053">
        <v>0</v>
      </c>
      <c r="X116" s="2054">
        <v>0</v>
      </c>
      <c r="Y116" s="2054">
        <v>0</v>
      </c>
      <c r="Z116" s="1595"/>
    </row>
    <row r="117" spans="1:26" s="1605" customFormat="1">
      <c r="A117"/>
      <c r="B117" s="1597" t="str">
        <f t="shared" si="23"/>
        <v>LR1</v>
      </c>
      <c r="C117" s="1597" t="str">
        <f t="shared" si="24"/>
        <v>エネルギー</v>
      </c>
      <c r="D117" s="1599">
        <f>G117</f>
        <v>0.39999999999999997</v>
      </c>
      <c r="E117" s="1599">
        <f>H117</f>
        <v>0</v>
      </c>
      <c r="F117" s="1559"/>
      <c r="G117" s="1600">
        <f t="shared" si="17"/>
        <v>0.39999999999999997</v>
      </c>
      <c r="H117" s="1600">
        <f t="shared" si="18"/>
        <v>0</v>
      </c>
      <c r="I117" s="1640"/>
      <c r="J117" s="1597" t="s">
        <v>1565</v>
      </c>
      <c r="K117" s="2059" t="s">
        <v>1567</v>
      </c>
      <c r="L117" s="2058" t="s">
        <v>1569</v>
      </c>
      <c r="M117" s="2060">
        <v>0.4</v>
      </c>
      <c r="N117" s="2060">
        <v>0.4</v>
      </c>
      <c r="O117" s="2060">
        <v>0.4</v>
      </c>
      <c r="P117" s="2060">
        <v>0.4</v>
      </c>
      <c r="Q117" s="2060">
        <v>0.4</v>
      </c>
      <c r="R117" s="2060">
        <v>0.4</v>
      </c>
      <c r="S117" s="2060">
        <v>0.4</v>
      </c>
      <c r="T117" s="2060">
        <v>0.4</v>
      </c>
      <c r="U117" s="2060">
        <v>0.4</v>
      </c>
      <c r="V117" s="2060">
        <v>0.4</v>
      </c>
      <c r="W117" s="2061"/>
      <c r="X117" s="2060"/>
      <c r="Y117" s="2060"/>
      <c r="Z117" s="1604"/>
    </row>
    <row r="118" spans="1:26" s="1605" customFormat="1">
      <c r="A118"/>
      <c r="B118" s="1597">
        <f t="shared" si="23"/>
        <v>1</v>
      </c>
      <c r="C118" s="1641" t="str">
        <f t="shared" si="24"/>
        <v>建物外皮の熱負荷抑制</v>
      </c>
      <c r="D118" s="1608">
        <f>G118</f>
        <v>0.19999999999999998</v>
      </c>
      <c r="E118" s="1608">
        <f>H118</f>
        <v>0</v>
      </c>
      <c r="F118" s="1559"/>
      <c r="G118" s="1609">
        <f t="shared" si="17"/>
        <v>0.19999999999999998</v>
      </c>
      <c r="H118" s="1609">
        <f t="shared" si="18"/>
        <v>0</v>
      </c>
      <c r="I118" s="1642"/>
      <c r="J118" s="1673">
        <v>1</v>
      </c>
      <c r="K118" s="1744" t="s">
        <v>369</v>
      </c>
      <c r="L118" s="1780" t="s">
        <v>1570</v>
      </c>
      <c r="M118" s="2079">
        <v>0.2</v>
      </c>
      <c r="N118" s="2079">
        <v>0.2</v>
      </c>
      <c r="O118" s="2079">
        <v>0.2</v>
      </c>
      <c r="P118" s="2079">
        <v>0.2</v>
      </c>
      <c r="Q118" s="2079">
        <v>0.2</v>
      </c>
      <c r="R118" s="2079">
        <v>0.2</v>
      </c>
      <c r="S118" s="2079">
        <v>0.2</v>
      </c>
      <c r="T118" s="2079">
        <v>0.2</v>
      </c>
      <c r="U118" s="2079"/>
      <c r="V118" s="2079">
        <v>0.2</v>
      </c>
      <c r="W118" s="2063"/>
      <c r="X118" s="1711"/>
      <c r="Y118" s="1711"/>
      <c r="Z118" s="1612"/>
    </row>
    <row r="119" spans="1:26" s="1605" customFormat="1">
      <c r="A119"/>
      <c r="B119" s="1597">
        <f t="shared" si="23"/>
        <v>2</v>
      </c>
      <c r="C119" s="1641" t="str">
        <f t="shared" si="24"/>
        <v>自然エネルギー利用</v>
      </c>
      <c r="D119" s="1608">
        <f>SUM(D120:D121)</f>
        <v>9.9999999999999992E-2</v>
      </c>
      <c r="E119" s="1608">
        <f>SUM(E120:E121)</f>
        <v>0</v>
      </c>
      <c r="F119" s="1559"/>
      <c r="G119" s="1609">
        <f t="shared" ref="G119:G121" si="26">SUMPRODUCT($M$7:$Y$7,M119:Y119)</f>
        <v>9.9999999999999992E-2</v>
      </c>
      <c r="H119" s="1609">
        <f>(W$7*W119)+(X$7*X119)+(Y$7*Y119)</f>
        <v>0</v>
      </c>
      <c r="I119" s="1642"/>
      <c r="J119" s="1641">
        <v>2</v>
      </c>
      <c r="K119" s="1744" t="s">
        <v>369</v>
      </c>
      <c r="L119" s="1780" t="s">
        <v>783</v>
      </c>
      <c r="M119" s="2079">
        <v>0.1</v>
      </c>
      <c r="N119" s="2079">
        <v>0.1</v>
      </c>
      <c r="O119" s="2079">
        <v>0.1</v>
      </c>
      <c r="P119" s="2079">
        <v>0.1</v>
      </c>
      <c r="Q119" s="2079">
        <v>0.1</v>
      </c>
      <c r="R119" s="2079">
        <v>0.1</v>
      </c>
      <c r="S119" s="2079">
        <v>0.1</v>
      </c>
      <c r="T119" s="2079">
        <v>0.1</v>
      </c>
      <c r="U119" s="2352">
        <v>0.125</v>
      </c>
      <c r="V119" s="2079">
        <v>0.1</v>
      </c>
      <c r="W119" s="2063"/>
      <c r="X119" s="1711"/>
      <c r="Y119" s="1711"/>
      <c r="Z119" s="1612"/>
    </row>
    <row r="120" spans="1:26" s="1605" customFormat="1">
      <c r="A120"/>
      <c r="B120" s="1597" t="str">
        <f t="shared" si="23"/>
        <v>2a</v>
      </c>
      <c r="C120" s="1641" t="str">
        <f t="shared" si="24"/>
        <v>小中学校・集合住宅</v>
      </c>
      <c r="D120" s="1615">
        <f>G$119*G120</f>
        <v>0</v>
      </c>
      <c r="E120" s="1615">
        <f>H$119*H120</f>
        <v>0</v>
      </c>
      <c r="F120" s="1559"/>
      <c r="G120" s="1616">
        <f>SUMPRODUCT($M$7:$Y$7,M120:Y120)</f>
        <v>0</v>
      </c>
      <c r="H120" s="1616">
        <f t="shared" ref="H120:H121" si="27">(W$7*W120)+(X$7*X120)+(Y$7*Y120)</f>
        <v>0</v>
      </c>
      <c r="I120" s="1642"/>
      <c r="J120" s="1647" t="s">
        <v>1830</v>
      </c>
      <c r="K120" s="1744" t="s">
        <v>1835</v>
      </c>
      <c r="L120" s="1780" t="s">
        <v>1448</v>
      </c>
      <c r="M120" s="1736"/>
      <c r="N120" s="1736"/>
      <c r="O120" s="1736"/>
      <c r="P120" s="1736"/>
      <c r="Q120" s="1736"/>
      <c r="R120" s="1736"/>
      <c r="S120" s="1736">
        <v>1</v>
      </c>
      <c r="T120" s="1736"/>
      <c r="U120" s="1736"/>
      <c r="V120" s="1736">
        <v>1</v>
      </c>
      <c r="W120" s="2063"/>
      <c r="X120" s="1711"/>
      <c r="Y120" s="1711"/>
      <c r="Z120" s="1612"/>
    </row>
    <row r="121" spans="1:26" s="1605" customFormat="1">
      <c r="A121"/>
      <c r="B121" s="1597" t="str">
        <f t="shared" si="23"/>
        <v>2b</v>
      </c>
      <c r="C121" s="1641" t="str">
        <f t="shared" si="24"/>
        <v>上記以外</v>
      </c>
      <c r="D121" s="1615">
        <f>G$119*G121</f>
        <v>9.9999999999999992E-2</v>
      </c>
      <c r="E121" s="1615">
        <f>H$119*H121</f>
        <v>0</v>
      </c>
      <c r="F121" s="1559"/>
      <c r="G121" s="1616">
        <f t="shared" si="26"/>
        <v>1</v>
      </c>
      <c r="H121" s="1616">
        <f t="shared" si="27"/>
        <v>0</v>
      </c>
      <c r="I121" s="1642"/>
      <c r="J121" s="1647" t="s">
        <v>1832</v>
      </c>
      <c r="K121" s="1744" t="s">
        <v>1835</v>
      </c>
      <c r="L121" s="1780" t="s">
        <v>1449</v>
      </c>
      <c r="M121" s="1736">
        <v>1</v>
      </c>
      <c r="N121" s="1736">
        <v>1</v>
      </c>
      <c r="O121" s="1736">
        <v>1</v>
      </c>
      <c r="P121" s="1736">
        <v>1</v>
      </c>
      <c r="Q121" s="1736">
        <v>1</v>
      </c>
      <c r="R121" s="1736">
        <v>1</v>
      </c>
      <c r="S121" s="1736"/>
      <c r="T121" s="1736">
        <v>1</v>
      </c>
      <c r="U121" s="1736">
        <v>1</v>
      </c>
      <c r="V121" s="1736"/>
      <c r="W121" s="2063"/>
      <c r="X121" s="1711"/>
      <c r="Y121" s="1711"/>
      <c r="Z121" s="1612"/>
    </row>
    <row r="122" spans="1:26" s="1605" customFormat="1" hidden="1">
      <c r="A122"/>
      <c r="B122" s="1597" t="str">
        <f t="shared" si="23"/>
        <v>2.1</v>
      </c>
      <c r="C122" s="1647" t="str">
        <f t="shared" si="24"/>
        <v>自然エネルギーの直接利用</v>
      </c>
      <c r="D122" s="1615">
        <f>G$119*G121*G122</f>
        <v>0</v>
      </c>
      <c r="E122" s="1615">
        <f>H$119*H121*H122</f>
        <v>0</v>
      </c>
      <c r="F122" s="1559"/>
      <c r="G122" s="1616">
        <f t="shared" si="17"/>
        <v>0</v>
      </c>
      <c r="H122" s="1616">
        <f t="shared" si="18"/>
        <v>0</v>
      </c>
      <c r="I122" s="1644"/>
      <c r="J122" s="1647" t="s">
        <v>1572</v>
      </c>
      <c r="K122" s="1693" t="s">
        <v>370</v>
      </c>
      <c r="L122" s="1737" t="s">
        <v>784</v>
      </c>
      <c r="M122" s="1623"/>
      <c r="N122" s="1623"/>
      <c r="O122" s="1623"/>
      <c r="P122" s="1623"/>
      <c r="Q122" s="1623"/>
      <c r="R122" s="1623"/>
      <c r="S122" s="1623"/>
      <c r="T122" s="1623"/>
      <c r="U122" s="1623"/>
      <c r="V122" s="1623"/>
      <c r="W122" s="2088"/>
      <c r="X122" s="2087"/>
      <c r="Y122" s="2087"/>
      <c r="Z122" s="1612"/>
    </row>
    <row r="123" spans="1:26" s="1605" customFormat="1" hidden="1">
      <c r="A123"/>
      <c r="B123" s="1597" t="str">
        <f t="shared" si="23"/>
        <v>2.2</v>
      </c>
      <c r="C123" s="1647" t="str">
        <f t="shared" si="24"/>
        <v>自然エネルギーの変換利用</v>
      </c>
      <c r="D123" s="1615">
        <f>G$119*G121*G123</f>
        <v>0</v>
      </c>
      <c r="E123" s="1615">
        <f>H$119*H121*H123</f>
        <v>0</v>
      </c>
      <c r="F123" s="1559"/>
      <c r="G123" s="1616">
        <f t="shared" si="17"/>
        <v>0</v>
      </c>
      <c r="H123" s="1616">
        <f t="shared" si="18"/>
        <v>0</v>
      </c>
      <c r="I123" s="1645"/>
      <c r="J123" s="1647" t="s">
        <v>1574</v>
      </c>
      <c r="K123" s="1693" t="s">
        <v>370</v>
      </c>
      <c r="L123" s="1737" t="s">
        <v>785</v>
      </c>
      <c r="M123" s="1623"/>
      <c r="N123" s="1623"/>
      <c r="O123" s="1623"/>
      <c r="P123" s="1623"/>
      <c r="Q123" s="1623"/>
      <c r="R123" s="1623"/>
      <c r="S123" s="1623"/>
      <c r="T123" s="1623"/>
      <c r="U123" s="1623"/>
      <c r="V123" s="1623"/>
      <c r="W123" s="2088"/>
      <c r="X123" s="2087"/>
      <c r="Y123" s="2087"/>
      <c r="Z123" s="1612"/>
    </row>
    <row r="124" spans="1:26" s="1605" customFormat="1">
      <c r="A124"/>
      <c r="B124" s="1597">
        <f t="shared" si="23"/>
        <v>3</v>
      </c>
      <c r="C124" s="1641" t="str">
        <f t="shared" si="24"/>
        <v>設備システムの高効率化</v>
      </c>
      <c r="D124" s="1608">
        <f>SUM(D125:D131)</f>
        <v>0.5</v>
      </c>
      <c r="E124" s="1608">
        <f>SUM(E125:E131)</f>
        <v>0</v>
      </c>
      <c r="F124" s="1559"/>
      <c r="G124" s="1609">
        <f t="shared" si="17"/>
        <v>0.5</v>
      </c>
      <c r="H124" s="1609">
        <f t="shared" si="18"/>
        <v>0</v>
      </c>
      <c r="I124" s="1642"/>
      <c r="J124" s="1641">
        <v>3</v>
      </c>
      <c r="K124" s="1744" t="s">
        <v>369</v>
      </c>
      <c r="L124" s="1780" t="s">
        <v>786</v>
      </c>
      <c r="M124" s="2079">
        <v>0.5</v>
      </c>
      <c r="N124" s="2079">
        <v>0.5</v>
      </c>
      <c r="O124" s="2079">
        <v>0.5</v>
      </c>
      <c r="P124" s="2079">
        <v>0.5</v>
      </c>
      <c r="Q124" s="2079">
        <v>0.5</v>
      </c>
      <c r="R124" s="2079">
        <v>0.5</v>
      </c>
      <c r="S124" s="2079">
        <v>0.5</v>
      </c>
      <c r="T124" s="2079">
        <v>0.5</v>
      </c>
      <c r="U124" s="2352">
        <v>0.625</v>
      </c>
      <c r="V124" s="2079">
        <v>0.5</v>
      </c>
      <c r="W124" s="2063"/>
      <c r="X124" s="1711"/>
      <c r="Y124" s="1711"/>
      <c r="Z124" s="1612"/>
    </row>
    <row r="125" spans="1:26" s="1605" customFormat="1">
      <c r="A125"/>
      <c r="B125" s="1597" t="str">
        <f t="shared" si="23"/>
        <v>3a.3b</v>
      </c>
      <c r="C125" s="1641" t="str">
        <f t="shared" si="24"/>
        <v>非住宅部分</v>
      </c>
      <c r="D125" s="1615">
        <f>G124*G125</f>
        <v>0.5</v>
      </c>
      <c r="E125" s="1615">
        <f>H124*H125</f>
        <v>0</v>
      </c>
      <c r="F125" s="1559"/>
      <c r="G125" s="1616">
        <f t="shared" si="17"/>
        <v>1</v>
      </c>
      <c r="H125" s="1616">
        <f t="shared" si="18"/>
        <v>0</v>
      </c>
      <c r="I125" s="1642"/>
      <c r="J125" s="1641" t="s">
        <v>1575</v>
      </c>
      <c r="K125" s="1744" t="s">
        <v>1734</v>
      </c>
      <c r="L125" s="1780" t="s">
        <v>1577</v>
      </c>
      <c r="M125" s="1736">
        <v>1</v>
      </c>
      <c r="N125" s="1736">
        <v>1</v>
      </c>
      <c r="O125" s="1736">
        <v>1</v>
      </c>
      <c r="P125" s="1736">
        <v>1</v>
      </c>
      <c r="Q125" s="1736">
        <v>1</v>
      </c>
      <c r="R125" s="1736">
        <v>1</v>
      </c>
      <c r="S125" s="1736"/>
      <c r="T125" s="1736">
        <v>1</v>
      </c>
      <c r="U125" s="1736">
        <v>1</v>
      </c>
      <c r="V125" s="1736">
        <v>1</v>
      </c>
      <c r="W125" s="2063"/>
      <c r="X125" s="1711"/>
      <c r="Y125" s="1711"/>
      <c r="Z125" s="1612"/>
    </row>
    <row r="126" spans="1:26" s="1605" customFormat="1">
      <c r="A126"/>
      <c r="B126" s="1597" t="str">
        <f t="shared" si="23"/>
        <v>3b.c</v>
      </c>
      <c r="C126" s="1641" t="str">
        <f t="shared" si="24"/>
        <v>集合住宅の評価</v>
      </c>
      <c r="D126" s="1615">
        <f>G124*G126</f>
        <v>0</v>
      </c>
      <c r="E126" s="1615">
        <f>H124*H126</f>
        <v>0</v>
      </c>
      <c r="F126" s="1559"/>
      <c r="G126" s="1616">
        <f>SUMPRODUCT($M$7:$Y$7,M126:Y126)</f>
        <v>0</v>
      </c>
      <c r="H126" s="1616">
        <f t="shared" si="18"/>
        <v>0</v>
      </c>
      <c r="I126" s="1642"/>
      <c r="J126" s="1641" t="s">
        <v>1578</v>
      </c>
      <c r="K126" s="1744" t="s">
        <v>1734</v>
      </c>
      <c r="L126" s="1780" t="s">
        <v>138</v>
      </c>
      <c r="M126" s="1675"/>
      <c r="N126" s="1675"/>
      <c r="O126" s="1675"/>
      <c r="P126" s="1675"/>
      <c r="Q126" s="1675"/>
      <c r="R126" s="1675"/>
      <c r="S126" s="1736">
        <v>1</v>
      </c>
      <c r="T126" s="1675"/>
      <c r="U126" s="1675"/>
      <c r="V126" s="1736"/>
      <c r="W126" s="2063"/>
      <c r="X126" s="1711"/>
      <c r="Y126" s="1711"/>
      <c r="Z126" s="1612"/>
    </row>
    <row r="127" spans="1:26" hidden="1">
      <c r="B127" s="1597">
        <f t="shared" si="23"/>
        <v>3.1</v>
      </c>
      <c r="C127" s="1647" t="str">
        <f t="shared" si="24"/>
        <v>空調設備</v>
      </c>
      <c r="D127" s="1615"/>
      <c r="E127" s="1615"/>
      <c r="F127" s="1559"/>
      <c r="G127" s="1616">
        <f t="shared" si="17"/>
        <v>0</v>
      </c>
      <c r="H127" s="1616">
        <f t="shared" si="18"/>
        <v>0</v>
      </c>
      <c r="I127" s="1644"/>
      <c r="J127" s="1647">
        <v>3.1</v>
      </c>
      <c r="K127" s="1693" t="s">
        <v>1580</v>
      </c>
      <c r="L127" s="1737" t="s">
        <v>787</v>
      </c>
      <c r="M127" s="1623"/>
      <c r="N127" s="1623"/>
      <c r="O127" s="1623"/>
      <c r="P127" s="1623"/>
      <c r="Q127" s="1623"/>
      <c r="R127" s="1623"/>
      <c r="S127" s="1623"/>
      <c r="T127" s="1624"/>
      <c r="U127" s="1623"/>
      <c r="V127" s="2357">
        <v>0.65</v>
      </c>
      <c r="W127" s="1625"/>
      <c r="X127" s="1623"/>
      <c r="Y127" s="1623"/>
      <c r="Z127" s="1620"/>
    </row>
    <row r="128" spans="1:26" hidden="1">
      <c r="B128" s="1597">
        <f t="shared" si="23"/>
        <v>3.2</v>
      </c>
      <c r="C128" s="1647" t="str">
        <f t="shared" si="24"/>
        <v>換気設備</v>
      </c>
      <c r="D128" s="1615"/>
      <c r="E128" s="1615"/>
      <c r="F128" s="1559"/>
      <c r="G128" s="1616">
        <f t="shared" si="17"/>
        <v>0</v>
      </c>
      <c r="H128" s="1616">
        <f t="shared" si="18"/>
        <v>0</v>
      </c>
      <c r="I128" s="1645"/>
      <c r="J128" s="1647">
        <v>3.2</v>
      </c>
      <c r="K128" s="1693" t="s">
        <v>1580</v>
      </c>
      <c r="L128" s="1737" t="s">
        <v>788</v>
      </c>
      <c r="M128" s="1623"/>
      <c r="N128" s="1623"/>
      <c r="O128" s="1623"/>
      <c r="P128" s="1623"/>
      <c r="Q128" s="1623"/>
      <c r="R128" s="1623"/>
      <c r="S128" s="1623"/>
      <c r="T128" s="1624"/>
      <c r="U128" s="1623"/>
      <c r="V128" s="2357">
        <v>0.1</v>
      </c>
      <c r="W128" s="1625"/>
      <c r="X128" s="1623"/>
      <c r="Y128" s="1623"/>
      <c r="Z128" s="1632"/>
    </row>
    <row r="129" spans="1:26" hidden="1">
      <c r="B129" s="1597">
        <f t="shared" si="23"/>
        <v>3.3</v>
      </c>
      <c r="C129" s="1647" t="str">
        <f t="shared" si="24"/>
        <v>照明設備</v>
      </c>
      <c r="D129" s="1615"/>
      <c r="E129" s="1615"/>
      <c r="F129" s="1559"/>
      <c r="G129" s="1616">
        <f t="shared" si="17"/>
        <v>0</v>
      </c>
      <c r="H129" s="1616">
        <f t="shared" si="18"/>
        <v>0</v>
      </c>
      <c r="I129" s="1644"/>
      <c r="J129" s="1647">
        <v>3.3</v>
      </c>
      <c r="K129" s="1693" t="s">
        <v>1580</v>
      </c>
      <c r="L129" s="1737" t="s">
        <v>789</v>
      </c>
      <c r="M129" s="1623"/>
      <c r="N129" s="1623"/>
      <c r="O129" s="1623"/>
      <c r="P129" s="1623"/>
      <c r="Q129" s="1623"/>
      <c r="R129" s="1623"/>
      <c r="S129" s="1623"/>
      <c r="T129" s="1624"/>
      <c r="U129" s="1623"/>
      <c r="V129" s="2357">
        <v>0.2</v>
      </c>
      <c r="W129" s="1625"/>
      <c r="X129" s="1623"/>
      <c r="Y129" s="1623"/>
      <c r="Z129" s="1620"/>
    </row>
    <row r="130" spans="1:26" hidden="1">
      <c r="B130" s="1597">
        <f t="shared" si="23"/>
        <v>3.4</v>
      </c>
      <c r="C130" s="1647" t="str">
        <f t="shared" si="24"/>
        <v>給湯設備</v>
      </c>
      <c r="D130" s="1615"/>
      <c r="E130" s="1615"/>
      <c r="F130" s="1559"/>
      <c r="G130" s="1616">
        <f t="shared" si="17"/>
        <v>0</v>
      </c>
      <c r="H130" s="1616">
        <f t="shared" si="18"/>
        <v>0</v>
      </c>
      <c r="I130" s="1645"/>
      <c r="J130" s="2092">
        <v>3.4</v>
      </c>
      <c r="K130" s="1693" t="s">
        <v>1580</v>
      </c>
      <c r="L130" s="1737" t="s">
        <v>371</v>
      </c>
      <c r="M130" s="1623"/>
      <c r="N130" s="1623"/>
      <c r="O130" s="1623"/>
      <c r="P130" s="1623"/>
      <c r="Q130" s="1623"/>
      <c r="R130" s="1623"/>
      <c r="S130" s="1623"/>
      <c r="T130" s="1624"/>
      <c r="U130" s="1623"/>
      <c r="V130" s="2357">
        <v>0.05</v>
      </c>
      <c r="W130" s="1625"/>
      <c r="X130" s="1623"/>
      <c r="Y130" s="1623"/>
      <c r="Z130" s="1632"/>
    </row>
    <row r="131" spans="1:26" hidden="1">
      <c r="B131" s="1597">
        <f t="shared" si="23"/>
        <v>3.5</v>
      </c>
      <c r="C131" s="1647" t="str">
        <f t="shared" si="24"/>
        <v>昇降機設備</v>
      </c>
      <c r="D131" s="1615"/>
      <c r="E131" s="1615"/>
      <c r="F131" s="1559"/>
      <c r="G131" s="1616">
        <f t="shared" si="17"/>
        <v>0</v>
      </c>
      <c r="H131" s="1616">
        <f t="shared" si="18"/>
        <v>0</v>
      </c>
      <c r="I131" s="1645"/>
      <c r="J131" s="2092">
        <v>3.5</v>
      </c>
      <c r="K131" s="1693" t="s">
        <v>1580</v>
      </c>
      <c r="L131" s="1737" t="s">
        <v>790</v>
      </c>
      <c r="M131" s="1623"/>
      <c r="N131" s="1623"/>
      <c r="O131" s="1623"/>
      <c r="P131" s="1623"/>
      <c r="Q131" s="1623"/>
      <c r="R131" s="1623"/>
      <c r="S131" s="1623"/>
      <c r="T131" s="1624"/>
      <c r="U131" s="1623"/>
      <c r="V131" s="1623"/>
      <c r="W131" s="1625"/>
      <c r="X131" s="1623"/>
      <c r="Y131" s="1623"/>
      <c r="Z131" s="1632"/>
    </row>
    <row r="132" spans="1:26">
      <c r="B132" s="1597">
        <f t="shared" si="23"/>
        <v>3</v>
      </c>
      <c r="C132" s="1647" t="str">
        <f t="shared" si="24"/>
        <v>実績値を用いた総合評価</v>
      </c>
      <c r="D132" s="1615">
        <f>D125</f>
        <v>0.5</v>
      </c>
      <c r="E132" s="1615"/>
      <c r="F132" s="1559"/>
      <c r="G132" s="1616">
        <f t="shared" si="17"/>
        <v>1</v>
      </c>
      <c r="H132" s="1616">
        <f t="shared" si="18"/>
        <v>0</v>
      </c>
      <c r="I132" s="1645"/>
      <c r="J132" s="2092">
        <v>3</v>
      </c>
      <c r="K132" s="2358" t="s">
        <v>1735</v>
      </c>
      <c r="L132" s="1780" t="s">
        <v>1720</v>
      </c>
      <c r="M132" s="1623">
        <v>1</v>
      </c>
      <c r="N132" s="1623">
        <v>1</v>
      </c>
      <c r="O132" s="1623">
        <v>1</v>
      </c>
      <c r="P132" s="1623">
        <v>1</v>
      </c>
      <c r="Q132" s="1623">
        <v>1</v>
      </c>
      <c r="R132" s="1623">
        <v>1</v>
      </c>
      <c r="S132" s="1623"/>
      <c r="T132" s="1623">
        <v>1</v>
      </c>
      <c r="U132" s="1623"/>
      <c r="V132" s="1623">
        <v>1</v>
      </c>
      <c r="W132" s="1625"/>
      <c r="X132" s="1623"/>
      <c r="Y132" s="1623"/>
      <c r="Z132" s="1632"/>
    </row>
    <row r="133" spans="1:26" s="1605" customFormat="1">
      <c r="A133"/>
      <c r="B133" s="1597">
        <f t="shared" si="23"/>
        <v>4</v>
      </c>
      <c r="C133" s="1641" t="str">
        <f t="shared" si="24"/>
        <v>効率的運用</v>
      </c>
      <c r="D133" s="1608">
        <f>SUM(D134:D139)</f>
        <v>0.19999999999999998</v>
      </c>
      <c r="E133" s="1608">
        <f>SUM(E134:E139)</f>
        <v>0</v>
      </c>
      <c r="F133" s="1559"/>
      <c r="G133" s="1609">
        <f t="shared" si="17"/>
        <v>0.19999999999999998</v>
      </c>
      <c r="H133" s="1609">
        <f t="shared" si="18"/>
        <v>0</v>
      </c>
      <c r="I133" s="1642"/>
      <c r="J133" s="1673">
        <v>4</v>
      </c>
      <c r="K133" s="1744" t="s">
        <v>369</v>
      </c>
      <c r="L133" s="1780" t="s">
        <v>791</v>
      </c>
      <c r="M133" s="2079">
        <v>0.2</v>
      </c>
      <c r="N133" s="2079">
        <v>0.2</v>
      </c>
      <c r="O133" s="2079">
        <v>0.2</v>
      </c>
      <c r="P133" s="2079">
        <v>0.2</v>
      </c>
      <c r="Q133" s="2079">
        <v>0.2</v>
      </c>
      <c r="R133" s="2079">
        <v>0.2</v>
      </c>
      <c r="S133" s="2079">
        <v>0.2</v>
      </c>
      <c r="T133" s="2079">
        <v>0.2</v>
      </c>
      <c r="U133" s="2079">
        <v>0.25</v>
      </c>
      <c r="V133" s="2079">
        <v>0.2</v>
      </c>
      <c r="W133" s="2063"/>
      <c r="X133" s="1711"/>
      <c r="Y133" s="1711"/>
      <c r="Z133" s="1612"/>
    </row>
    <row r="134" spans="1:26">
      <c r="B134" s="1597">
        <f t="shared" si="23"/>
        <v>4.0999999999999996</v>
      </c>
      <c r="C134" s="1647" t="str">
        <f t="shared" si="24"/>
        <v>住宅以外の評価</v>
      </c>
      <c r="D134" s="1615"/>
      <c r="E134" s="1615"/>
      <c r="F134" s="1559"/>
      <c r="G134" s="1616">
        <f>SUMPRODUCT($M$7:$Y$7,M134:Y134)</f>
        <v>1</v>
      </c>
      <c r="H134" s="1616">
        <f t="shared" si="18"/>
        <v>0</v>
      </c>
      <c r="I134" s="1677"/>
      <c r="J134" s="1647">
        <v>4.0999999999999996</v>
      </c>
      <c r="K134" s="1693" t="s">
        <v>372</v>
      </c>
      <c r="L134" s="1737" t="s">
        <v>1581</v>
      </c>
      <c r="M134" s="1623">
        <v>1</v>
      </c>
      <c r="N134" s="1623">
        <v>1</v>
      </c>
      <c r="O134" s="1623">
        <v>1</v>
      </c>
      <c r="P134" s="1623">
        <v>1</v>
      </c>
      <c r="Q134" s="1623">
        <v>1</v>
      </c>
      <c r="R134" s="1623">
        <v>1</v>
      </c>
      <c r="S134" s="1623"/>
      <c r="T134" s="1623">
        <v>1</v>
      </c>
      <c r="U134" s="1623">
        <v>1</v>
      </c>
      <c r="V134" s="1623">
        <v>1</v>
      </c>
      <c r="W134" s="1625"/>
      <c r="X134" s="2087"/>
      <c r="Y134" s="2087"/>
      <c r="Z134" s="1678"/>
    </row>
    <row r="135" spans="1:26">
      <c r="B135" s="1597" t="str">
        <f t="shared" ref="B135:B139" si="28">J135</f>
        <v>4.1.1</v>
      </c>
      <c r="C135" s="1647" t="str">
        <f t="shared" ref="C135:C139" si="29">L135</f>
        <v>モニタリング</v>
      </c>
      <c r="D135" s="1615">
        <f>G$133*G$134*G135</f>
        <v>9.9999999999999992E-2</v>
      </c>
      <c r="E135" s="1615">
        <f>H$133*H$134*H135</f>
        <v>0</v>
      </c>
      <c r="F135" s="1559"/>
      <c r="G135" s="1616">
        <f>SUMPRODUCT($M$7:$Y$7,M135:Y135)</f>
        <v>0.5</v>
      </c>
      <c r="H135" s="1616">
        <f t="shared" si="18"/>
        <v>0</v>
      </c>
      <c r="I135" s="1677"/>
      <c r="J135" s="1647" t="s">
        <v>1582</v>
      </c>
      <c r="K135" s="1693" t="s">
        <v>1584</v>
      </c>
      <c r="L135" s="1737" t="s">
        <v>1585</v>
      </c>
      <c r="M135" s="1623">
        <v>0.5</v>
      </c>
      <c r="N135" s="1623">
        <v>0.5</v>
      </c>
      <c r="O135" s="1623">
        <v>0.5</v>
      </c>
      <c r="P135" s="1623">
        <v>0.5</v>
      </c>
      <c r="Q135" s="1623">
        <v>0.5</v>
      </c>
      <c r="R135" s="1623">
        <v>0.5</v>
      </c>
      <c r="S135" s="1623"/>
      <c r="T135" s="1623">
        <v>0.5</v>
      </c>
      <c r="U135" s="1623">
        <v>0.5</v>
      </c>
      <c r="V135" s="1623">
        <v>0.5</v>
      </c>
      <c r="W135" s="1625"/>
      <c r="X135" s="2087"/>
      <c r="Y135" s="2087"/>
      <c r="Z135" s="1678"/>
    </row>
    <row r="136" spans="1:26">
      <c r="B136" s="1597" t="str">
        <f t="shared" si="28"/>
        <v>4.1.2</v>
      </c>
      <c r="C136" s="1647" t="str">
        <f t="shared" si="29"/>
        <v>運用管理体制</v>
      </c>
      <c r="D136" s="1615">
        <f>G$133*G$134*G136</f>
        <v>9.9999999999999992E-2</v>
      </c>
      <c r="E136" s="1615">
        <f>H$133*H$134*H136</f>
        <v>0</v>
      </c>
      <c r="F136" s="1559"/>
      <c r="G136" s="1616">
        <f t="shared" si="17"/>
        <v>0.5</v>
      </c>
      <c r="H136" s="1616">
        <f t="shared" si="18"/>
        <v>0</v>
      </c>
      <c r="I136" s="1677"/>
      <c r="J136" s="1647" t="s">
        <v>1586</v>
      </c>
      <c r="K136" s="1693" t="s">
        <v>1584</v>
      </c>
      <c r="L136" s="2064" t="s">
        <v>792</v>
      </c>
      <c r="M136" s="1623">
        <v>0.5</v>
      </c>
      <c r="N136" s="1623">
        <v>0.5</v>
      </c>
      <c r="O136" s="1623">
        <v>0.5</v>
      </c>
      <c r="P136" s="1623">
        <v>0.5</v>
      </c>
      <c r="Q136" s="1623">
        <v>0.5</v>
      </c>
      <c r="R136" s="1623">
        <v>0.5</v>
      </c>
      <c r="S136" s="1623"/>
      <c r="T136" s="1623">
        <v>0.5</v>
      </c>
      <c r="U136" s="1623">
        <v>0.5</v>
      </c>
      <c r="V136" s="1623">
        <v>0.5</v>
      </c>
      <c r="W136" s="1625"/>
      <c r="X136" s="2087"/>
      <c r="Y136" s="2087"/>
      <c r="Z136" s="1678"/>
    </row>
    <row r="137" spans="1:26" s="1680" customFormat="1">
      <c r="A137"/>
      <c r="B137" s="1597">
        <f t="shared" si="28"/>
        <v>4.2</v>
      </c>
      <c r="C137" s="1647" t="str">
        <f t="shared" si="29"/>
        <v>住宅の評価</v>
      </c>
      <c r="D137" s="1615"/>
      <c r="E137" s="1615"/>
      <c r="F137" s="1559"/>
      <c r="G137" s="1616">
        <f>SUMPRODUCT($M$7:$Y$7,M137:Y137)</f>
        <v>0</v>
      </c>
      <c r="H137" s="1616">
        <f t="shared" si="18"/>
        <v>0</v>
      </c>
      <c r="I137" s="1677"/>
      <c r="J137" s="1647">
        <v>4.2</v>
      </c>
      <c r="K137" s="1693" t="s">
        <v>372</v>
      </c>
      <c r="L137" s="2064" t="s">
        <v>1587</v>
      </c>
      <c r="M137" s="1623"/>
      <c r="N137" s="1623"/>
      <c r="O137" s="1623"/>
      <c r="P137" s="1623"/>
      <c r="Q137" s="1623"/>
      <c r="R137" s="1623"/>
      <c r="S137" s="1623">
        <v>1</v>
      </c>
      <c r="T137" s="1624"/>
      <c r="U137" s="1623"/>
      <c r="V137" s="1623"/>
      <c r="W137" s="1625"/>
      <c r="X137" s="2087"/>
      <c r="Y137" s="2087"/>
      <c r="Z137" s="1678"/>
    </row>
    <row r="138" spans="1:26" s="1680" customFormat="1">
      <c r="A138"/>
      <c r="B138" s="1597" t="str">
        <f t="shared" si="28"/>
        <v>4.2.1</v>
      </c>
      <c r="C138" s="1647" t="str">
        <f t="shared" si="29"/>
        <v>住まい方の提示</v>
      </c>
      <c r="D138" s="1615">
        <f>G$133*G$137*G138</f>
        <v>0</v>
      </c>
      <c r="E138" s="1615">
        <f>H$133*H$137*H138</f>
        <v>0</v>
      </c>
      <c r="F138" s="1559"/>
      <c r="G138" s="1616">
        <f>SUMPRODUCT($M$7:$Y$7,M138:Y138)</f>
        <v>0</v>
      </c>
      <c r="H138" s="1616">
        <f t="shared" si="18"/>
        <v>0</v>
      </c>
      <c r="I138" s="1677"/>
      <c r="J138" s="1647" t="s">
        <v>1506</v>
      </c>
      <c r="K138" s="1693" t="s">
        <v>1590</v>
      </c>
      <c r="L138" s="2064" t="s">
        <v>1722</v>
      </c>
      <c r="M138" s="1623"/>
      <c r="N138" s="1623"/>
      <c r="O138" s="1623"/>
      <c r="P138" s="1623"/>
      <c r="Q138" s="1623"/>
      <c r="R138" s="1623"/>
      <c r="S138" s="1623">
        <v>0.5</v>
      </c>
      <c r="T138" s="1624"/>
      <c r="U138" s="1623"/>
      <c r="V138" s="1623"/>
      <c r="W138" s="1625"/>
      <c r="X138" s="2087"/>
      <c r="Y138" s="2087"/>
      <c r="Z138" s="1678"/>
    </row>
    <row r="139" spans="1:26" s="1680" customFormat="1">
      <c r="A139"/>
      <c r="B139" s="1597" t="str">
        <f t="shared" si="28"/>
        <v>4.2.2</v>
      </c>
      <c r="C139" s="1647" t="str">
        <f t="shared" si="29"/>
        <v>エネルギーの管理と制御</v>
      </c>
      <c r="D139" s="1615">
        <f>G$133*G$137*G139</f>
        <v>0</v>
      </c>
      <c r="E139" s="1615">
        <f>H$133*H$137*H139</f>
        <v>0</v>
      </c>
      <c r="F139" s="1559"/>
      <c r="G139" s="1616">
        <f t="shared" si="17"/>
        <v>0</v>
      </c>
      <c r="H139" s="1616">
        <f t="shared" si="18"/>
        <v>0</v>
      </c>
      <c r="I139" s="1677"/>
      <c r="J139" s="1647" t="s">
        <v>1508</v>
      </c>
      <c r="K139" s="1693" t="s">
        <v>1590</v>
      </c>
      <c r="L139" s="2064" t="s">
        <v>1723</v>
      </c>
      <c r="M139" s="1623"/>
      <c r="N139" s="1623"/>
      <c r="O139" s="1623"/>
      <c r="P139" s="1623"/>
      <c r="Q139" s="1623"/>
      <c r="R139" s="1623"/>
      <c r="S139" s="1623">
        <v>0.5</v>
      </c>
      <c r="T139" s="1624"/>
      <c r="U139" s="1623"/>
      <c r="V139" s="1623"/>
      <c r="W139" s="1625"/>
      <c r="X139" s="2087"/>
      <c r="Y139" s="2087"/>
      <c r="Z139" s="1678"/>
    </row>
    <row r="140" spans="1:26" s="1605" customFormat="1">
      <c r="A140"/>
      <c r="B140" s="1597" t="str">
        <f t="shared" si="23"/>
        <v>LR2</v>
      </c>
      <c r="C140" s="1597" t="str">
        <f t="shared" si="24"/>
        <v>資源・マテリアル</v>
      </c>
      <c r="D140" s="1599">
        <f>G140</f>
        <v>0.3</v>
      </c>
      <c r="E140" s="1599">
        <f>H140</f>
        <v>0</v>
      </c>
      <c r="F140" s="1559"/>
      <c r="G140" s="1600">
        <f t="shared" si="17"/>
        <v>0.3</v>
      </c>
      <c r="H140" s="1600">
        <f t="shared" si="18"/>
        <v>0</v>
      </c>
      <c r="I140" s="1601"/>
      <c r="J140" s="1598" t="s">
        <v>1593</v>
      </c>
      <c r="K140" s="2094" t="s">
        <v>1567</v>
      </c>
      <c r="L140" s="2058" t="s">
        <v>1594</v>
      </c>
      <c r="M140" s="2060">
        <v>0.3</v>
      </c>
      <c r="N140" s="2060">
        <v>0.3</v>
      </c>
      <c r="O140" s="2060">
        <v>0.3</v>
      </c>
      <c r="P140" s="2060">
        <v>0.3</v>
      </c>
      <c r="Q140" s="2060">
        <v>0.3</v>
      </c>
      <c r="R140" s="2060">
        <v>0.3</v>
      </c>
      <c r="S140" s="2060">
        <v>0.3</v>
      </c>
      <c r="T140" s="2095">
        <v>0.3</v>
      </c>
      <c r="U140" s="2060">
        <v>0.3</v>
      </c>
      <c r="V140" s="2060">
        <v>0.3</v>
      </c>
      <c r="W140" s="2096"/>
      <c r="X140" s="2097"/>
      <c r="Y140" s="2097"/>
      <c r="Z140" s="1685"/>
    </row>
    <row r="141" spans="1:26" s="1605" customFormat="1">
      <c r="A141"/>
      <c r="B141" s="1597">
        <f t="shared" si="23"/>
        <v>1</v>
      </c>
      <c r="C141" s="1641" t="str">
        <f t="shared" si="24"/>
        <v>水資源保護</v>
      </c>
      <c r="D141" s="1608">
        <f>SUM(D142:D145)</f>
        <v>0.19999999999999996</v>
      </c>
      <c r="E141" s="1608">
        <f>SUM(E142:E145)</f>
        <v>0</v>
      </c>
      <c r="F141" s="1559"/>
      <c r="G141" s="1609">
        <f t="shared" si="17"/>
        <v>0.19999999999999998</v>
      </c>
      <c r="H141" s="1609">
        <f t="shared" si="18"/>
        <v>0</v>
      </c>
      <c r="I141" s="1601"/>
      <c r="J141" s="1673">
        <v>1</v>
      </c>
      <c r="K141" s="1744" t="s">
        <v>373</v>
      </c>
      <c r="L141" s="1780" t="s">
        <v>795</v>
      </c>
      <c r="M141" s="1711">
        <v>0.2</v>
      </c>
      <c r="N141" s="1711">
        <v>0.2</v>
      </c>
      <c r="O141" s="1711">
        <v>0.2</v>
      </c>
      <c r="P141" s="1711">
        <v>0.2</v>
      </c>
      <c r="Q141" s="1711">
        <v>0.2</v>
      </c>
      <c r="R141" s="1711">
        <v>0.2</v>
      </c>
      <c r="S141" s="1711">
        <v>0.2</v>
      </c>
      <c r="T141" s="2083">
        <v>0.2</v>
      </c>
      <c r="U141" s="1711">
        <v>0.2</v>
      </c>
      <c r="V141" s="1711">
        <v>0.2</v>
      </c>
      <c r="W141" s="2098"/>
      <c r="X141" s="2099"/>
      <c r="Y141" s="2099"/>
      <c r="Z141" s="1685"/>
    </row>
    <row r="142" spans="1:26">
      <c r="B142" s="1597">
        <f t="shared" ref="B142:B173" si="30">J142</f>
        <v>1.1000000000000001</v>
      </c>
      <c r="C142" s="1614" t="str">
        <f t="shared" ref="C142:C173" si="31">L142</f>
        <v>節水</v>
      </c>
      <c r="D142" s="1615">
        <f>G$141*G142</f>
        <v>7.9999999999999988E-2</v>
      </c>
      <c r="E142" s="1615">
        <f>H$141*H142</f>
        <v>0</v>
      </c>
      <c r="F142" s="1559"/>
      <c r="G142" s="1616">
        <f t="shared" ref="G142:G180" si="32">SUMPRODUCT($M$7:$Y$7,M142:Y142)</f>
        <v>0.39999999999999997</v>
      </c>
      <c r="H142" s="1616">
        <f t="shared" ref="H142:H180" si="33">(W$7*W142)+(X$7*X142)+(Y$7*Y142)</f>
        <v>0</v>
      </c>
      <c r="I142" s="1571"/>
      <c r="J142" s="1647">
        <v>1.1000000000000001</v>
      </c>
      <c r="K142" s="1693" t="s">
        <v>374</v>
      </c>
      <c r="L142" s="2064" t="s">
        <v>796</v>
      </c>
      <c r="M142" s="1623">
        <v>0.4</v>
      </c>
      <c r="N142" s="1623">
        <v>0.4</v>
      </c>
      <c r="O142" s="1623">
        <v>0.4</v>
      </c>
      <c r="P142" s="1623">
        <v>0.4</v>
      </c>
      <c r="Q142" s="1623">
        <v>0.4</v>
      </c>
      <c r="R142" s="1623">
        <v>0.4</v>
      </c>
      <c r="S142" s="1623">
        <v>0.4</v>
      </c>
      <c r="T142" s="1624">
        <v>0.4</v>
      </c>
      <c r="U142" s="1623">
        <v>0.4</v>
      </c>
      <c r="V142" s="1623">
        <v>0.4</v>
      </c>
      <c r="W142" s="1870"/>
      <c r="X142" s="1715"/>
      <c r="Y142" s="1715"/>
    </row>
    <row r="143" spans="1:26">
      <c r="B143" s="1597">
        <f t="shared" si="30"/>
        <v>1.2</v>
      </c>
      <c r="C143" s="1647" t="str">
        <f t="shared" si="31"/>
        <v>雨水利用・雑排水再利用</v>
      </c>
      <c r="D143" s="1615"/>
      <c r="E143" s="1615"/>
      <c r="F143" s="1559"/>
      <c r="G143" s="1616">
        <f t="shared" si="32"/>
        <v>0.6</v>
      </c>
      <c r="H143" s="1616">
        <f t="shared" si="33"/>
        <v>0</v>
      </c>
      <c r="I143" s="1571"/>
      <c r="J143" s="2092">
        <v>1.2</v>
      </c>
      <c r="K143" s="1693" t="s">
        <v>374</v>
      </c>
      <c r="L143" s="1737" t="s">
        <v>797</v>
      </c>
      <c r="M143" s="1623">
        <v>0.6</v>
      </c>
      <c r="N143" s="1623">
        <v>0.6</v>
      </c>
      <c r="O143" s="1623">
        <v>0.6</v>
      </c>
      <c r="P143" s="1623">
        <v>0.6</v>
      </c>
      <c r="Q143" s="1623">
        <v>0.6</v>
      </c>
      <c r="R143" s="1623">
        <v>0.6</v>
      </c>
      <c r="S143" s="1623">
        <v>0.6</v>
      </c>
      <c r="T143" s="1624">
        <v>0.6</v>
      </c>
      <c r="U143" s="1623">
        <v>0.6</v>
      </c>
      <c r="V143" s="1623">
        <v>0.6</v>
      </c>
      <c r="W143" s="1870"/>
      <c r="X143" s="1715"/>
      <c r="Y143" s="1715"/>
    </row>
    <row r="144" spans="1:26">
      <c r="B144" s="1597" t="str">
        <f t="shared" si="30"/>
        <v>1.2.1</v>
      </c>
      <c r="C144" s="1614" t="str">
        <f t="shared" si="31"/>
        <v>雨水利用システム導入の有無</v>
      </c>
      <c r="D144" s="1615">
        <f>G$141*G$143*G144</f>
        <v>8.3999999999999977E-2</v>
      </c>
      <c r="E144" s="1615">
        <f>H$141*H$143*H144</f>
        <v>0</v>
      </c>
      <c r="F144" s="1559"/>
      <c r="G144" s="1616">
        <f t="shared" si="32"/>
        <v>0.7</v>
      </c>
      <c r="H144" s="1616">
        <f t="shared" si="33"/>
        <v>0</v>
      </c>
      <c r="I144" s="1571"/>
      <c r="J144" s="1647" t="s">
        <v>1522</v>
      </c>
      <c r="K144" s="1693" t="s">
        <v>375</v>
      </c>
      <c r="L144" s="2064" t="s">
        <v>1595</v>
      </c>
      <c r="M144" s="1623">
        <v>0.7</v>
      </c>
      <c r="N144" s="1623">
        <v>0.7</v>
      </c>
      <c r="O144" s="1623">
        <v>0.7</v>
      </c>
      <c r="P144" s="1623">
        <v>0.7</v>
      </c>
      <c r="Q144" s="1623">
        <v>0.7</v>
      </c>
      <c r="R144" s="1623">
        <v>0.7</v>
      </c>
      <c r="S144" s="1623">
        <v>0.7</v>
      </c>
      <c r="T144" s="1624">
        <v>0.7</v>
      </c>
      <c r="U144" s="1623">
        <v>0.7</v>
      </c>
      <c r="V144" s="1623">
        <v>0.7</v>
      </c>
      <c r="W144" s="1870"/>
      <c r="X144" s="1715"/>
      <c r="Y144" s="1715"/>
    </row>
    <row r="145" spans="1:26">
      <c r="B145" s="1597" t="str">
        <f t="shared" si="30"/>
        <v>1.2.2</v>
      </c>
      <c r="C145" s="1614" t="str">
        <f t="shared" si="31"/>
        <v>雑排水等再利用システム導入の有無</v>
      </c>
      <c r="D145" s="1615">
        <f>G$141*G$143*G145</f>
        <v>3.599999999999999E-2</v>
      </c>
      <c r="E145" s="1615">
        <f>H$141*H$143*H145</f>
        <v>0</v>
      </c>
      <c r="F145" s="1559"/>
      <c r="G145" s="1616">
        <f t="shared" si="32"/>
        <v>0.3</v>
      </c>
      <c r="H145" s="1616">
        <f t="shared" si="33"/>
        <v>0</v>
      </c>
      <c r="I145" s="1571"/>
      <c r="J145" s="1647" t="s">
        <v>1523</v>
      </c>
      <c r="K145" s="1693" t="s">
        <v>375</v>
      </c>
      <c r="L145" s="2064" t="s">
        <v>946</v>
      </c>
      <c r="M145" s="1623">
        <v>0.3</v>
      </c>
      <c r="N145" s="1623">
        <v>0.3</v>
      </c>
      <c r="O145" s="1623">
        <v>0.3</v>
      </c>
      <c r="P145" s="1623">
        <v>0.3</v>
      </c>
      <c r="Q145" s="1623">
        <v>0.3</v>
      </c>
      <c r="R145" s="1623">
        <v>0.3</v>
      </c>
      <c r="S145" s="1623">
        <v>0.3</v>
      </c>
      <c r="T145" s="1624">
        <v>0.3</v>
      </c>
      <c r="U145" s="1623">
        <v>0.3</v>
      </c>
      <c r="V145" s="1623">
        <v>0.3</v>
      </c>
      <c r="W145" s="1870"/>
      <c r="X145" s="1715"/>
      <c r="Y145" s="1715"/>
    </row>
    <row r="146" spans="1:26" s="1605" customFormat="1">
      <c r="A146"/>
      <c r="B146" s="1597">
        <f t="shared" si="30"/>
        <v>2</v>
      </c>
      <c r="C146" s="1689" t="str">
        <f t="shared" si="31"/>
        <v>非再生性資源の使用量削減</v>
      </c>
      <c r="D146" s="1608">
        <f>SUM(D147:D152)</f>
        <v>0.59999999999999987</v>
      </c>
      <c r="E146" s="1608">
        <f>SUM(E147:E152)</f>
        <v>0</v>
      </c>
      <c r="F146" s="1559"/>
      <c r="G146" s="1609">
        <f t="shared" si="32"/>
        <v>0.6</v>
      </c>
      <c r="H146" s="1609">
        <f t="shared" si="33"/>
        <v>0</v>
      </c>
      <c r="I146" s="1601"/>
      <c r="J146" s="1641">
        <v>2</v>
      </c>
      <c r="K146" s="1744" t="s">
        <v>373</v>
      </c>
      <c r="L146" s="1787" t="s">
        <v>801</v>
      </c>
      <c r="M146" s="1711">
        <v>0.6</v>
      </c>
      <c r="N146" s="1711">
        <v>0.6</v>
      </c>
      <c r="O146" s="1711">
        <v>0.6</v>
      </c>
      <c r="P146" s="1711">
        <v>0.6</v>
      </c>
      <c r="Q146" s="1711">
        <v>0.6</v>
      </c>
      <c r="R146" s="1711">
        <v>0.6</v>
      </c>
      <c r="S146" s="1711">
        <v>0.6</v>
      </c>
      <c r="T146" s="1711">
        <v>0.6</v>
      </c>
      <c r="U146" s="1711">
        <v>0.6</v>
      </c>
      <c r="V146" s="1711">
        <v>0.6</v>
      </c>
      <c r="W146" s="2098"/>
      <c r="X146" s="2099"/>
      <c r="Y146" s="2099"/>
      <c r="Z146" s="1685"/>
    </row>
    <row r="147" spans="1:26">
      <c r="B147" s="1597" t="str">
        <f t="shared" si="30"/>
        <v>2.1</v>
      </c>
      <c r="C147" s="1647" t="str">
        <f t="shared" si="31"/>
        <v>材料使用量の削減</v>
      </c>
      <c r="D147" s="1615">
        <f>G$146*G147</f>
        <v>5.9999999999999991E-2</v>
      </c>
      <c r="E147" s="1615">
        <f>H$146*H147</f>
        <v>0</v>
      </c>
      <c r="F147" s="1559"/>
      <c r="G147" s="1616">
        <f t="shared" si="32"/>
        <v>9.9999999999999992E-2</v>
      </c>
      <c r="H147" s="1616">
        <f t="shared" si="33"/>
        <v>0</v>
      </c>
      <c r="I147" s="1571"/>
      <c r="J147" s="1647" t="s">
        <v>1572</v>
      </c>
      <c r="K147" s="1744" t="s">
        <v>376</v>
      </c>
      <c r="L147" s="2064" t="s">
        <v>802</v>
      </c>
      <c r="M147" s="2087">
        <v>0.1</v>
      </c>
      <c r="N147" s="2087">
        <v>0.1</v>
      </c>
      <c r="O147" s="2087">
        <v>0.1</v>
      </c>
      <c r="P147" s="2087">
        <v>0.1</v>
      </c>
      <c r="Q147" s="2087">
        <v>0.1</v>
      </c>
      <c r="R147" s="2087">
        <v>0.1</v>
      </c>
      <c r="S147" s="2087">
        <v>0.1</v>
      </c>
      <c r="T147" s="2087">
        <v>0.1</v>
      </c>
      <c r="U147" s="2087">
        <v>0.1</v>
      </c>
      <c r="V147" s="2087">
        <v>0.1</v>
      </c>
      <c r="W147" s="2100"/>
      <c r="X147" s="2099"/>
      <c r="Y147" s="2099"/>
    </row>
    <row r="148" spans="1:26">
      <c r="B148" s="1597" t="str">
        <f t="shared" si="30"/>
        <v>2.2</v>
      </c>
      <c r="C148" s="1647" t="str">
        <f t="shared" si="31"/>
        <v>既存建築躯体等の継続使用</v>
      </c>
      <c r="D148" s="1615">
        <f>G$146*G148</f>
        <v>0.11999999999999998</v>
      </c>
      <c r="E148" s="1615">
        <f>H$146*H$147*H148</f>
        <v>0</v>
      </c>
      <c r="F148" s="1559"/>
      <c r="G148" s="1616">
        <f t="shared" si="32"/>
        <v>0.19999999999999998</v>
      </c>
      <c r="H148" s="1616">
        <f t="shared" si="33"/>
        <v>0</v>
      </c>
      <c r="I148" s="1571"/>
      <c r="J148" s="1647" t="s">
        <v>1574</v>
      </c>
      <c r="K148" s="1693" t="s">
        <v>376</v>
      </c>
      <c r="L148" s="1737" t="s">
        <v>803</v>
      </c>
      <c r="M148" s="1623">
        <v>0.2</v>
      </c>
      <c r="N148" s="1623">
        <v>0.2</v>
      </c>
      <c r="O148" s="1623">
        <v>0.2</v>
      </c>
      <c r="P148" s="1623">
        <v>0.2</v>
      </c>
      <c r="Q148" s="1623">
        <v>0.2</v>
      </c>
      <c r="R148" s="1623">
        <v>0.2</v>
      </c>
      <c r="S148" s="1623">
        <v>0.2</v>
      </c>
      <c r="T148" s="1623">
        <v>0.2</v>
      </c>
      <c r="U148" s="1623">
        <v>0.2</v>
      </c>
      <c r="V148" s="1623">
        <v>0.2</v>
      </c>
      <c r="W148" s="1870"/>
      <c r="X148" s="1715"/>
      <c r="Y148" s="1715"/>
    </row>
    <row r="149" spans="1:26">
      <c r="B149" s="1597" t="str">
        <f t="shared" si="30"/>
        <v>2.3</v>
      </c>
      <c r="C149" s="1647" t="str">
        <f t="shared" si="31"/>
        <v>躯体材料におけるリサイクル材の使用</v>
      </c>
      <c r="D149" s="1615">
        <f>G$146*G149</f>
        <v>0.11999999999999998</v>
      </c>
      <c r="E149" s="1615">
        <f>H$146*H$147*H149</f>
        <v>0</v>
      </c>
      <c r="F149" s="1559"/>
      <c r="G149" s="1616">
        <f t="shared" si="32"/>
        <v>0.19999999999999998</v>
      </c>
      <c r="H149" s="1616">
        <f t="shared" si="33"/>
        <v>0</v>
      </c>
      <c r="I149" s="1571"/>
      <c r="J149" s="1647" t="s">
        <v>1596</v>
      </c>
      <c r="K149" s="1693" t="s">
        <v>376</v>
      </c>
      <c r="L149" s="1737" t="s">
        <v>805</v>
      </c>
      <c r="M149" s="1623">
        <v>0.2</v>
      </c>
      <c r="N149" s="1623">
        <v>0.2</v>
      </c>
      <c r="O149" s="1623">
        <v>0.2</v>
      </c>
      <c r="P149" s="1623">
        <v>0.2</v>
      </c>
      <c r="Q149" s="1623">
        <v>0.2</v>
      </c>
      <c r="R149" s="1623">
        <v>0.2</v>
      </c>
      <c r="S149" s="1623">
        <v>0.2</v>
      </c>
      <c r="T149" s="1623">
        <v>0.2</v>
      </c>
      <c r="U149" s="1623">
        <v>0.2</v>
      </c>
      <c r="V149" s="1623">
        <v>0.2</v>
      </c>
      <c r="W149" s="1870"/>
      <c r="X149" s="1715"/>
      <c r="Y149" s="1715"/>
    </row>
    <row r="150" spans="1:26">
      <c r="B150" s="1597" t="str">
        <f t="shared" si="30"/>
        <v>2.4</v>
      </c>
      <c r="C150" s="1614" t="str">
        <f t="shared" si="31"/>
        <v>躯体材料以外におけるリサイクル材の使用</v>
      </c>
      <c r="D150" s="1615">
        <f>G$146*G150</f>
        <v>0.11999999999999998</v>
      </c>
      <c r="E150" s="1615">
        <f>H$146*H150</f>
        <v>0</v>
      </c>
      <c r="F150" s="1559"/>
      <c r="G150" s="1616">
        <f t="shared" si="32"/>
        <v>0.19999999999999998</v>
      </c>
      <c r="H150" s="1616">
        <f t="shared" si="33"/>
        <v>0</v>
      </c>
      <c r="I150" s="1571"/>
      <c r="J150" s="1647" t="s">
        <v>1597</v>
      </c>
      <c r="K150" s="1693" t="s">
        <v>376</v>
      </c>
      <c r="L150" s="1737" t="s">
        <v>1598</v>
      </c>
      <c r="M150" s="1623">
        <v>0.2</v>
      </c>
      <c r="N150" s="1623">
        <v>0.2</v>
      </c>
      <c r="O150" s="1623">
        <v>0.2</v>
      </c>
      <c r="P150" s="1623">
        <v>0.2</v>
      </c>
      <c r="Q150" s="1623">
        <v>0.2</v>
      </c>
      <c r="R150" s="1623">
        <v>0.2</v>
      </c>
      <c r="S150" s="1623">
        <v>0.2</v>
      </c>
      <c r="T150" s="1623">
        <v>0.2</v>
      </c>
      <c r="U150" s="1623">
        <v>0.2</v>
      </c>
      <c r="V150" s="1623">
        <v>0.2</v>
      </c>
      <c r="W150" s="1870"/>
      <c r="X150" s="1715"/>
      <c r="Y150" s="1715"/>
    </row>
    <row r="151" spans="1:26">
      <c r="B151" s="1597" t="str">
        <f t="shared" si="30"/>
        <v>2.5</v>
      </c>
      <c r="C151" s="1614" t="str">
        <f t="shared" si="31"/>
        <v>持続可能な森林から産出された木材</v>
      </c>
      <c r="D151" s="1615">
        <f>G$146*G151</f>
        <v>5.9999999999999991E-2</v>
      </c>
      <c r="E151" s="1615">
        <f>H$146*H151</f>
        <v>0</v>
      </c>
      <c r="F151" s="1559"/>
      <c r="G151" s="1616">
        <f t="shared" si="32"/>
        <v>9.9999999999999992E-2</v>
      </c>
      <c r="H151" s="1616">
        <f t="shared" si="33"/>
        <v>0</v>
      </c>
      <c r="I151" s="1571"/>
      <c r="J151" s="1647" t="s">
        <v>1599</v>
      </c>
      <c r="K151" s="1693" t="s">
        <v>376</v>
      </c>
      <c r="L151" s="2064" t="s">
        <v>1600</v>
      </c>
      <c r="M151" s="1623">
        <v>0.1</v>
      </c>
      <c r="N151" s="1623">
        <v>0.1</v>
      </c>
      <c r="O151" s="1623">
        <v>0.1</v>
      </c>
      <c r="P151" s="1623">
        <v>0.1</v>
      </c>
      <c r="Q151" s="1623">
        <v>0.1</v>
      </c>
      <c r="R151" s="1623">
        <v>0.1</v>
      </c>
      <c r="S151" s="1623">
        <v>0.1</v>
      </c>
      <c r="T151" s="1623">
        <v>0.1</v>
      </c>
      <c r="U151" s="1623">
        <v>0.1</v>
      </c>
      <c r="V151" s="1623">
        <v>0.1</v>
      </c>
      <c r="W151" s="1870"/>
      <c r="X151" s="1715"/>
      <c r="Y151" s="1715"/>
    </row>
    <row r="152" spans="1:26">
      <c r="B152" s="1597" t="str">
        <f t="shared" si="30"/>
        <v>2.6</v>
      </c>
      <c r="C152" s="1647" t="str">
        <f t="shared" si="31"/>
        <v>部材の再利用可能性向上への取組み</v>
      </c>
      <c r="D152" s="1615">
        <f>G$146*G152</f>
        <v>0.11999999999999998</v>
      </c>
      <c r="E152" s="1615">
        <f>H$146*H152</f>
        <v>0</v>
      </c>
      <c r="F152" s="1559"/>
      <c r="G152" s="1616">
        <f t="shared" si="32"/>
        <v>0.19999999999999998</v>
      </c>
      <c r="H152" s="1616">
        <f t="shared" si="33"/>
        <v>0</v>
      </c>
      <c r="I152" s="1571"/>
      <c r="J152" s="1647" t="s">
        <v>1601</v>
      </c>
      <c r="K152" s="1693" t="s">
        <v>376</v>
      </c>
      <c r="L152" s="1737" t="s">
        <v>807</v>
      </c>
      <c r="M152" s="1623">
        <v>0.2</v>
      </c>
      <c r="N152" s="1623">
        <v>0.2</v>
      </c>
      <c r="O152" s="1623">
        <v>0.2</v>
      </c>
      <c r="P152" s="1623">
        <v>0.2</v>
      </c>
      <c r="Q152" s="1623">
        <v>0.2</v>
      </c>
      <c r="R152" s="1623">
        <v>0.2</v>
      </c>
      <c r="S152" s="1623">
        <v>0.2</v>
      </c>
      <c r="T152" s="1623">
        <v>0.2</v>
      </c>
      <c r="U152" s="1623">
        <v>0.2</v>
      </c>
      <c r="V152" s="1623">
        <v>0.2</v>
      </c>
      <c r="W152" s="1870"/>
      <c r="X152" s="1715"/>
      <c r="Y152" s="1715"/>
    </row>
    <row r="153" spans="1:26" s="1605" customFormat="1">
      <c r="A153"/>
      <c r="B153" s="1597">
        <f t="shared" si="30"/>
        <v>3</v>
      </c>
      <c r="C153" s="1689" t="str">
        <f t="shared" si="31"/>
        <v>汚染物質含有材料の使用回避</v>
      </c>
      <c r="D153" s="1608">
        <f>SUM(D154:D158)</f>
        <v>0.19999999999999998</v>
      </c>
      <c r="E153" s="1608">
        <f>SUM(E154:E158)</f>
        <v>0</v>
      </c>
      <c r="F153" s="1559"/>
      <c r="G153" s="1609">
        <f t="shared" si="32"/>
        <v>0.19999999999999998</v>
      </c>
      <c r="H153" s="1609">
        <f t="shared" si="33"/>
        <v>0</v>
      </c>
      <c r="I153" s="1601"/>
      <c r="J153" s="1641">
        <v>3</v>
      </c>
      <c r="K153" s="1744" t="s">
        <v>373</v>
      </c>
      <c r="L153" s="1787" t="s">
        <v>808</v>
      </c>
      <c r="M153" s="1711">
        <v>0.2</v>
      </c>
      <c r="N153" s="1711">
        <v>0.2</v>
      </c>
      <c r="O153" s="1711">
        <v>0.2</v>
      </c>
      <c r="P153" s="1711">
        <v>0.2</v>
      </c>
      <c r="Q153" s="1711">
        <v>0.2</v>
      </c>
      <c r="R153" s="1711">
        <v>0.2</v>
      </c>
      <c r="S153" s="1711">
        <v>0.2</v>
      </c>
      <c r="T153" s="1711">
        <v>0.2</v>
      </c>
      <c r="U153" s="1711">
        <v>0.2</v>
      </c>
      <c r="V153" s="1711">
        <v>0.2</v>
      </c>
      <c r="W153" s="2098">
        <v>0</v>
      </c>
      <c r="X153" s="2099">
        <v>0</v>
      </c>
      <c r="Y153" s="2099">
        <v>0</v>
      </c>
      <c r="Z153" s="1685"/>
    </row>
    <row r="154" spans="1:26">
      <c r="B154" s="1597" t="str">
        <f t="shared" si="30"/>
        <v>3.1</v>
      </c>
      <c r="C154" s="1647" t="str">
        <f t="shared" si="31"/>
        <v>有害物質を含まない材料の使用</v>
      </c>
      <c r="D154" s="1615">
        <f>G$153*G154</f>
        <v>5.9999999999999991E-2</v>
      </c>
      <c r="E154" s="1615">
        <f>H$153*H154</f>
        <v>0</v>
      </c>
      <c r="F154" s="1559"/>
      <c r="G154" s="1616">
        <f t="shared" si="32"/>
        <v>0.3</v>
      </c>
      <c r="H154" s="1616">
        <f t="shared" si="33"/>
        <v>0</v>
      </c>
      <c r="I154" s="1571"/>
      <c r="J154" s="1647" t="s">
        <v>1557</v>
      </c>
      <c r="K154" s="1693" t="s">
        <v>377</v>
      </c>
      <c r="L154" s="1737" t="s">
        <v>809</v>
      </c>
      <c r="M154" s="1623">
        <v>0.3</v>
      </c>
      <c r="N154" s="1623">
        <v>0.3</v>
      </c>
      <c r="O154" s="1623">
        <v>0.3</v>
      </c>
      <c r="P154" s="1623">
        <v>0.3</v>
      </c>
      <c r="Q154" s="1623">
        <v>0.3</v>
      </c>
      <c r="R154" s="1623">
        <v>0.3</v>
      </c>
      <c r="S154" s="1623">
        <v>0.3</v>
      </c>
      <c r="T154" s="1623">
        <v>0.3</v>
      </c>
      <c r="U154" s="1623">
        <v>0.3</v>
      </c>
      <c r="V154" s="1623">
        <v>0.3</v>
      </c>
      <c r="W154" s="1870">
        <v>0</v>
      </c>
      <c r="X154" s="1715">
        <v>0</v>
      </c>
      <c r="Y154" s="1715">
        <v>0</v>
      </c>
    </row>
    <row r="155" spans="1:26">
      <c r="B155" s="1597" t="str">
        <f t="shared" si="30"/>
        <v>3.2</v>
      </c>
      <c r="C155" s="1647" t="str">
        <f t="shared" si="31"/>
        <v>フロン・ハロンの回避</v>
      </c>
      <c r="D155" s="1615"/>
      <c r="E155" s="1615"/>
      <c r="F155" s="1559"/>
      <c r="G155" s="1616">
        <f t="shared" si="32"/>
        <v>0.7</v>
      </c>
      <c r="H155" s="1616">
        <f t="shared" si="33"/>
        <v>0</v>
      </c>
      <c r="I155" s="1571"/>
      <c r="J155" s="1647" t="s">
        <v>1561</v>
      </c>
      <c r="K155" s="1693" t="s">
        <v>377</v>
      </c>
      <c r="L155" s="1737" t="s">
        <v>810</v>
      </c>
      <c r="M155" s="1623">
        <v>0.7</v>
      </c>
      <c r="N155" s="1623">
        <v>0.7</v>
      </c>
      <c r="O155" s="1623">
        <v>0.7</v>
      </c>
      <c r="P155" s="1623">
        <v>0.7</v>
      </c>
      <c r="Q155" s="1623">
        <v>0.7</v>
      </c>
      <c r="R155" s="1623">
        <v>0.7</v>
      </c>
      <c r="S155" s="1623">
        <v>0.7</v>
      </c>
      <c r="T155" s="1623">
        <v>0.7</v>
      </c>
      <c r="U155" s="1623">
        <v>0.7</v>
      </c>
      <c r="V155" s="1623">
        <v>0.7</v>
      </c>
      <c r="W155" s="1870">
        <v>0</v>
      </c>
      <c r="X155" s="1715">
        <v>0</v>
      </c>
      <c r="Y155" s="1715">
        <v>0</v>
      </c>
    </row>
    <row r="156" spans="1:26">
      <c r="B156" s="1597" t="str">
        <f t="shared" si="30"/>
        <v>3.2.1</v>
      </c>
      <c r="C156" s="1614" t="str">
        <f t="shared" si="31"/>
        <v>消火剤</v>
      </c>
      <c r="D156" s="1615">
        <f t="shared" ref="D156:E158" si="34">G$153*G$155*G156</f>
        <v>4.6666666666666662E-2</v>
      </c>
      <c r="E156" s="1615">
        <f t="shared" si="34"/>
        <v>0</v>
      </c>
      <c r="F156" s="1559"/>
      <c r="G156" s="1616">
        <f t="shared" si="32"/>
        <v>0.33333333333333331</v>
      </c>
      <c r="H156" s="1616">
        <f t="shared" si="33"/>
        <v>0</v>
      </c>
      <c r="I156" s="1571"/>
      <c r="J156" s="1647" t="s">
        <v>1602</v>
      </c>
      <c r="K156" s="1693" t="s">
        <v>378</v>
      </c>
      <c r="L156" s="2064" t="s">
        <v>1604</v>
      </c>
      <c r="M156" s="1623">
        <v>0.33333333333333331</v>
      </c>
      <c r="N156" s="1623">
        <v>0.33333333333333331</v>
      </c>
      <c r="O156" s="1623">
        <v>0.33333333333333331</v>
      </c>
      <c r="P156" s="1623">
        <v>0.33333333333333331</v>
      </c>
      <c r="Q156" s="1623">
        <v>0.33333333333333331</v>
      </c>
      <c r="R156" s="1623">
        <v>0.33333333333333331</v>
      </c>
      <c r="S156" s="1623">
        <v>0.33333333333333331</v>
      </c>
      <c r="T156" s="1623">
        <v>0.33333333333333331</v>
      </c>
      <c r="U156" s="1623">
        <v>0.33333333333333331</v>
      </c>
      <c r="V156" s="1623">
        <v>0.33333333333333331</v>
      </c>
      <c r="W156" s="1870">
        <v>0</v>
      </c>
      <c r="X156" s="1715">
        <v>0</v>
      </c>
      <c r="Y156" s="1715">
        <v>0</v>
      </c>
    </row>
    <row r="157" spans="1:26">
      <c r="B157" s="1597" t="str">
        <f t="shared" si="30"/>
        <v>3.2.2</v>
      </c>
      <c r="C157" s="1614" t="str">
        <f t="shared" si="31"/>
        <v>発泡剤（断熱材等）</v>
      </c>
      <c r="D157" s="1615">
        <f t="shared" si="34"/>
        <v>4.6666666666666662E-2</v>
      </c>
      <c r="E157" s="1615">
        <f t="shared" si="34"/>
        <v>0</v>
      </c>
      <c r="F157" s="1559"/>
      <c r="G157" s="1616">
        <f t="shared" si="32"/>
        <v>0.33333333333333331</v>
      </c>
      <c r="H157" s="1616">
        <f t="shared" si="33"/>
        <v>0</v>
      </c>
      <c r="I157" s="1571"/>
      <c r="J157" s="1647" t="s">
        <v>1605</v>
      </c>
      <c r="K157" s="1693" t="s">
        <v>378</v>
      </c>
      <c r="L157" s="2064" t="s">
        <v>947</v>
      </c>
      <c r="M157" s="1623">
        <v>0.33333333333333331</v>
      </c>
      <c r="N157" s="1623">
        <v>0.33333333333333331</v>
      </c>
      <c r="O157" s="1623">
        <v>0.33333333333333331</v>
      </c>
      <c r="P157" s="1623">
        <v>0.33333333333333331</v>
      </c>
      <c r="Q157" s="1623">
        <v>0.33333333333333331</v>
      </c>
      <c r="R157" s="1623">
        <v>0.33333333333333331</v>
      </c>
      <c r="S157" s="1623">
        <v>0.33333333333333331</v>
      </c>
      <c r="T157" s="1623">
        <v>0.33333333333333331</v>
      </c>
      <c r="U157" s="1623">
        <v>0.33333333333333331</v>
      </c>
      <c r="V157" s="1623">
        <v>0.33333333333333331</v>
      </c>
      <c r="W157" s="1870">
        <v>0</v>
      </c>
      <c r="X157" s="1715">
        <v>0</v>
      </c>
      <c r="Y157" s="1715">
        <v>0</v>
      </c>
    </row>
    <row r="158" spans="1:26">
      <c r="B158" s="1597" t="str">
        <f t="shared" si="30"/>
        <v>3.2.3</v>
      </c>
      <c r="C158" s="1614" t="str">
        <f t="shared" si="31"/>
        <v>冷媒</v>
      </c>
      <c r="D158" s="1615">
        <f t="shared" si="34"/>
        <v>4.6666666666666662E-2</v>
      </c>
      <c r="E158" s="1615">
        <f t="shared" si="34"/>
        <v>0</v>
      </c>
      <c r="F158" s="1559"/>
      <c r="G158" s="1616">
        <f t="shared" si="32"/>
        <v>0.33333333333333331</v>
      </c>
      <c r="H158" s="1616">
        <f t="shared" si="33"/>
        <v>0</v>
      </c>
      <c r="I158" s="1571"/>
      <c r="J158" s="1647" t="s">
        <v>1608</v>
      </c>
      <c r="K158" s="1693" t="s">
        <v>378</v>
      </c>
      <c r="L158" s="2064" t="s">
        <v>380</v>
      </c>
      <c r="M158" s="1623">
        <v>0.33333333333333331</v>
      </c>
      <c r="N158" s="1623">
        <v>0.33333333333333331</v>
      </c>
      <c r="O158" s="1623">
        <v>0.33333333333333331</v>
      </c>
      <c r="P158" s="1623">
        <v>0.33333333333333331</v>
      </c>
      <c r="Q158" s="1623">
        <v>0.33333333333333331</v>
      </c>
      <c r="R158" s="1623">
        <v>0.33333333333333331</v>
      </c>
      <c r="S158" s="1623">
        <v>0.33333333333333331</v>
      </c>
      <c r="T158" s="1623">
        <v>0.33333333333333331</v>
      </c>
      <c r="U158" s="1623">
        <v>0.33333333333333331</v>
      </c>
      <c r="V158" s="1623">
        <v>0.33333333333333331</v>
      </c>
      <c r="W158" s="1870">
        <v>0</v>
      </c>
      <c r="X158" s="1715">
        <v>0</v>
      </c>
      <c r="Y158" s="1715">
        <v>0</v>
      </c>
    </row>
    <row r="159" spans="1:26" s="1605" customFormat="1">
      <c r="A159"/>
      <c r="B159" s="1597" t="str">
        <f t="shared" si="30"/>
        <v>LR3</v>
      </c>
      <c r="C159" s="1598" t="str">
        <f t="shared" si="31"/>
        <v>敷地外環境</v>
      </c>
      <c r="D159" s="1599">
        <f>G159</f>
        <v>0.3</v>
      </c>
      <c r="E159" s="1599">
        <f>H159</f>
        <v>0</v>
      </c>
      <c r="F159" s="1559"/>
      <c r="G159" s="1600">
        <f t="shared" si="32"/>
        <v>0.3</v>
      </c>
      <c r="H159" s="1600">
        <f t="shared" si="33"/>
        <v>0</v>
      </c>
      <c r="I159" s="1601"/>
      <c r="J159" s="1598" t="s">
        <v>1609</v>
      </c>
      <c r="K159" s="2094" t="s">
        <v>1567</v>
      </c>
      <c r="L159" s="2058" t="s">
        <v>1610</v>
      </c>
      <c r="M159" s="2060">
        <v>0.3</v>
      </c>
      <c r="N159" s="2060">
        <v>0.3</v>
      </c>
      <c r="O159" s="2060">
        <v>0.3</v>
      </c>
      <c r="P159" s="2060">
        <v>0.3</v>
      </c>
      <c r="Q159" s="2060">
        <v>0.3</v>
      </c>
      <c r="R159" s="2060">
        <v>0.3</v>
      </c>
      <c r="S159" s="2060">
        <v>0.3</v>
      </c>
      <c r="T159" s="2060">
        <v>0.3</v>
      </c>
      <c r="U159" s="2060">
        <v>0.3</v>
      </c>
      <c r="V159" s="2060">
        <v>0.3</v>
      </c>
      <c r="W159" s="2096">
        <v>0</v>
      </c>
      <c r="X159" s="2097">
        <v>0</v>
      </c>
      <c r="Y159" s="2097">
        <v>0</v>
      </c>
      <c r="Z159" s="1685"/>
    </row>
    <row r="160" spans="1:26" s="1605" customFormat="1">
      <c r="A160"/>
      <c r="B160" s="2059">
        <f t="shared" si="30"/>
        <v>1</v>
      </c>
      <c r="C160" s="1641" t="str">
        <f t="shared" si="31"/>
        <v>地球温暖化への配慮</v>
      </c>
      <c r="D160" s="1608">
        <f>G160</f>
        <v>0.33333333333333331</v>
      </c>
      <c r="E160" s="1608">
        <f>H160</f>
        <v>0</v>
      </c>
      <c r="F160" s="1559"/>
      <c r="G160" s="1609">
        <f t="shared" si="32"/>
        <v>0.33333333333333331</v>
      </c>
      <c r="H160" s="1609">
        <f t="shared" si="33"/>
        <v>0</v>
      </c>
      <c r="I160" s="1601"/>
      <c r="J160" s="1641">
        <v>1</v>
      </c>
      <c r="K160" s="1744" t="s">
        <v>381</v>
      </c>
      <c r="L160" s="1780" t="s">
        <v>1149</v>
      </c>
      <c r="M160" s="1711">
        <v>0.33333333333333331</v>
      </c>
      <c r="N160" s="1711">
        <v>0.33333333333333331</v>
      </c>
      <c r="O160" s="1711">
        <v>0.33333333333333331</v>
      </c>
      <c r="P160" s="1711">
        <v>0.33333333333333331</v>
      </c>
      <c r="Q160" s="1711">
        <v>0.33333333333333331</v>
      </c>
      <c r="R160" s="1711">
        <v>0.33333333333333331</v>
      </c>
      <c r="S160" s="1711">
        <v>0.33333333333333331</v>
      </c>
      <c r="T160" s="1711">
        <v>0.33333333333333331</v>
      </c>
      <c r="U160" s="1711">
        <v>0.33333333333333331</v>
      </c>
      <c r="V160" s="1711">
        <v>0.33333333333333331</v>
      </c>
      <c r="W160" s="2063">
        <v>0</v>
      </c>
      <c r="X160" s="1711">
        <v>0</v>
      </c>
      <c r="Y160" s="1711">
        <v>0</v>
      </c>
      <c r="Z160" s="1685"/>
    </row>
    <row r="161" spans="1:26" s="1605" customFormat="1">
      <c r="A161"/>
      <c r="B161" s="1597">
        <f t="shared" si="30"/>
        <v>2</v>
      </c>
      <c r="C161" s="1641" t="str">
        <f t="shared" si="31"/>
        <v>地域環境への配慮</v>
      </c>
      <c r="D161" s="1608">
        <f>SUM(D162:D168)</f>
        <v>0.33333333333333326</v>
      </c>
      <c r="E161" s="1608">
        <f>SUM(E162:E168)</f>
        <v>0</v>
      </c>
      <c r="F161" s="1559"/>
      <c r="G161" s="1609">
        <f t="shared" si="32"/>
        <v>0.33333333333333331</v>
      </c>
      <c r="H161" s="1609">
        <f t="shared" si="33"/>
        <v>0</v>
      </c>
      <c r="I161" s="1601"/>
      <c r="J161" s="1641">
        <v>2</v>
      </c>
      <c r="K161" s="1744" t="s">
        <v>381</v>
      </c>
      <c r="L161" s="1780" t="s">
        <v>1150</v>
      </c>
      <c r="M161" s="1711">
        <v>0.33333333333333331</v>
      </c>
      <c r="N161" s="1711">
        <v>0.33333333333333331</v>
      </c>
      <c r="O161" s="1711">
        <v>0.33333333333333331</v>
      </c>
      <c r="P161" s="1711">
        <v>0.33333333333333331</v>
      </c>
      <c r="Q161" s="1711">
        <v>0.33333333333333331</v>
      </c>
      <c r="R161" s="1711">
        <v>0.33333333333333331</v>
      </c>
      <c r="S161" s="1711">
        <v>0.33333333333333331</v>
      </c>
      <c r="T161" s="1711">
        <v>0.33333333333333331</v>
      </c>
      <c r="U161" s="1711">
        <v>0.33333333333333331</v>
      </c>
      <c r="V161" s="1711">
        <v>0.33333333333333331</v>
      </c>
      <c r="W161" s="2063">
        <v>0</v>
      </c>
      <c r="X161" s="1711">
        <v>0</v>
      </c>
      <c r="Y161" s="1711">
        <v>0</v>
      </c>
      <c r="Z161" s="1685"/>
    </row>
    <row r="162" spans="1:26">
      <c r="B162" s="1597" t="str">
        <f t="shared" si="30"/>
        <v>2.1</v>
      </c>
      <c r="C162" s="1734" t="str">
        <f t="shared" si="31"/>
        <v>大気汚染防止</v>
      </c>
      <c r="D162" s="1615">
        <f>G$161*G162</f>
        <v>8.3333333333333329E-2</v>
      </c>
      <c r="E162" s="1615">
        <f>H$161*H162</f>
        <v>0</v>
      </c>
      <c r="F162" s="1559"/>
      <c r="G162" s="1691">
        <f t="shared" si="32"/>
        <v>0.25</v>
      </c>
      <c r="H162" s="1691">
        <f t="shared" si="33"/>
        <v>0</v>
      </c>
      <c r="I162" s="1692"/>
      <c r="J162" s="1630" t="s">
        <v>1572</v>
      </c>
      <c r="K162" s="1693" t="s">
        <v>382</v>
      </c>
      <c r="L162" s="1737" t="s">
        <v>1151</v>
      </c>
      <c r="M162" s="1623">
        <v>0.25</v>
      </c>
      <c r="N162" s="1623">
        <v>0.25</v>
      </c>
      <c r="O162" s="1623">
        <v>0.25</v>
      </c>
      <c r="P162" s="1623">
        <v>0.25</v>
      </c>
      <c r="Q162" s="1623">
        <v>0.25</v>
      </c>
      <c r="R162" s="1623">
        <v>0.25</v>
      </c>
      <c r="S162" s="1623">
        <v>0.25</v>
      </c>
      <c r="T162" s="1623">
        <v>0.25</v>
      </c>
      <c r="U162" s="1623">
        <v>0.25</v>
      </c>
      <c r="V162" s="1623">
        <v>0.25</v>
      </c>
      <c r="W162" s="1625"/>
      <c r="X162" s="1623"/>
      <c r="Y162" s="1623"/>
    </row>
    <row r="163" spans="1:26">
      <c r="B163" s="1597" t="str">
        <f t="shared" si="30"/>
        <v>2.2</v>
      </c>
      <c r="C163" s="1734" t="str">
        <f t="shared" si="31"/>
        <v>温熱環境悪化の改善</v>
      </c>
      <c r="D163" s="1615">
        <f>G$161*G163</f>
        <v>0.16666666666666666</v>
      </c>
      <c r="E163" s="1615">
        <f>H$161*H163</f>
        <v>0</v>
      </c>
      <c r="F163" s="1559"/>
      <c r="G163" s="1691">
        <f t="shared" si="32"/>
        <v>0.5</v>
      </c>
      <c r="H163" s="1691">
        <f t="shared" si="33"/>
        <v>0</v>
      </c>
      <c r="I163" s="1692"/>
      <c r="J163" s="1630" t="s">
        <v>1574</v>
      </c>
      <c r="K163" s="1693" t="s">
        <v>382</v>
      </c>
      <c r="L163" s="1737" t="s">
        <v>1736</v>
      </c>
      <c r="M163" s="2087">
        <v>0.5</v>
      </c>
      <c r="N163" s="2087">
        <v>0.5</v>
      </c>
      <c r="O163" s="2087">
        <v>0.5</v>
      </c>
      <c r="P163" s="2087">
        <v>0.5</v>
      </c>
      <c r="Q163" s="2087">
        <v>0.5</v>
      </c>
      <c r="R163" s="2087">
        <v>0.5</v>
      </c>
      <c r="S163" s="2087">
        <v>0.5</v>
      </c>
      <c r="T163" s="2087">
        <v>0.5</v>
      </c>
      <c r="U163" s="2087">
        <v>0.5</v>
      </c>
      <c r="V163" s="2087">
        <v>0.5</v>
      </c>
      <c r="W163" s="2088"/>
      <c r="X163" s="2087"/>
      <c r="Y163" s="2087"/>
    </row>
    <row r="164" spans="1:26">
      <c r="B164" s="1597" t="str">
        <f t="shared" si="30"/>
        <v>2.3</v>
      </c>
      <c r="C164" s="1734" t="str">
        <f t="shared" si="31"/>
        <v>地域インフラへの負荷抑制</v>
      </c>
      <c r="D164" s="1615"/>
      <c r="E164" s="1615"/>
      <c r="F164" s="1559"/>
      <c r="G164" s="1691">
        <f t="shared" si="32"/>
        <v>0.25</v>
      </c>
      <c r="H164" s="1691">
        <f t="shared" si="33"/>
        <v>0</v>
      </c>
      <c r="I164" s="1692"/>
      <c r="J164" s="1630" t="s">
        <v>1596</v>
      </c>
      <c r="K164" s="1693" t="s">
        <v>382</v>
      </c>
      <c r="L164" s="1737" t="s">
        <v>948</v>
      </c>
      <c r="M164" s="2087">
        <v>0.25</v>
      </c>
      <c r="N164" s="2087">
        <v>0.25</v>
      </c>
      <c r="O164" s="2087">
        <v>0.25</v>
      </c>
      <c r="P164" s="2087">
        <v>0.25</v>
      </c>
      <c r="Q164" s="2087">
        <v>0.25</v>
      </c>
      <c r="R164" s="2087">
        <v>0.25</v>
      </c>
      <c r="S164" s="2087">
        <v>0.25</v>
      </c>
      <c r="T164" s="2087">
        <v>0.25</v>
      </c>
      <c r="U164" s="2087">
        <v>0.25</v>
      </c>
      <c r="V164" s="2087">
        <v>0.25</v>
      </c>
      <c r="W164" s="2088"/>
      <c r="X164" s="2087"/>
      <c r="Y164" s="2087"/>
    </row>
    <row r="165" spans="1:26">
      <c r="B165" s="1597" t="str">
        <f t="shared" si="30"/>
        <v>2.3.1</v>
      </c>
      <c r="C165" s="1647" t="str">
        <f t="shared" si="31"/>
        <v>雨水排水負荷低減</v>
      </c>
      <c r="D165" s="1615">
        <f>G$161*G$164*G165</f>
        <v>2.0833333333333332E-2</v>
      </c>
      <c r="E165" s="1615">
        <f>H$163*H$164*H165</f>
        <v>0</v>
      </c>
      <c r="F165" s="1559"/>
      <c r="G165" s="1691">
        <f t="shared" si="32"/>
        <v>0.25</v>
      </c>
      <c r="H165" s="1691">
        <f t="shared" si="33"/>
        <v>0</v>
      </c>
      <c r="I165" s="514"/>
      <c r="J165" s="1630" t="s">
        <v>1534</v>
      </c>
      <c r="K165" s="1693" t="s">
        <v>383</v>
      </c>
      <c r="L165" s="1694" t="s">
        <v>1737</v>
      </c>
      <c r="M165" s="1623">
        <v>0.25</v>
      </c>
      <c r="N165" s="1623">
        <v>0.25</v>
      </c>
      <c r="O165" s="1623">
        <v>0.25</v>
      </c>
      <c r="P165" s="1623">
        <v>0.25</v>
      </c>
      <c r="Q165" s="1623">
        <v>0.25</v>
      </c>
      <c r="R165" s="1623">
        <v>0.25</v>
      </c>
      <c r="S165" s="1623">
        <v>0.25</v>
      </c>
      <c r="T165" s="1623">
        <v>0.25</v>
      </c>
      <c r="U165" s="1623">
        <v>0.25</v>
      </c>
      <c r="V165" s="1623">
        <v>0.25</v>
      </c>
      <c r="W165" s="2088"/>
      <c r="X165" s="2087"/>
      <c r="Y165" s="2087"/>
    </row>
    <row r="166" spans="1:26">
      <c r="B166" s="1597" t="str">
        <f t="shared" si="30"/>
        <v>2.3.2</v>
      </c>
      <c r="C166" s="1647" t="str">
        <f t="shared" si="31"/>
        <v>汚水処理負荷抑制</v>
      </c>
      <c r="D166" s="1615">
        <f>G$161*G$164*G166</f>
        <v>2.0833333333333332E-2</v>
      </c>
      <c r="E166" s="1615">
        <f>H$163*H$164*H166</f>
        <v>0</v>
      </c>
      <c r="F166" s="1559"/>
      <c r="G166" s="1691">
        <f t="shared" si="32"/>
        <v>0.25</v>
      </c>
      <c r="H166" s="1691">
        <f t="shared" si="33"/>
        <v>0</v>
      </c>
      <c r="I166" s="514"/>
      <c r="J166" s="1630" t="s">
        <v>1535</v>
      </c>
      <c r="K166" s="1693" t="s">
        <v>383</v>
      </c>
      <c r="L166" s="1694" t="s">
        <v>1738</v>
      </c>
      <c r="M166" s="1623">
        <v>0.25</v>
      </c>
      <c r="N166" s="1623">
        <v>0.25</v>
      </c>
      <c r="O166" s="1623">
        <v>0.25</v>
      </c>
      <c r="P166" s="1623">
        <v>0.25</v>
      </c>
      <c r="Q166" s="1623">
        <v>0.25</v>
      </c>
      <c r="R166" s="1623">
        <v>0.25</v>
      </c>
      <c r="S166" s="1623">
        <v>0.25</v>
      </c>
      <c r="T166" s="1623">
        <v>0.25</v>
      </c>
      <c r="U166" s="1623">
        <v>0.25</v>
      </c>
      <c r="V166" s="1623">
        <v>0.25</v>
      </c>
      <c r="W166" s="2088"/>
      <c r="X166" s="2087"/>
      <c r="Y166" s="2087"/>
    </row>
    <row r="167" spans="1:26">
      <c r="B167" s="1597" t="str">
        <f t="shared" si="30"/>
        <v>2.3.3</v>
      </c>
      <c r="C167" s="1647" t="str">
        <f t="shared" si="31"/>
        <v>交通負荷抑制</v>
      </c>
      <c r="D167" s="1615">
        <f>G$161*G$164*G167</f>
        <v>2.0833333333333332E-2</v>
      </c>
      <c r="E167" s="1615">
        <f>H$163*H$164*H167</f>
        <v>0</v>
      </c>
      <c r="F167" s="1559"/>
      <c r="G167" s="1691">
        <f t="shared" si="32"/>
        <v>0.25</v>
      </c>
      <c r="H167" s="1691">
        <f t="shared" si="33"/>
        <v>0</v>
      </c>
      <c r="I167" s="514"/>
      <c r="J167" s="1630" t="s">
        <v>1536</v>
      </c>
      <c r="K167" s="1693" t="s">
        <v>383</v>
      </c>
      <c r="L167" s="1694" t="s">
        <v>1152</v>
      </c>
      <c r="M167" s="1623">
        <v>0.25</v>
      </c>
      <c r="N167" s="1623">
        <v>0.25</v>
      </c>
      <c r="O167" s="1623">
        <v>0.25</v>
      </c>
      <c r="P167" s="1623">
        <v>0.25</v>
      </c>
      <c r="Q167" s="1623">
        <v>0.25</v>
      </c>
      <c r="R167" s="1623">
        <v>0.25</v>
      </c>
      <c r="S167" s="1623">
        <v>0.25</v>
      </c>
      <c r="T167" s="1623">
        <v>0.25</v>
      </c>
      <c r="U167" s="1623">
        <v>0.25</v>
      </c>
      <c r="V167" s="1623">
        <v>0.25</v>
      </c>
      <c r="W167" s="2088"/>
      <c r="X167" s="2087"/>
      <c r="Y167" s="2087"/>
    </row>
    <row r="168" spans="1:26">
      <c r="B168" s="1597" t="str">
        <f t="shared" si="30"/>
        <v>2.3.4</v>
      </c>
      <c r="C168" s="1734" t="str">
        <f t="shared" si="31"/>
        <v>廃棄物処理負荷抑制</v>
      </c>
      <c r="D168" s="1615">
        <f>G$161*G$164*G168</f>
        <v>2.0833333333333332E-2</v>
      </c>
      <c r="E168" s="1615">
        <f>H$163*H$164*H168</f>
        <v>0</v>
      </c>
      <c r="F168" s="1559"/>
      <c r="G168" s="1691">
        <f t="shared" si="32"/>
        <v>0.25</v>
      </c>
      <c r="H168" s="1691">
        <f t="shared" si="33"/>
        <v>0</v>
      </c>
      <c r="I168" s="1692"/>
      <c r="J168" s="1630" t="s">
        <v>1739</v>
      </c>
      <c r="K168" s="1693" t="s">
        <v>383</v>
      </c>
      <c r="L168" s="1695" t="s">
        <v>1153</v>
      </c>
      <c r="M168" s="1623">
        <v>0.25</v>
      </c>
      <c r="N168" s="1623">
        <v>0.25</v>
      </c>
      <c r="O168" s="1623">
        <v>0.25</v>
      </c>
      <c r="P168" s="1623">
        <v>0.25</v>
      </c>
      <c r="Q168" s="1623">
        <v>0.25</v>
      </c>
      <c r="R168" s="1623">
        <v>0.25</v>
      </c>
      <c r="S168" s="1623">
        <v>0.25</v>
      </c>
      <c r="T168" s="1623">
        <v>0.25</v>
      </c>
      <c r="U168" s="1623">
        <v>0.25</v>
      </c>
      <c r="V168" s="1623">
        <v>0.25</v>
      </c>
      <c r="W168" s="2088"/>
      <c r="X168" s="2087"/>
      <c r="Y168" s="2087"/>
    </row>
    <row r="169" spans="1:26" s="1605" customFormat="1">
      <c r="A169"/>
      <c r="B169" s="1597">
        <f t="shared" si="30"/>
        <v>3</v>
      </c>
      <c r="C169" s="1689" t="str">
        <f t="shared" si="31"/>
        <v>周辺環境への配慮</v>
      </c>
      <c r="D169" s="1608">
        <f>SUM(D170:D180)</f>
        <v>0.33333333333333326</v>
      </c>
      <c r="E169" s="1608">
        <f>SUM(E170:E180)</f>
        <v>0</v>
      </c>
      <c r="F169" s="1559"/>
      <c r="G169" s="1609">
        <f t="shared" si="32"/>
        <v>0.33333333333333331</v>
      </c>
      <c r="H169" s="1609">
        <f t="shared" si="33"/>
        <v>0</v>
      </c>
      <c r="I169" s="1601"/>
      <c r="J169" s="1641">
        <v>3</v>
      </c>
      <c r="K169" s="1744" t="s">
        <v>381</v>
      </c>
      <c r="L169" s="1780" t="s">
        <v>1154</v>
      </c>
      <c r="M169" s="1711">
        <v>0.33333333333333331</v>
      </c>
      <c r="N169" s="1711">
        <v>0.33333333333333331</v>
      </c>
      <c r="O169" s="1711">
        <v>0.33333333333333331</v>
      </c>
      <c r="P169" s="1711">
        <v>0.33333333333333331</v>
      </c>
      <c r="Q169" s="1711">
        <v>0.33333333333333331</v>
      </c>
      <c r="R169" s="1711">
        <v>0.33333333333333331</v>
      </c>
      <c r="S169" s="1711">
        <v>0.33333333333333331</v>
      </c>
      <c r="T169" s="1711">
        <v>0.33333333333333331</v>
      </c>
      <c r="U169" s="1711">
        <v>0.33333333333333331</v>
      </c>
      <c r="V169" s="1711">
        <v>0.33333333333333331</v>
      </c>
      <c r="W169" s="2063">
        <v>0</v>
      </c>
      <c r="X169" s="1711">
        <v>0</v>
      </c>
      <c r="Y169" s="1711">
        <v>0</v>
      </c>
      <c r="Z169" s="1685"/>
    </row>
    <row r="170" spans="1:26">
      <c r="B170" s="1597" t="str">
        <f t="shared" si="30"/>
        <v>3.1</v>
      </c>
      <c r="C170" s="1734" t="str">
        <f t="shared" si="31"/>
        <v>騒音・振動・悪臭の防止</v>
      </c>
      <c r="D170" s="1615"/>
      <c r="E170" s="1615"/>
      <c r="F170" s="1559"/>
      <c r="G170" s="1691">
        <f t="shared" si="32"/>
        <v>0.39999999999999997</v>
      </c>
      <c r="H170" s="1691">
        <f t="shared" si="33"/>
        <v>0</v>
      </c>
      <c r="I170" s="1692"/>
      <c r="J170" s="1630" t="s">
        <v>1557</v>
      </c>
      <c r="K170" s="1693" t="s">
        <v>384</v>
      </c>
      <c r="L170" s="1737" t="s">
        <v>1155</v>
      </c>
      <c r="M170" s="2087">
        <v>0.4</v>
      </c>
      <c r="N170" s="2087">
        <v>0.4</v>
      </c>
      <c r="O170" s="2087">
        <v>0.4</v>
      </c>
      <c r="P170" s="2087">
        <v>0.4</v>
      </c>
      <c r="Q170" s="2087">
        <v>0.4</v>
      </c>
      <c r="R170" s="2087">
        <v>0.4</v>
      </c>
      <c r="S170" s="2087">
        <v>0.4</v>
      </c>
      <c r="T170" s="2087">
        <v>0.4</v>
      </c>
      <c r="U170" s="2087">
        <v>0.4</v>
      </c>
      <c r="V170" s="2087">
        <v>0.4</v>
      </c>
      <c r="W170" s="2088"/>
      <c r="X170" s="2087"/>
      <c r="Y170" s="2087"/>
    </row>
    <row r="171" spans="1:26" s="1605" customFormat="1">
      <c r="A171"/>
      <c r="B171" s="1597" t="str">
        <f t="shared" si="30"/>
        <v>3.1.1</v>
      </c>
      <c r="C171" s="1641" t="str">
        <f t="shared" si="31"/>
        <v>騒音</v>
      </c>
      <c r="D171" s="1615">
        <f t="shared" ref="D171:E173" si="35">G$169*G$170*G171</f>
        <v>4.4444444444444432E-2</v>
      </c>
      <c r="E171" s="1615">
        <f t="shared" si="35"/>
        <v>0</v>
      </c>
      <c r="F171" s="1559"/>
      <c r="G171" s="1743">
        <f t="shared" si="32"/>
        <v>0.33333333333333331</v>
      </c>
      <c r="H171" s="1743">
        <f t="shared" si="33"/>
        <v>0</v>
      </c>
      <c r="I171" s="1692"/>
      <c r="J171" s="1630" t="s">
        <v>1538</v>
      </c>
      <c r="K171" s="1647" t="s">
        <v>385</v>
      </c>
      <c r="L171" s="1737" t="s">
        <v>1156</v>
      </c>
      <c r="M171" s="1623">
        <v>0.33333333333333331</v>
      </c>
      <c r="N171" s="1623">
        <v>0.33333333333333331</v>
      </c>
      <c r="O171" s="1623">
        <v>0.33333333333333331</v>
      </c>
      <c r="P171" s="1623">
        <v>0.33333333333333331</v>
      </c>
      <c r="Q171" s="1623">
        <v>0.33333333333333331</v>
      </c>
      <c r="R171" s="1623">
        <v>0.33333333333333331</v>
      </c>
      <c r="S171" s="1623">
        <v>0.33333333333333331</v>
      </c>
      <c r="T171" s="1623">
        <v>0.33333333333333331</v>
      </c>
      <c r="U171" s="1623">
        <v>0.33333333333333331</v>
      </c>
      <c r="V171" s="1623">
        <v>0.33333333333333331</v>
      </c>
      <c r="W171" s="1625"/>
      <c r="X171" s="1623"/>
      <c r="Y171" s="1623"/>
      <c r="Z171" s="1685"/>
    </row>
    <row r="172" spans="1:26">
      <c r="B172" s="1597" t="str">
        <f t="shared" si="30"/>
        <v>3.1.2</v>
      </c>
      <c r="C172" s="1734" t="str">
        <f t="shared" si="31"/>
        <v>振動</v>
      </c>
      <c r="D172" s="1615">
        <f t="shared" si="35"/>
        <v>4.4444444444444432E-2</v>
      </c>
      <c r="E172" s="1615">
        <f t="shared" si="35"/>
        <v>0</v>
      </c>
      <c r="F172" s="1559"/>
      <c r="G172" s="1691">
        <f t="shared" si="32"/>
        <v>0.33333333333333331</v>
      </c>
      <c r="H172" s="1691">
        <f t="shared" si="33"/>
        <v>0</v>
      </c>
      <c r="I172" s="1692"/>
      <c r="J172" s="1630" t="s">
        <v>1539</v>
      </c>
      <c r="K172" s="1647" t="s">
        <v>385</v>
      </c>
      <c r="L172" s="1737" t="s">
        <v>1157</v>
      </c>
      <c r="M172" s="1623">
        <v>0.33333333333333331</v>
      </c>
      <c r="N172" s="1623">
        <v>0.33333333333333331</v>
      </c>
      <c r="O172" s="1623">
        <v>0.33333333333333331</v>
      </c>
      <c r="P172" s="1623">
        <v>0.33333333333333331</v>
      </c>
      <c r="Q172" s="1623">
        <v>0.33333333333333331</v>
      </c>
      <c r="R172" s="1623">
        <v>0.33333333333333331</v>
      </c>
      <c r="S172" s="1623">
        <v>0.33333333333333331</v>
      </c>
      <c r="T172" s="1623">
        <v>0.33333333333333331</v>
      </c>
      <c r="U172" s="1623">
        <v>0.33333333333333331</v>
      </c>
      <c r="V172" s="1623">
        <v>0.33333333333333331</v>
      </c>
      <c r="W172" s="1625"/>
      <c r="X172" s="1623"/>
      <c r="Y172" s="1623"/>
    </row>
    <row r="173" spans="1:26">
      <c r="B173" s="1597" t="str">
        <f t="shared" si="30"/>
        <v>3.1.3</v>
      </c>
      <c r="C173" s="1734" t="str">
        <f t="shared" si="31"/>
        <v>悪臭</v>
      </c>
      <c r="D173" s="1615">
        <f t="shared" si="35"/>
        <v>4.4444444444444432E-2</v>
      </c>
      <c r="E173" s="1615">
        <f t="shared" si="35"/>
        <v>0</v>
      </c>
      <c r="F173" s="1559"/>
      <c r="G173" s="1691">
        <f t="shared" si="32"/>
        <v>0.33333333333333331</v>
      </c>
      <c r="H173" s="1691">
        <f t="shared" si="33"/>
        <v>0</v>
      </c>
      <c r="I173" s="1692"/>
      <c r="J173" s="1630" t="s">
        <v>1740</v>
      </c>
      <c r="K173" s="1647" t="s">
        <v>385</v>
      </c>
      <c r="L173" s="1737" t="s">
        <v>949</v>
      </c>
      <c r="M173" s="1623">
        <v>0.33333333333333331</v>
      </c>
      <c r="N173" s="1623">
        <v>0.33333333333333331</v>
      </c>
      <c r="O173" s="1623">
        <v>0.33333333333333331</v>
      </c>
      <c r="P173" s="1623">
        <v>0.33333333333333331</v>
      </c>
      <c r="Q173" s="1623">
        <v>0.33333333333333331</v>
      </c>
      <c r="R173" s="1623">
        <v>0.33333333333333331</v>
      </c>
      <c r="S173" s="1623">
        <v>0.33333333333333331</v>
      </c>
      <c r="T173" s="1623">
        <v>0.33333333333333331</v>
      </c>
      <c r="U173" s="1623">
        <v>0.33333333333333331</v>
      </c>
      <c r="V173" s="1623">
        <v>0.33333333333333331</v>
      </c>
      <c r="W173" s="1625"/>
      <c r="X173" s="1623"/>
      <c r="Y173" s="1623"/>
    </row>
    <row r="174" spans="1:26">
      <c r="B174" s="1597" t="str">
        <f t="shared" ref="B174:B180" si="36">J174</f>
        <v>3.2</v>
      </c>
      <c r="C174" s="1734" t="str">
        <f t="shared" ref="C174:C180" si="37">L174</f>
        <v>風害、日照阻害の抑制</v>
      </c>
      <c r="D174" s="1615"/>
      <c r="E174" s="1615"/>
      <c r="F174" s="1559"/>
      <c r="G174" s="1691">
        <f t="shared" si="32"/>
        <v>0.39999999999999997</v>
      </c>
      <c r="H174" s="1691">
        <f t="shared" si="33"/>
        <v>0</v>
      </c>
      <c r="I174" s="1692"/>
      <c r="J174" s="1630" t="s">
        <v>1561</v>
      </c>
      <c r="K174" s="1693" t="s">
        <v>384</v>
      </c>
      <c r="L174" s="1737" t="s">
        <v>1741</v>
      </c>
      <c r="M174" s="2087">
        <v>0.4</v>
      </c>
      <c r="N174" s="2087">
        <v>0.4</v>
      </c>
      <c r="O174" s="2087">
        <v>0.4</v>
      </c>
      <c r="P174" s="2087">
        <v>0.4</v>
      </c>
      <c r="Q174" s="2087">
        <v>0.4</v>
      </c>
      <c r="R174" s="2087">
        <v>0.4</v>
      </c>
      <c r="S174" s="2087">
        <v>0.4</v>
      </c>
      <c r="T174" s="2087">
        <v>0.4</v>
      </c>
      <c r="U174" s="2087">
        <v>0.4</v>
      </c>
      <c r="V174" s="2495">
        <v>0.4</v>
      </c>
      <c r="W174" s="2088"/>
      <c r="X174" s="2087"/>
      <c r="Y174" s="2087"/>
    </row>
    <row r="175" spans="1:26">
      <c r="B175" s="1597" t="str">
        <f t="shared" si="36"/>
        <v>3.2.1</v>
      </c>
      <c r="C175" s="1734" t="str">
        <f t="shared" si="37"/>
        <v>風害の抑制</v>
      </c>
      <c r="D175" s="1615">
        <f t="shared" ref="D175:E177" si="38">G$169*G$174*G175</f>
        <v>9.333333333333331E-2</v>
      </c>
      <c r="E175" s="1615">
        <f t="shared" si="38"/>
        <v>0</v>
      </c>
      <c r="F175" s="1559"/>
      <c r="G175" s="1691">
        <f t="shared" si="32"/>
        <v>0.7</v>
      </c>
      <c r="H175" s="1691">
        <f t="shared" si="33"/>
        <v>0</v>
      </c>
      <c r="I175" s="1692"/>
      <c r="J175" s="1630" t="s">
        <v>1602</v>
      </c>
      <c r="K175" s="1693" t="s">
        <v>386</v>
      </c>
      <c r="L175" s="1694" t="s">
        <v>1742</v>
      </c>
      <c r="M175" s="1623">
        <v>0.7</v>
      </c>
      <c r="N175" s="1623">
        <v>0.7</v>
      </c>
      <c r="O175" s="1623">
        <v>0.7</v>
      </c>
      <c r="P175" s="1623">
        <v>0.7</v>
      </c>
      <c r="Q175" s="1623">
        <v>0.7</v>
      </c>
      <c r="R175" s="1623">
        <v>0.7</v>
      </c>
      <c r="S175" s="1623">
        <v>0.7</v>
      </c>
      <c r="T175" s="1623">
        <v>0.7</v>
      </c>
      <c r="U175" s="1623">
        <v>0.7</v>
      </c>
      <c r="V175" s="2496">
        <v>0.6</v>
      </c>
      <c r="W175" s="2088"/>
      <c r="X175" s="2087"/>
      <c r="Y175" s="2087"/>
    </row>
    <row r="176" spans="1:26">
      <c r="B176" s="1597" t="str">
        <f>J176</f>
        <v>3.2.3</v>
      </c>
      <c r="C176" s="1734" t="str">
        <f>L176</f>
        <v>砂塵の抑制</v>
      </c>
      <c r="D176" s="1615">
        <f t="shared" si="38"/>
        <v>0</v>
      </c>
      <c r="E176" s="1615">
        <f t="shared" si="38"/>
        <v>0</v>
      </c>
      <c r="F176" s="1559"/>
      <c r="G176" s="1691">
        <f t="shared" si="32"/>
        <v>0</v>
      </c>
      <c r="H176" s="1691">
        <f t="shared" si="33"/>
        <v>0</v>
      </c>
      <c r="I176" s="1692"/>
      <c r="J176" s="1630" t="s">
        <v>379</v>
      </c>
      <c r="K176" s="1693" t="s">
        <v>387</v>
      </c>
      <c r="L176" s="1694" t="s">
        <v>1158</v>
      </c>
      <c r="M176" s="1623"/>
      <c r="N176" s="1623"/>
      <c r="O176" s="1623"/>
      <c r="P176" s="1623"/>
      <c r="Q176" s="1623"/>
      <c r="R176" s="1623"/>
      <c r="S176" s="1623"/>
      <c r="T176" s="1623"/>
      <c r="U176" s="1623"/>
      <c r="V176" s="2496">
        <v>0.2</v>
      </c>
      <c r="W176" s="2088"/>
      <c r="X176" s="2087"/>
      <c r="Y176" s="2087"/>
    </row>
    <row r="177" spans="2:25" s="1558" customFormat="1">
      <c r="B177" s="1597" t="str">
        <f>J177</f>
        <v>3.2.2</v>
      </c>
      <c r="C177" s="1734" t="str">
        <f>L177</f>
        <v>日照阻害の抑制</v>
      </c>
      <c r="D177" s="1615">
        <f t="shared" si="38"/>
        <v>3.9999999999999987E-2</v>
      </c>
      <c r="E177" s="1615">
        <f t="shared" si="38"/>
        <v>0</v>
      </c>
      <c r="F177" s="1559"/>
      <c r="G177" s="1691">
        <f t="shared" si="32"/>
        <v>0.3</v>
      </c>
      <c r="H177" s="1691">
        <f t="shared" si="33"/>
        <v>0</v>
      </c>
      <c r="I177" s="1692"/>
      <c r="J177" s="1630" t="s">
        <v>1605</v>
      </c>
      <c r="K177" s="1693" t="s">
        <v>386</v>
      </c>
      <c r="L177" s="1694" t="s">
        <v>1743</v>
      </c>
      <c r="M177" s="1623">
        <v>0.3</v>
      </c>
      <c r="N177" s="1623">
        <v>0.3</v>
      </c>
      <c r="O177" s="1623">
        <v>0.3</v>
      </c>
      <c r="P177" s="1623">
        <v>0.3</v>
      </c>
      <c r="Q177" s="1623">
        <v>0.3</v>
      </c>
      <c r="R177" s="1623">
        <v>0.3</v>
      </c>
      <c r="S177" s="1623">
        <v>0.3</v>
      </c>
      <c r="T177" s="1623">
        <v>0.3</v>
      </c>
      <c r="U177" s="1623">
        <v>0.3</v>
      </c>
      <c r="V177" s="2496">
        <v>0.2</v>
      </c>
      <c r="W177" s="2088"/>
      <c r="X177" s="2087"/>
      <c r="Y177" s="2087"/>
    </row>
    <row r="178" spans="2:25" s="1558" customFormat="1">
      <c r="B178" s="1597" t="str">
        <f t="shared" si="36"/>
        <v>3.3</v>
      </c>
      <c r="C178" s="1734" t="str">
        <f t="shared" si="37"/>
        <v>光害の抑制</v>
      </c>
      <c r="D178" s="1615"/>
      <c r="E178" s="1615"/>
      <c r="F178" s="1559"/>
      <c r="G178" s="1691">
        <f t="shared" si="32"/>
        <v>0.19999999999999998</v>
      </c>
      <c r="H178" s="1691">
        <f t="shared" si="33"/>
        <v>0</v>
      </c>
      <c r="I178" s="1692"/>
      <c r="J178" s="1630" t="s">
        <v>1744</v>
      </c>
      <c r="K178" s="1693" t="s">
        <v>384</v>
      </c>
      <c r="L178" s="1694" t="s">
        <v>1160</v>
      </c>
      <c r="M178" s="1623">
        <v>0.2</v>
      </c>
      <c r="N178" s="1623">
        <v>0.2</v>
      </c>
      <c r="O178" s="1623">
        <v>0.2</v>
      </c>
      <c r="P178" s="1623">
        <v>0.2</v>
      </c>
      <c r="Q178" s="1623">
        <v>0.2</v>
      </c>
      <c r="R178" s="1623">
        <v>0.2</v>
      </c>
      <c r="S178" s="1623">
        <v>0.2</v>
      </c>
      <c r="T178" s="1623">
        <v>0.2</v>
      </c>
      <c r="U178" s="1623">
        <v>0.2</v>
      </c>
      <c r="V178" s="2495">
        <v>0.2</v>
      </c>
      <c r="W178" s="2088"/>
      <c r="X178" s="2087"/>
      <c r="Y178" s="2087"/>
    </row>
    <row r="179" spans="2:25" s="1558" customFormat="1">
      <c r="B179" s="1597" t="str">
        <f t="shared" si="36"/>
        <v>3.3.1</v>
      </c>
      <c r="C179" s="1745" t="str">
        <f t="shared" si="37"/>
        <v>屋外照明及び屋内照明のうち外に漏れる光への対策</v>
      </c>
      <c r="D179" s="1615">
        <f>G$169*G$178*G179</f>
        <v>4.6666666666666655E-2</v>
      </c>
      <c r="E179" s="1615">
        <f>H$169*H$178*H179</f>
        <v>0</v>
      </c>
      <c r="F179" s="1559"/>
      <c r="G179" s="1691">
        <f t="shared" si="32"/>
        <v>0.7</v>
      </c>
      <c r="H179" s="1691">
        <f t="shared" si="33"/>
        <v>0</v>
      </c>
      <c r="I179" s="1692"/>
      <c r="J179" s="1630" t="s">
        <v>1540</v>
      </c>
      <c r="K179" s="1693" t="s">
        <v>387</v>
      </c>
      <c r="L179" s="1694" t="s">
        <v>1745</v>
      </c>
      <c r="M179" s="2087">
        <v>0.7</v>
      </c>
      <c r="N179" s="2087">
        <v>0.7</v>
      </c>
      <c r="O179" s="2087">
        <v>0.7</v>
      </c>
      <c r="P179" s="2087">
        <v>0.7</v>
      </c>
      <c r="Q179" s="2087">
        <v>0.7</v>
      </c>
      <c r="R179" s="2087">
        <v>0.7</v>
      </c>
      <c r="S179" s="2087">
        <v>0.7</v>
      </c>
      <c r="T179" s="2087">
        <v>0.7</v>
      </c>
      <c r="U179" s="2087">
        <v>0.7</v>
      </c>
      <c r="V179" s="2496">
        <v>0.7</v>
      </c>
      <c r="W179" s="2088"/>
      <c r="X179" s="2087"/>
      <c r="Y179" s="2087"/>
    </row>
    <row r="180" spans="2:25" s="1558" customFormat="1">
      <c r="B180" s="1597" t="str">
        <f t="shared" si="36"/>
        <v>3.3.2</v>
      </c>
      <c r="C180" s="1737" t="str">
        <f t="shared" si="37"/>
        <v>昼光の建物外壁による反射光（グレア）への対策</v>
      </c>
      <c r="D180" s="1615">
        <f>G$169*G$178*G180</f>
        <v>1.9999999999999993E-2</v>
      </c>
      <c r="E180" s="1615">
        <f>H$169*H$178*H180</f>
        <v>0</v>
      </c>
      <c r="F180" s="1559"/>
      <c r="G180" s="1691">
        <f t="shared" si="32"/>
        <v>0.3</v>
      </c>
      <c r="H180" s="1691">
        <f t="shared" si="33"/>
        <v>0</v>
      </c>
      <c r="I180" s="1692"/>
      <c r="J180" s="1630" t="s">
        <v>1542</v>
      </c>
      <c r="K180" s="1693" t="s">
        <v>387</v>
      </c>
      <c r="L180" s="1694" t="s">
        <v>1746</v>
      </c>
      <c r="M180" s="1623">
        <v>0.3</v>
      </c>
      <c r="N180" s="1623">
        <v>0.3</v>
      </c>
      <c r="O180" s="1623">
        <v>0.3</v>
      </c>
      <c r="P180" s="1623">
        <v>0.3</v>
      </c>
      <c r="Q180" s="1623">
        <v>0.3</v>
      </c>
      <c r="R180" s="1623">
        <v>0.3</v>
      </c>
      <c r="S180" s="1623">
        <v>0.3</v>
      </c>
      <c r="T180" s="1623">
        <v>0.3</v>
      </c>
      <c r="U180" s="1623">
        <v>0.3</v>
      </c>
      <c r="V180" s="1623">
        <v>0.3</v>
      </c>
      <c r="W180" s="2088"/>
      <c r="X180" s="2087"/>
      <c r="Y180" s="2087"/>
    </row>
    <row r="181" spans="2:25" customFormat="1">
      <c r="J181" s="1746"/>
    </row>
  </sheetData>
  <sheetProtection password="8D30"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7" orientation="portrait" verticalDpi="4294967293" r:id="rId1"/>
  <headerFooter alignWithMargins="0">
    <oddHeader>&amp;L&amp;F&amp;R&amp;A</oddHeader>
    <oddFooter>&amp;C&amp;P/&amp;N</oddFooter>
  </headerFooter>
  <rowBreaks count="1" manualBreakCount="1">
    <brk id="11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pageSetUpPr fitToPage="1"/>
  </sheetPr>
  <dimension ref="A1:WWM279"/>
  <sheetViews>
    <sheetView showGridLines="0" zoomScaleNormal="100" workbookViewId="0">
      <selection activeCell="D3" sqref="D3"/>
    </sheetView>
  </sheetViews>
  <sheetFormatPr defaultColWidth="0" defaultRowHeight="13.5" customHeight="1" zeroHeight="1"/>
  <cols>
    <col min="1" max="1" width="2.25" style="2662" customWidth="1"/>
    <col min="2" max="2" width="9.625" style="1550" customWidth="1"/>
    <col min="3" max="3" width="31.625" style="1551" customWidth="1"/>
    <col min="4" max="4" width="8.625" style="1696" customWidth="1"/>
    <col min="5" max="5" width="9" style="1552" customWidth="1"/>
    <col min="6" max="6" width="1.625" style="1553" customWidth="1"/>
    <col min="7" max="8" width="7.25" style="1552" customWidth="1"/>
    <col min="9" max="9" width="8.625" style="1552" customWidth="1"/>
    <col min="10" max="10" width="9.125" style="1552" customWidth="1"/>
    <col min="11" max="11" width="8.5" style="1552" customWidth="1"/>
    <col min="12" max="12" width="8.875" style="1552" customWidth="1"/>
    <col min="13" max="13" width="2.25" style="1552" customWidth="1"/>
    <col min="14" max="14" width="8.5" style="1552" customWidth="1"/>
    <col min="15" max="15" width="8.875" style="1552" customWidth="1"/>
    <col min="16" max="16" width="2.625" style="1553" customWidth="1"/>
    <col min="17" max="17" width="9.625" style="1554" customWidth="1"/>
    <col min="18" max="18" width="31.625" style="1555" customWidth="1"/>
    <col min="19" max="29" width="7.375" style="1556" customWidth="1"/>
    <col min="30" max="30" width="7.625" style="1556" customWidth="1"/>
    <col min="31" max="31" width="1.625" style="1557" customWidth="1"/>
    <col min="32" max="256" width="0" style="1558" hidden="1"/>
    <col min="257" max="257" width="2.25" style="1558" hidden="1" customWidth="1"/>
    <col min="258" max="258" width="9.625" style="1558" hidden="1" customWidth="1"/>
    <col min="259" max="259" width="31.625" style="1558" hidden="1" customWidth="1"/>
    <col min="260" max="260" width="8.625" style="1558" hidden="1" customWidth="1"/>
    <col min="261" max="261" width="9" style="1558" hidden="1" customWidth="1"/>
    <col min="262" max="262" width="1.625" style="1558" hidden="1" customWidth="1"/>
    <col min="263" max="264" width="7.25" style="1558" hidden="1" customWidth="1"/>
    <col min="265" max="265" width="8.625" style="1558" hidden="1" customWidth="1"/>
    <col min="266" max="266" width="9.125" style="1558" hidden="1" customWidth="1"/>
    <col min="267" max="267" width="8.5" style="1558" hidden="1" customWidth="1"/>
    <col min="268" max="268" width="8.875" style="1558" hidden="1" customWidth="1"/>
    <col min="269" max="269" width="2.25" style="1558" hidden="1" customWidth="1"/>
    <col min="270" max="270" width="8.5" style="1558" hidden="1" customWidth="1"/>
    <col min="271" max="271" width="8.875" style="1558" hidden="1" customWidth="1"/>
    <col min="272" max="272" width="2.625" style="1558" hidden="1" customWidth="1"/>
    <col min="273" max="273" width="9.625" style="1558" hidden="1" customWidth="1"/>
    <col min="274" max="274" width="31.625" style="1558" hidden="1" customWidth="1"/>
    <col min="275" max="285" width="7.375" style="1558" hidden="1" customWidth="1"/>
    <col min="286" max="286" width="7.625" style="1558" hidden="1" customWidth="1"/>
    <col min="287" max="287" width="1.625" style="1558" hidden="1" customWidth="1"/>
    <col min="288" max="512" width="0" style="1558" hidden="1"/>
    <col min="513" max="513" width="2.25" style="1558" hidden="1" customWidth="1"/>
    <col min="514" max="514" width="9.625" style="1558" hidden="1" customWidth="1"/>
    <col min="515" max="515" width="31.625" style="1558" hidden="1" customWidth="1"/>
    <col min="516" max="516" width="8.625" style="1558" hidden="1" customWidth="1"/>
    <col min="517" max="517" width="9" style="1558" hidden="1" customWidth="1"/>
    <col min="518" max="518" width="1.625" style="1558" hidden="1" customWidth="1"/>
    <col min="519" max="520" width="7.25" style="1558" hidden="1" customWidth="1"/>
    <col min="521" max="521" width="8.625" style="1558" hidden="1" customWidth="1"/>
    <col min="522" max="522" width="9.125" style="1558" hidden="1" customWidth="1"/>
    <col min="523" max="523" width="8.5" style="1558" hidden="1" customWidth="1"/>
    <col min="524" max="524" width="8.875" style="1558" hidden="1" customWidth="1"/>
    <col min="525" max="525" width="2.25" style="1558" hidden="1" customWidth="1"/>
    <col min="526" max="526" width="8.5" style="1558" hidden="1" customWidth="1"/>
    <col min="527" max="527" width="8.875" style="1558" hidden="1" customWidth="1"/>
    <col min="528" max="528" width="2.625" style="1558" hidden="1" customWidth="1"/>
    <col min="529" max="529" width="9.625" style="1558" hidden="1" customWidth="1"/>
    <col min="530" max="530" width="31.625" style="1558" hidden="1" customWidth="1"/>
    <col min="531" max="541" width="7.375" style="1558" hidden="1" customWidth="1"/>
    <col min="542" max="542" width="7.625" style="1558" hidden="1" customWidth="1"/>
    <col min="543" max="543" width="1.625" style="1558" hidden="1" customWidth="1"/>
    <col min="544" max="768" width="0" style="1558" hidden="1"/>
    <col min="769" max="769" width="2.25" style="1558" hidden="1" customWidth="1"/>
    <col min="770" max="770" width="9.625" style="1558" hidden="1" customWidth="1"/>
    <col min="771" max="771" width="31.625" style="1558" hidden="1" customWidth="1"/>
    <col min="772" max="772" width="8.625" style="1558" hidden="1" customWidth="1"/>
    <col min="773" max="773" width="9" style="1558" hidden="1" customWidth="1"/>
    <col min="774" max="774" width="1.625" style="1558" hidden="1" customWidth="1"/>
    <col min="775" max="776" width="7.25" style="1558" hidden="1" customWidth="1"/>
    <col min="777" max="777" width="8.625" style="1558" hidden="1" customWidth="1"/>
    <col min="778" max="778" width="9.125" style="1558" hidden="1" customWidth="1"/>
    <col min="779" max="779" width="8.5" style="1558" hidden="1" customWidth="1"/>
    <col min="780" max="780" width="8.875" style="1558" hidden="1" customWidth="1"/>
    <col min="781" max="781" width="2.25" style="1558" hidden="1" customWidth="1"/>
    <col min="782" max="782" width="8.5" style="1558" hidden="1" customWidth="1"/>
    <col min="783" max="783" width="8.875" style="1558" hidden="1" customWidth="1"/>
    <col min="784" max="784" width="2.625" style="1558" hidden="1" customWidth="1"/>
    <col min="785" max="785" width="9.625" style="1558" hidden="1" customWidth="1"/>
    <col min="786" max="786" width="31.625" style="1558" hidden="1" customWidth="1"/>
    <col min="787" max="797" width="7.375" style="1558" hidden="1" customWidth="1"/>
    <col min="798" max="798" width="7.625" style="1558" hidden="1" customWidth="1"/>
    <col min="799" max="799" width="1.625" style="1558" hidden="1" customWidth="1"/>
    <col min="800" max="1024" width="0" style="1558" hidden="1"/>
    <col min="1025" max="1025" width="2.25" style="1558" hidden="1" customWidth="1"/>
    <col min="1026" max="1026" width="9.625" style="1558" hidden="1" customWidth="1"/>
    <col min="1027" max="1027" width="31.625" style="1558" hidden="1" customWidth="1"/>
    <col min="1028" max="1028" width="8.625" style="1558" hidden="1" customWidth="1"/>
    <col min="1029" max="1029" width="9" style="1558" hidden="1" customWidth="1"/>
    <col min="1030" max="1030" width="1.625" style="1558" hidden="1" customWidth="1"/>
    <col min="1031" max="1032" width="7.25" style="1558" hidden="1" customWidth="1"/>
    <col min="1033" max="1033" width="8.625" style="1558" hidden="1" customWidth="1"/>
    <col min="1034" max="1034" width="9.125" style="1558" hidden="1" customWidth="1"/>
    <col min="1035" max="1035" width="8.5" style="1558" hidden="1" customWidth="1"/>
    <col min="1036" max="1036" width="8.875" style="1558" hidden="1" customWidth="1"/>
    <col min="1037" max="1037" width="2.25" style="1558" hidden="1" customWidth="1"/>
    <col min="1038" max="1038" width="8.5" style="1558" hidden="1" customWidth="1"/>
    <col min="1039" max="1039" width="8.875" style="1558" hidden="1" customWidth="1"/>
    <col min="1040" max="1040" width="2.625" style="1558" hidden="1" customWidth="1"/>
    <col min="1041" max="1041" width="9.625" style="1558" hidden="1" customWidth="1"/>
    <col min="1042" max="1042" width="31.625" style="1558" hidden="1" customWidth="1"/>
    <col min="1043" max="1053" width="7.375" style="1558" hidden="1" customWidth="1"/>
    <col min="1054" max="1054" width="7.625" style="1558" hidden="1" customWidth="1"/>
    <col min="1055" max="1055" width="1.625" style="1558" hidden="1" customWidth="1"/>
    <col min="1056" max="1280" width="0" style="1558" hidden="1"/>
    <col min="1281" max="1281" width="2.25" style="1558" hidden="1" customWidth="1"/>
    <col min="1282" max="1282" width="9.625" style="1558" hidden="1" customWidth="1"/>
    <col min="1283" max="1283" width="31.625" style="1558" hidden="1" customWidth="1"/>
    <col min="1284" max="1284" width="8.625" style="1558" hidden="1" customWidth="1"/>
    <col min="1285" max="1285" width="9" style="1558" hidden="1" customWidth="1"/>
    <col min="1286" max="1286" width="1.625" style="1558" hidden="1" customWidth="1"/>
    <col min="1287" max="1288" width="7.25" style="1558" hidden="1" customWidth="1"/>
    <col min="1289" max="1289" width="8.625" style="1558" hidden="1" customWidth="1"/>
    <col min="1290" max="1290" width="9.125" style="1558" hidden="1" customWidth="1"/>
    <col min="1291" max="1291" width="8.5" style="1558" hidden="1" customWidth="1"/>
    <col min="1292" max="1292" width="8.875" style="1558" hidden="1" customWidth="1"/>
    <col min="1293" max="1293" width="2.25" style="1558" hidden="1" customWidth="1"/>
    <col min="1294" max="1294" width="8.5" style="1558" hidden="1" customWidth="1"/>
    <col min="1295" max="1295" width="8.875" style="1558" hidden="1" customWidth="1"/>
    <col min="1296" max="1296" width="2.625" style="1558" hidden="1" customWidth="1"/>
    <col min="1297" max="1297" width="9.625" style="1558" hidden="1" customWidth="1"/>
    <col min="1298" max="1298" width="31.625" style="1558" hidden="1" customWidth="1"/>
    <col min="1299" max="1309" width="7.375" style="1558" hidden="1" customWidth="1"/>
    <col min="1310" max="1310" width="7.625" style="1558" hidden="1" customWidth="1"/>
    <col min="1311" max="1311" width="1.625" style="1558" hidden="1" customWidth="1"/>
    <col min="1312" max="1536" width="0" style="1558" hidden="1"/>
    <col min="1537" max="1537" width="2.25" style="1558" hidden="1" customWidth="1"/>
    <col min="1538" max="1538" width="9.625" style="1558" hidden="1" customWidth="1"/>
    <col min="1539" max="1539" width="31.625" style="1558" hidden="1" customWidth="1"/>
    <col min="1540" max="1540" width="8.625" style="1558" hidden="1" customWidth="1"/>
    <col min="1541" max="1541" width="9" style="1558" hidden="1" customWidth="1"/>
    <col min="1542" max="1542" width="1.625" style="1558" hidden="1" customWidth="1"/>
    <col min="1543" max="1544" width="7.25" style="1558" hidden="1" customWidth="1"/>
    <col min="1545" max="1545" width="8.625" style="1558" hidden="1" customWidth="1"/>
    <col min="1546" max="1546" width="9.125" style="1558" hidden="1" customWidth="1"/>
    <col min="1547" max="1547" width="8.5" style="1558" hidden="1" customWidth="1"/>
    <col min="1548" max="1548" width="8.875" style="1558" hidden="1" customWidth="1"/>
    <col min="1549" max="1549" width="2.25" style="1558" hidden="1" customWidth="1"/>
    <col min="1550" max="1550" width="8.5" style="1558" hidden="1" customWidth="1"/>
    <col min="1551" max="1551" width="8.875" style="1558" hidden="1" customWidth="1"/>
    <col min="1552" max="1552" width="2.625" style="1558" hidden="1" customWidth="1"/>
    <col min="1553" max="1553" width="9.625" style="1558" hidden="1" customWidth="1"/>
    <col min="1554" max="1554" width="31.625" style="1558" hidden="1" customWidth="1"/>
    <col min="1555" max="1565" width="7.375" style="1558" hidden="1" customWidth="1"/>
    <col min="1566" max="1566" width="7.625" style="1558" hidden="1" customWidth="1"/>
    <col min="1567" max="1567" width="1.625" style="1558" hidden="1" customWidth="1"/>
    <col min="1568" max="1792" width="0" style="1558" hidden="1"/>
    <col min="1793" max="1793" width="2.25" style="1558" hidden="1" customWidth="1"/>
    <col min="1794" max="1794" width="9.625" style="1558" hidden="1" customWidth="1"/>
    <col min="1795" max="1795" width="31.625" style="1558" hidden="1" customWidth="1"/>
    <col min="1796" max="1796" width="8.625" style="1558" hidden="1" customWidth="1"/>
    <col min="1797" max="1797" width="9" style="1558" hidden="1" customWidth="1"/>
    <col min="1798" max="1798" width="1.625" style="1558" hidden="1" customWidth="1"/>
    <col min="1799" max="1800" width="7.25" style="1558" hidden="1" customWidth="1"/>
    <col min="1801" max="1801" width="8.625" style="1558" hidden="1" customWidth="1"/>
    <col min="1802" max="1802" width="9.125" style="1558" hidden="1" customWidth="1"/>
    <col min="1803" max="1803" width="8.5" style="1558" hidden="1" customWidth="1"/>
    <col min="1804" max="1804" width="8.875" style="1558" hidden="1" customWidth="1"/>
    <col min="1805" max="1805" width="2.25" style="1558" hidden="1" customWidth="1"/>
    <col min="1806" max="1806" width="8.5" style="1558" hidden="1" customWidth="1"/>
    <col min="1807" max="1807" width="8.875" style="1558" hidden="1" customWidth="1"/>
    <col min="1808" max="1808" width="2.625" style="1558" hidden="1" customWidth="1"/>
    <col min="1809" max="1809" width="9.625" style="1558" hidden="1" customWidth="1"/>
    <col min="1810" max="1810" width="31.625" style="1558" hidden="1" customWidth="1"/>
    <col min="1811" max="1821" width="7.375" style="1558" hidden="1" customWidth="1"/>
    <col min="1822" max="1822" width="7.625" style="1558" hidden="1" customWidth="1"/>
    <col min="1823" max="1823" width="1.625" style="1558" hidden="1" customWidth="1"/>
    <col min="1824" max="2048" width="0" style="1558" hidden="1"/>
    <col min="2049" max="2049" width="2.25" style="1558" hidden="1" customWidth="1"/>
    <col min="2050" max="2050" width="9.625" style="1558" hidden="1" customWidth="1"/>
    <col min="2051" max="2051" width="31.625" style="1558" hidden="1" customWidth="1"/>
    <col min="2052" max="2052" width="8.625" style="1558" hidden="1" customWidth="1"/>
    <col min="2053" max="2053" width="9" style="1558" hidden="1" customWidth="1"/>
    <col min="2054" max="2054" width="1.625" style="1558" hidden="1" customWidth="1"/>
    <col min="2055" max="2056" width="7.25" style="1558" hidden="1" customWidth="1"/>
    <col min="2057" max="2057" width="8.625" style="1558" hidden="1" customWidth="1"/>
    <col min="2058" max="2058" width="9.125" style="1558" hidden="1" customWidth="1"/>
    <col min="2059" max="2059" width="8.5" style="1558" hidden="1" customWidth="1"/>
    <col min="2060" max="2060" width="8.875" style="1558" hidden="1" customWidth="1"/>
    <col min="2061" max="2061" width="2.25" style="1558" hidden="1" customWidth="1"/>
    <col min="2062" max="2062" width="8.5" style="1558" hidden="1" customWidth="1"/>
    <col min="2063" max="2063" width="8.875" style="1558" hidden="1" customWidth="1"/>
    <col min="2064" max="2064" width="2.625" style="1558" hidden="1" customWidth="1"/>
    <col min="2065" max="2065" width="9.625" style="1558" hidden="1" customWidth="1"/>
    <col min="2066" max="2066" width="31.625" style="1558" hidden="1" customWidth="1"/>
    <col min="2067" max="2077" width="7.375" style="1558" hidden="1" customWidth="1"/>
    <col min="2078" max="2078" width="7.625" style="1558" hidden="1" customWidth="1"/>
    <col min="2079" max="2079" width="1.625" style="1558" hidden="1" customWidth="1"/>
    <col min="2080" max="2304" width="0" style="1558" hidden="1"/>
    <col min="2305" max="2305" width="2.25" style="1558" hidden="1" customWidth="1"/>
    <col min="2306" max="2306" width="9.625" style="1558" hidden="1" customWidth="1"/>
    <col min="2307" max="2307" width="31.625" style="1558" hidden="1" customWidth="1"/>
    <col min="2308" max="2308" width="8.625" style="1558" hidden="1" customWidth="1"/>
    <col min="2309" max="2309" width="9" style="1558" hidden="1" customWidth="1"/>
    <col min="2310" max="2310" width="1.625" style="1558" hidden="1" customWidth="1"/>
    <col min="2311" max="2312" width="7.25" style="1558" hidden="1" customWidth="1"/>
    <col min="2313" max="2313" width="8.625" style="1558" hidden="1" customWidth="1"/>
    <col min="2314" max="2314" width="9.125" style="1558" hidden="1" customWidth="1"/>
    <col min="2315" max="2315" width="8.5" style="1558" hidden="1" customWidth="1"/>
    <col min="2316" max="2316" width="8.875" style="1558" hidden="1" customWidth="1"/>
    <col min="2317" max="2317" width="2.25" style="1558" hidden="1" customWidth="1"/>
    <col min="2318" max="2318" width="8.5" style="1558" hidden="1" customWidth="1"/>
    <col min="2319" max="2319" width="8.875" style="1558" hidden="1" customWidth="1"/>
    <col min="2320" max="2320" width="2.625" style="1558" hidden="1" customWidth="1"/>
    <col min="2321" max="2321" width="9.625" style="1558" hidden="1" customWidth="1"/>
    <col min="2322" max="2322" width="31.625" style="1558" hidden="1" customWidth="1"/>
    <col min="2323" max="2333" width="7.375" style="1558" hidden="1" customWidth="1"/>
    <col min="2334" max="2334" width="7.625" style="1558" hidden="1" customWidth="1"/>
    <col min="2335" max="2335" width="1.625" style="1558" hidden="1" customWidth="1"/>
    <col min="2336" max="2560" width="0" style="1558" hidden="1"/>
    <col min="2561" max="2561" width="2.25" style="1558" hidden="1" customWidth="1"/>
    <col min="2562" max="2562" width="9.625" style="1558" hidden="1" customWidth="1"/>
    <col min="2563" max="2563" width="31.625" style="1558" hidden="1" customWidth="1"/>
    <col min="2564" max="2564" width="8.625" style="1558" hidden="1" customWidth="1"/>
    <col min="2565" max="2565" width="9" style="1558" hidden="1" customWidth="1"/>
    <col min="2566" max="2566" width="1.625" style="1558" hidden="1" customWidth="1"/>
    <col min="2567" max="2568" width="7.25" style="1558" hidden="1" customWidth="1"/>
    <col min="2569" max="2569" width="8.625" style="1558" hidden="1" customWidth="1"/>
    <col min="2570" max="2570" width="9.125" style="1558" hidden="1" customWidth="1"/>
    <col min="2571" max="2571" width="8.5" style="1558" hidden="1" customWidth="1"/>
    <col min="2572" max="2572" width="8.875" style="1558" hidden="1" customWidth="1"/>
    <col min="2573" max="2573" width="2.25" style="1558" hidden="1" customWidth="1"/>
    <col min="2574" max="2574" width="8.5" style="1558" hidden="1" customWidth="1"/>
    <col min="2575" max="2575" width="8.875" style="1558" hidden="1" customWidth="1"/>
    <col min="2576" max="2576" width="2.625" style="1558" hidden="1" customWidth="1"/>
    <col min="2577" max="2577" width="9.625" style="1558" hidden="1" customWidth="1"/>
    <col min="2578" max="2578" width="31.625" style="1558" hidden="1" customWidth="1"/>
    <col min="2579" max="2589" width="7.375" style="1558" hidden="1" customWidth="1"/>
    <col min="2590" max="2590" width="7.625" style="1558" hidden="1" customWidth="1"/>
    <col min="2591" max="2591" width="1.625" style="1558" hidden="1" customWidth="1"/>
    <col min="2592" max="2816" width="0" style="1558" hidden="1"/>
    <col min="2817" max="2817" width="2.25" style="1558" hidden="1" customWidth="1"/>
    <col min="2818" max="2818" width="9.625" style="1558" hidden="1" customWidth="1"/>
    <col min="2819" max="2819" width="31.625" style="1558" hidden="1" customWidth="1"/>
    <col min="2820" max="2820" width="8.625" style="1558" hidden="1" customWidth="1"/>
    <col min="2821" max="2821" width="9" style="1558" hidden="1" customWidth="1"/>
    <col min="2822" max="2822" width="1.625" style="1558" hidden="1" customWidth="1"/>
    <col min="2823" max="2824" width="7.25" style="1558" hidden="1" customWidth="1"/>
    <col min="2825" max="2825" width="8.625" style="1558" hidden="1" customWidth="1"/>
    <col min="2826" max="2826" width="9.125" style="1558" hidden="1" customWidth="1"/>
    <col min="2827" max="2827" width="8.5" style="1558" hidden="1" customWidth="1"/>
    <col min="2828" max="2828" width="8.875" style="1558" hidden="1" customWidth="1"/>
    <col min="2829" max="2829" width="2.25" style="1558" hidden="1" customWidth="1"/>
    <col min="2830" max="2830" width="8.5" style="1558" hidden="1" customWidth="1"/>
    <col min="2831" max="2831" width="8.875" style="1558" hidden="1" customWidth="1"/>
    <col min="2832" max="2832" width="2.625" style="1558" hidden="1" customWidth="1"/>
    <col min="2833" max="2833" width="9.625" style="1558" hidden="1" customWidth="1"/>
    <col min="2834" max="2834" width="31.625" style="1558" hidden="1" customWidth="1"/>
    <col min="2835" max="2845" width="7.375" style="1558" hidden="1" customWidth="1"/>
    <col min="2846" max="2846" width="7.625" style="1558" hidden="1" customWidth="1"/>
    <col min="2847" max="2847" width="1.625" style="1558" hidden="1" customWidth="1"/>
    <col min="2848" max="3072" width="0" style="1558" hidden="1"/>
    <col min="3073" max="3073" width="2.25" style="1558" hidden="1" customWidth="1"/>
    <col min="3074" max="3074" width="9.625" style="1558" hidden="1" customWidth="1"/>
    <col min="3075" max="3075" width="31.625" style="1558" hidden="1" customWidth="1"/>
    <col min="3076" max="3076" width="8.625" style="1558" hidden="1" customWidth="1"/>
    <col min="3077" max="3077" width="9" style="1558" hidden="1" customWidth="1"/>
    <col min="3078" max="3078" width="1.625" style="1558" hidden="1" customWidth="1"/>
    <col min="3079" max="3080" width="7.25" style="1558" hidden="1" customWidth="1"/>
    <col min="3081" max="3081" width="8.625" style="1558" hidden="1" customWidth="1"/>
    <col min="3082" max="3082" width="9.125" style="1558" hidden="1" customWidth="1"/>
    <col min="3083" max="3083" width="8.5" style="1558" hidden="1" customWidth="1"/>
    <col min="3084" max="3084" width="8.875" style="1558" hidden="1" customWidth="1"/>
    <col min="3085" max="3085" width="2.25" style="1558" hidden="1" customWidth="1"/>
    <col min="3086" max="3086" width="8.5" style="1558" hidden="1" customWidth="1"/>
    <col min="3087" max="3087" width="8.875" style="1558" hidden="1" customWidth="1"/>
    <col min="3088" max="3088" width="2.625" style="1558" hidden="1" customWidth="1"/>
    <col min="3089" max="3089" width="9.625" style="1558" hidden="1" customWidth="1"/>
    <col min="3090" max="3090" width="31.625" style="1558" hidden="1" customWidth="1"/>
    <col min="3091" max="3101" width="7.375" style="1558" hidden="1" customWidth="1"/>
    <col min="3102" max="3102" width="7.625" style="1558" hidden="1" customWidth="1"/>
    <col min="3103" max="3103" width="1.625" style="1558" hidden="1" customWidth="1"/>
    <col min="3104" max="3328" width="0" style="1558" hidden="1"/>
    <col min="3329" max="3329" width="2.25" style="1558" hidden="1" customWidth="1"/>
    <col min="3330" max="3330" width="9.625" style="1558" hidden="1" customWidth="1"/>
    <col min="3331" max="3331" width="31.625" style="1558" hidden="1" customWidth="1"/>
    <col min="3332" max="3332" width="8.625" style="1558" hidden="1" customWidth="1"/>
    <col min="3333" max="3333" width="9" style="1558" hidden="1" customWidth="1"/>
    <col min="3334" max="3334" width="1.625" style="1558" hidden="1" customWidth="1"/>
    <col min="3335" max="3336" width="7.25" style="1558" hidden="1" customWidth="1"/>
    <col min="3337" max="3337" width="8.625" style="1558" hidden="1" customWidth="1"/>
    <col min="3338" max="3338" width="9.125" style="1558" hidden="1" customWidth="1"/>
    <col min="3339" max="3339" width="8.5" style="1558" hidden="1" customWidth="1"/>
    <col min="3340" max="3340" width="8.875" style="1558" hidden="1" customWidth="1"/>
    <col min="3341" max="3341" width="2.25" style="1558" hidden="1" customWidth="1"/>
    <col min="3342" max="3342" width="8.5" style="1558" hidden="1" customWidth="1"/>
    <col min="3343" max="3343" width="8.875" style="1558" hidden="1" customWidth="1"/>
    <col min="3344" max="3344" width="2.625" style="1558" hidden="1" customWidth="1"/>
    <col min="3345" max="3345" width="9.625" style="1558" hidden="1" customWidth="1"/>
    <col min="3346" max="3346" width="31.625" style="1558" hidden="1" customWidth="1"/>
    <col min="3347" max="3357" width="7.375" style="1558" hidden="1" customWidth="1"/>
    <col min="3358" max="3358" width="7.625" style="1558" hidden="1" customWidth="1"/>
    <col min="3359" max="3359" width="1.625" style="1558" hidden="1" customWidth="1"/>
    <col min="3360" max="3584" width="0" style="1558" hidden="1"/>
    <col min="3585" max="3585" width="2.25" style="1558" hidden="1" customWidth="1"/>
    <col min="3586" max="3586" width="9.625" style="1558" hidden="1" customWidth="1"/>
    <col min="3587" max="3587" width="31.625" style="1558" hidden="1" customWidth="1"/>
    <col min="3588" max="3588" width="8.625" style="1558" hidden="1" customWidth="1"/>
    <col min="3589" max="3589" width="9" style="1558" hidden="1" customWidth="1"/>
    <col min="3590" max="3590" width="1.625" style="1558" hidden="1" customWidth="1"/>
    <col min="3591" max="3592" width="7.25" style="1558" hidden="1" customWidth="1"/>
    <col min="3593" max="3593" width="8.625" style="1558" hidden="1" customWidth="1"/>
    <col min="3594" max="3594" width="9.125" style="1558" hidden="1" customWidth="1"/>
    <col min="3595" max="3595" width="8.5" style="1558" hidden="1" customWidth="1"/>
    <col min="3596" max="3596" width="8.875" style="1558" hidden="1" customWidth="1"/>
    <col min="3597" max="3597" width="2.25" style="1558" hidden="1" customWidth="1"/>
    <col min="3598" max="3598" width="8.5" style="1558" hidden="1" customWidth="1"/>
    <col min="3599" max="3599" width="8.875" style="1558" hidden="1" customWidth="1"/>
    <col min="3600" max="3600" width="2.625" style="1558" hidden="1" customWidth="1"/>
    <col min="3601" max="3601" width="9.625" style="1558" hidden="1" customWidth="1"/>
    <col min="3602" max="3602" width="31.625" style="1558" hidden="1" customWidth="1"/>
    <col min="3603" max="3613" width="7.375" style="1558" hidden="1" customWidth="1"/>
    <col min="3614" max="3614" width="7.625" style="1558" hidden="1" customWidth="1"/>
    <col min="3615" max="3615" width="1.625" style="1558" hidden="1" customWidth="1"/>
    <col min="3616" max="3840" width="0" style="1558" hidden="1"/>
    <col min="3841" max="3841" width="2.25" style="1558" hidden="1" customWidth="1"/>
    <col min="3842" max="3842" width="9.625" style="1558" hidden="1" customWidth="1"/>
    <col min="3843" max="3843" width="31.625" style="1558" hidden="1" customWidth="1"/>
    <col min="3844" max="3844" width="8.625" style="1558" hidden="1" customWidth="1"/>
    <col min="3845" max="3845" width="9" style="1558" hidden="1" customWidth="1"/>
    <col min="3846" max="3846" width="1.625" style="1558" hidden="1" customWidth="1"/>
    <col min="3847" max="3848" width="7.25" style="1558" hidden="1" customWidth="1"/>
    <col min="3849" max="3849" width="8.625" style="1558" hidden="1" customWidth="1"/>
    <col min="3850" max="3850" width="9.125" style="1558" hidden="1" customWidth="1"/>
    <col min="3851" max="3851" width="8.5" style="1558" hidden="1" customWidth="1"/>
    <col min="3852" max="3852" width="8.875" style="1558" hidden="1" customWidth="1"/>
    <col min="3853" max="3853" width="2.25" style="1558" hidden="1" customWidth="1"/>
    <col min="3854" max="3854" width="8.5" style="1558" hidden="1" customWidth="1"/>
    <col min="3855" max="3855" width="8.875" style="1558" hidden="1" customWidth="1"/>
    <col min="3856" max="3856" width="2.625" style="1558" hidden="1" customWidth="1"/>
    <col min="3857" max="3857" width="9.625" style="1558" hidden="1" customWidth="1"/>
    <col min="3858" max="3858" width="31.625" style="1558" hidden="1" customWidth="1"/>
    <col min="3859" max="3869" width="7.375" style="1558" hidden="1" customWidth="1"/>
    <col min="3870" max="3870" width="7.625" style="1558" hidden="1" customWidth="1"/>
    <col min="3871" max="3871" width="1.625" style="1558" hidden="1" customWidth="1"/>
    <col min="3872" max="4096" width="0" style="1558" hidden="1"/>
    <col min="4097" max="4097" width="2.25" style="1558" hidden="1" customWidth="1"/>
    <col min="4098" max="4098" width="9.625" style="1558" hidden="1" customWidth="1"/>
    <col min="4099" max="4099" width="31.625" style="1558" hidden="1" customWidth="1"/>
    <col min="4100" max="4100" width="8.625" style="1558" hidden="1" customWidth="1"/>
    <col min="4101" max="4101" width="9" style="1558" hidden="1" customWidth="1"/>
    <col min="4102" max="4102" width="1.625" style="1558" hidden="1" customWidth="1"/>
    <col min="4103" max="4104" width="7.25" style="1558" hidden="1" customWidth="1"/>
    <col min="4105" max="4105" width="8.625" style="1558" hidden="1" customWidth="1"/>
    <col min="4106" max="4106" width="9.125" style="1558" hidden="1" customWidth="1"/>
    <col min="4107" max="4107" width="8.5" style="1558" hidden="1" customWidth="1"/>
    <col min="4108" max="4108" width="8.875" style="1558" hidden="1" customWidth="1"/>
    <col min="4109" max="4109" width="2.25" style="1558" hidden="1" customWidth="1"/>
    <col min="4110" max="4110" width="8.5" style="1558" hidden="1" customWidth="1"/>
    <col min="4111" max="4111" width="8.875" style="1558" hidden="1" customWidth="1"/>
    <col min="4112" max="4112" width="2.625" style="1558" hidden="1" customWidth="1"/>
    <col min="4113" max="4113" width="9.625" style="1558" hidden="1" customWidth="1"/>
    <col min="4114" max="4114" width="31.625" style="1558" hidden="1" customWidth="1"/>
    <col min="4115" max="4125" width="7.375" style="1558" hidden="1" customWidth="1"/>
    <col min="4126" max="4126" width="7.625" style="1558" hidden="1" customWidth="1"/>
    <col min="4127" max="4127" width="1.625" style="1558" hidden="1" customWidth="1"/>
    <col min="4128" max="4352" width="0" style="1558" hidden="1"/>
    <col min="4353" max="4353" width="2.25" style="1558" hidden="1" customWidth="1"/>
    <col min="4354" max="4354" width="9.625" style="1558" hidden="1" customWidth="1"/>
    <col min="4355" max="4355" width="31.625" style="1558" hidden="1" customWidth="1"/>
    <col min="4356" max="4356" width="8.625" style="1558" hidden="1" customWidth="1"/>
    <col min="4357" max="4357" width="9" style="1558" hidden="1" customWidth="1"/>
    <col min="4358" max="4358" width="1.625" style="1558" hidden="1" customWidth="1"/>
    <col min="4359" max="4360" width="7.25" style="1558" hidden="1" customWidth="1"/>
    <col min="4361" max="4361" width="8.625" style="1558" hidden="1" customWidth="1"/>
    <col min="4362" max="4362" width="9.125" style="1558" hidden="1" customWidth="1"/>
    <col min="4363" max="4363" width="8.5" style="1558" hidden="1" customWidth="1"/>
    <col min="4364" max="4364" width="8.875" style="1558" hidden="1" customWidth="1"/>
    <col min="4365" max="4365" width="2.25" style="1558" hidden="1" customWidth="1"/>
    <col min="4366" max="4366" width="8.5" style="1558" hidden="1" customWidth="1"/>
    <col min="4367" max="4367" width="8.875" style="1558" hidden="1" customWidth="1"/>
    <col min="4368" max="4368" width="2.625" style="1558" hidden="1" customWidth="1"/>
    <col min="4369" max="4369" width="9.625" style="1558" hidden="1" customWidth="1"/>
    <col min="4370" max="4370" width="31.625" style="1558" hidden="1" customWidth="1"/>
    <col min="4371" max="4381" width="7.375" style="1558" hidden="1" customWidth="1"/>
    <col min="4382" max="4382" width="7.625" style="1558" hidden="1" customWidth="1"/>
    <col min="4383" max="4383" width="1.625" style="1558" hidden="1" customWidth="1"/>
    <col min="4384" max="4608" width="0" style="1558" hidden="1"/>
    <col min="4609" max="4609" width="2.25" style="1558" hidden="1" customWidth="1"/>
    <col min="4610" max="4610" width="9.625" style="1558" hidden="1" customWidth="1"/>
    <col min="4611" max="4611" width="31.625" style="1558" hidden="1" customWidth="1"/>
    <col min="4612" max="4612" width="8.625" style="1558" hidden="1" customWidth="1"/>
    <col min="4613" max="4613" width="9" style="1558" hidden="1" customWidth="1"/>
    <col min="4614" max="4614" width="1.625" style="1558" hidden="1" customWidth="1"/>
    <col min="4615" max="4616" width="7.25" style="1558" hidden="1" customWidth="1"/>
    <col min="4617" max="4617" width="8.625" style="1558" hidden="1" customWidth="1"/>
    <col min="4618" max="4618" width="9.125" style="1558" hidden="1" customWidth="1"/>
    <col min="4619" max="4619" width="8.5" style="1558" hidden="1" customWidth="1"/>
    <col min="4620" max="4620" width="8.875" style="1558" hidden="1" customWidth="1"/>
    <col min="4621" max="4621" width="2.25" style="1558" hidden="1" customWidth="1"/>
    <col min="4622" max="4622" width="8.5" style="1558" hidden="1" customWidth="1"/>
    <col min="4623" max="4623" width="8.875" style="1558" hidden="1" customWidth="1"/>
    <col min="4624" max="4624" width="2.625" style="1558" hidden="1" customWidth="1"/>
    <col min="4625" max="4625" width="9.625" style="1558" hidden="1" customWidth="1"/>
    <col min="4626" max="4626" width="31.625" style="1558" hidden="1" customWidth="1"/>
    <col min="4627" max="4637" width="7.375" style="1558" hidden="1" customWidth="1"/>
    <col min="4638" max="4638" width="7.625" style="1558" hidden="1" customWidth="1"/>
    <col min="4639" max="4639" width="1.625" style="1558" hidden="1" customWidth="1"/>
    <col min="4640" max="4864" width="0" style="1558" hidden="1"/>
    <col min="4865" max="4865" width="2.25" style="1558" hidden="1" customWidth="1"/>
    <col min="4866" max="4866" width="9.625" style="1558" hidden="1" customWidth="1"/>
    <col min="4867" max="4867" width="31.625" style="1558" hidden="1" customWidth="1"/>
    <col min="4868" max="4868" width="8.625" style="1558" hidden="1" customWidth="1"/>
    <col min="4869" max="4869" width="9" style="1558" hidden="1" customWidth="1"/>
    <col min="4870" max="4870" width="1.625" style="1558" hidden="1" customWidth="1"/>
    <col min="4871" max="4872" width="7.25" style="1558" hidden="1" customWidth="1"/>
    <col min="4873" max="4873" width="8.625" style="1558" hidden="1" customWidth="1"/>
    <col min="4874" max="4874" width="9.125" style="1558" hidden="1" customWidth="1"/>
    <col min="4875" max="4875" width="8.5" style="1558" hidden="1" customWidth="1"/>
    <col min="4876" max="4876" width="8.875" style="1558" hidden="1" customWidth="1"/>
    <col min="4877" max="4877" width="2.25" style="1558" hidden="1" customWidth="1"/>
    <col min="4878" max="4878" width="8.5" style="1558" hidden="1" customWidth="1"/>
    <col min="4879" max="4879" width="8.875" style="1558" hidden="1" customWidth="1"/>
    <col min="4880" max="4880" width="2.625" style="1558" hidden="1" customWidth="1"/>
    <col min="4881" max="4881" width="9.625" style="1558" hidden="1" customWidth="1"/>
    <col min="4882" max="4882" width="31.625" style="1558" hidden="1" customWidth="1"/>
    <col min="4883" max="4893" width="7.375" style="1558" hidden="1" customWidth="1"/>
    <col min="4894" max="4894" width="7.625" style="1558" hidden="1" customWidth="1"/>
    <col min="4895" max="4895" width="1.625" style="1558" hidden="1" customWidth="1"/>
    <col min="4896" max="5120" width="0" style="1558" hidden="1"/>
    <col min="5121" max="5121" width="2.25" style="1558" hidden="1" customWidth="1"/>
    <col min="5122" max="5122" width="9.625" style="1558" hidden="1" customWidth="1"/>
    <col min="5123" max="5123" width="31.625" style="1558" hidden="1" customWidth="1"/>
    <col min="5124" max="5124" width="8.625" style="1558" hidden="1" customWidth="1"/>
    <col min="5125" max="5125" width="9" style="1558" hidden="1" customWidth="1"/>
    <col min="5126" max="5126" width="1.625" style="1558" hidden="1" customWidth="1"/>
    <col min="5127" max="5128" width="7.25" style="1558" hidden="1" customWidth="1"/>
    <col min="5129" max="5129" width="8.625" style="1558" hidden="1" customWidth="1"/>
    <col min="5130" max="5130" width="9.125" style="1558" hidden="1" customWidth="1"/>
    <col min="5131" max="5131" width="8.5" style="1558" hidden="1" customWidth="1"/>
    <col min="5132" max="5132" width="8.875" style="1558" hidden="1" customWidth="1"/>
    <col min="5133" max="5133" width="2.25" style="1558" hidden="1" customWidth="1"/>
    <col min="5134" max="5134" width="8.5" style="1558" hidden="1" customWidth="1"/>
    <col min="5135" max="5135" width="8.875" style="1558" hidden="1" customWidth="1"/>
    <col min="5136" max="5136" width="2.625" style="1558" hidden="1" customWidth="1"/>
    <col min="5137" max="5137" width="9.625" style="1558" hidden="1" customWidth="1"/>
    <col min="5138" max="5138" width="31.625" style="1558" hidden="1" customWidth="1"/>
    <col min="5139" max="5149" width="7.375" style="1558" hidden="1" customWidth="1"/>
    <col min="5150" max="5150" width="7.625" style="1558" hidden="1" customWidth="1"/>
    <col min="5151" max="5151" width="1.625" style="1558" hidden="1" customWidth="1"/>
    <col min="5152" max="5376" width="0" style="1558" hidden="1"/>
    <col min="5377" max="5377" width="2.25" style="1558" hidden="1" customWidth="1"/>
    <col min="5378" max="5378" width="9.625" style="1558" hidden="1" customWidth="1"/>
    <col min="5379" max="5379" width="31.625" style="1558" hidden="1" customWidth="1"/>
    <col min="5380" max="5380" width="8.625" style="1558" hidden="1" customWidth="1"/>
    <col min="5381" max="5381" width="9" style="1558" hidden="1" customWidth="1"/>
    <col min="5382" max="5382" width="1.625" style="1558" hidden="1" customWidth="1"/>
    <col min="5383" max="5384" width="7.25" style="1558" hidden="1" customWidth="1"/>
    <col min="5385" max="5385" width="8.625" style="1558" hidden="1" customWidth="1"/>
    <col min="5386" max="5386" width="9.125" style="1558" hidden="1" customWidth="1"/>
    <col min="5387" max="5387" width="8.5" style="1558" hidden="1" customWidth="1"/>
    <col min="5388" max="5388" width="8.875" style="1558" hidden="1" customWidth="1"/>
    <col min="5389" max="5389" width="2.25" style="1558" hidden="1" customWidth="1"/>
    <col min="5390" max="5390" width="8.5" style="1558" hidden="1" customWidth="1"/>
    <col min="5391" max="5391" width="8.875" style="1558" hidden="1" customWidth="1"/>
    <col min="5392" max="5392" width="2.625" style="1558" hidden="1" customWidth="1"/>
    <col min="5393" max="5393" width="9.625" style="1558" hidden="1" customWidth="1"/>
    <col min="5394" max="5394" width="31.625" style="1558" hidden="1" customWidth="1"/>
    <col min="5395" max="5405" width="7.375" style="1558" hidden="1" customWidth="1"/>
    <col min="5406" max="5406" width="7.625" style="1558" hidden="1" customWidth="1"/>
    <col min="5407" max="5407" width="1.625" style="1558" hidden="1" customWidth="1"/>
    <col min="5408" max="5632" width="0" style="1558" hidden="1"/>
    <col min="5633" max="5633" width="2.25" style="1558" hidden="1" customWidth="1"/>
    <col min="5634" max="5634" width="9.625" style="1558" hidden="1" customWidth="1"/>
    <col min="5635" max="5635" width="31.625" style="1558" hidden="1" customWidth="1"/>
    <col min="5636" max="5636" width="8.625" style="1558" hidden="1" customWidth="1"/>
    <col min="5637" max="5637" width="9" style="1558" hidden="1" customWidth="1"/>
    <col min="5638" max="5638" width="1.625" style="1558" hidden="1" customWidth="1"/>
    <col min="5639" max="5640" width="7.25" style="1558" hidden="1" customWidth="1"/>
    <col min="5641" max="5641" width="8.625" style="1558" hidden="1" customWidth="1"/>
    <col min="5642" max="5642" width="9.125" style="1558" hidden="1" customWidth="1"/>
    <col min="5643" max="5643" width="8.5" style="1558" hidden="1" customWidth="1"/>
    <col min="5644" max="5644" width="8.875" style="1558" hidden="1" customWidth="1"/>
    <col min="5645" max="5645" width="2.25" style="1558" hidden="1" customWidth="1"/>
    <col min="5646" max="5646" width="8.5" style="1558" hidden="1" customWidth="1"/>
    <col min="5647" max="5647" width="8.875" style="1558" hidden="1" customWidth="1"/>
    <col min="5648" max="5648" width="2.625" style="1558" hidden="1" customWidth="1"/>
    <col min="5649" max="5649" width="9.625" style="1558" hidden="1" customWidth="1"/>
    <col min="5650" max="5650" width="31.625" style="1558" hidden="1" customWidth="1"/>
    <col min="5651" max="5661" width="7.375" style="1558" hidden="1" customWidth="1"/>
    <col min="5662" max="5662" width="7.625" style="1558" hidden="1" customWidth="1"/>
    <col min="5663" max="5663" width="1.625" style="1558" hidden="1" customWidth="1"/>
    <col min="5664" max="5888" width="0" style="1558" hidden="1"/>
    <col min="5889" max="5889" width="2.25" style="1558" hidden="1" customWidth="1"/>
    <col min="5890" max="5890" width="9.625" style="1558" hidden="1" customWidth="1"/>
    <col min="5891" max="5891" width="31.625" style="1558" hidden="1" customWidth="1"/>
    <col min="5892" max="5892" width="8.625" style="1558" hidden="1" customWidth="1"/>
    <col min="5893" max="5893" width="9" style="1558" hidden="1" customWidth="1"/>
    <col min="5894" max="5894" width="1.625" style="1558" hidden="1" customWidth="1"/>
    <col min="5895" max="5896" width="7.25" style="1558" hidden="1" customWidth="1"/>
    <col min="5897" max="5897" width="8.625" style="1558" hidden="1" customWidth="1"/>
    <col min="5898" max="5898" width="9.125" style="1558" hidden="1" customWidth="1"/>
    <col min="5899" max="5899" width="8.5" style="1558" hidden="1" customWidth="1"/>
    <col min="5900" max="5900" width="8.875" style="1558" hidden="1" customWidth="1"/>
    <col min="5901" max="5901" width="2.25" style="1558" hidden="1" customWidth="1"/>
    <col min="5902" max="5902" width="8.5" style="1558" hidden="1" customWidth="1"/>
    <col min="5903" max="5903" width="8.875" style="1558" hidden="1" customWidth="1"/>
    <col min="5904" max="5904" width="2.625" style="1558" hidden="1" customWidth="1"/>
    <col min="5905" max="5905" width="9.625" style="1558" hidden="1" customWidth="1"/>
    <col min="5906" max="5906" width="31.625" style="1558" hidden="1" customWidth="1"/>
    <col min="5907" max="5917" width="7.375" style="1558" hidden="1" customWidth="1"/>
    <col min="5918" max="5918" width="7.625" style="1558" hidden="1" customWidth="1"/>
    <col min="5919" max="5919" width="1.625" style="1558" hidden="1" customWidth="1"/>
    <col min="5920" max="6144" width="0" style="1558" hidden="1"/>
    <col min="6145" max="6145" width="2.25" style="1558" hidden="1" customWidth="1"/>
    <col min="6146" max="6146" width="9.625" style="1558" hidden="1" customWidth="1"/>
    <col min="6147" max="6147" width="31.625" style="1558" hidden="1" customWidth="1"/>
    <col min="6148" max="6148" width="8.625" style="1558" hidden="1" customWidth="1"/>
    <col min="6149" max="6149" width="9" style="1558" hidden="1" customWidth="1"/>
    <col min="6150" max="6150" width="1.625" style="1558" hidden="1" customWidth="1"/>
    <col min="6151" max="6152" width="7.25" style="1558" hidden="1" customWidth="1"/>
    <col min="6153" max="6153" width="8.625" style="1558" hidden="1" customWidth="1"/>
    <col min="6154" max="6154" width="9.125" style="1558" hidden="1" customWidth="1"/>
    <col min="6155" max="6155" width="8.5" style="1558" hidden="1" customWidth="1"/>
    <col min="6156" max="6156" width="8.875" style="1558" hidden="1" customWidth="1"/>
    <col min="6157" max="6157" width="2.25" style="1558" hidden="1" customWidth="1"/>
    <col min="6158" max="6158" width="8.5" style="1558" hidden="1" customWidth="1"/>
    <col min="6159" max="6159" width="8.875" style="1558" hidden="1" customWidth="1"/>
    <col min="6160" max="6160" width="2.625" style="1558" hidden="1" customWidth="1"/>
    <col min="6161" max="6161" width="9.625" style="1558" hidden="1" customWidth="1"/>
    <col min="6162" max="6162" width="31.625" style="1558" hidden="1" customWidth="1"/>
    <col min="6163" max="6173" width="7.375" style="1558" hidden="1" customWidth="1"/>
    <col min="6174" max="6174" width="7.625" style="1558" hidden="1" customWidth="1"/>
    <col min="6175" max="6175" width="1.625" style="1558" hidden="1" customWidth="1"/>
    <col min="6176" max="6400" width="0" style="1558" hidden="1"/>
    <col min="6401" max="6401" width="2.25" style="1558" hidden="1" customWidth="1"/>
    <col min="6402" max="6402" width="9.625" style="1558" hidden="1" customWidth="1"/>
    <col min="6403" max="6403" width="31.625" style="1558" hidden="1" customWidth="1"/>
    <col min="6404" max="6404" width="8.625" style="1558" hidden="1" customWidth="1"/>
    <col min="6405" max="6405" width="9" style="1558" hidden="1" customWidth="1"/>
    <col min="6406" max="6406" width="1.625" style="1558" hidden="1" customWidth="1"/>
    <col min="6407" max="6408" width="7.25" style="1558" hidden="1" customWidth="1"/>
    <col min="6409" max="6409" width="8.625" style="1558" hidden="1" customWidth="1"/>
    <col min="6410" max="6410" width="9.125" style="1558" hidden="1" customWidth="1"/>
    <col min="6411" max="6411" width="8.5" style="1558" hidden="1" customWidth="1"/>
    <col min="6412" max="6412" width="8.875" style="1558" hidden="1" customWidth="1"/>
    <col min="6413" max="6413" width="2.25" style="1558" hidden="1" customWidth="1"/>
    <col min="6414" max="6414" width="8.5" style="1558" hidden="1" customWidth="1"/>
    <col min="6415" max="6415" width="8.875" style="1558" hidden="1" customWidth="1"/>
    <col min="6416" max="6416" width="2.625" style="1558" hidden="1" customWidth="1"/>
    <col min="6417" max="6417" width="9.625" style="1558" hidden="1" customWidth="1"/>
    <col min="6418" max="6418" width="31.625" style="1558" hidden="1" customWidth="1"/>
    <col min="6419" max="6429" width="7.375" style="1558" hidden="1" customWidth="1"/>
    <col min="6430" max="6430" width="7.625" style="1558" hidden="1" customWidth="1"/>
    <col min="6431" max="6431" width="1.625" style="1558" hidden="1" customWidth="1"/>
    <col min="6432" max="6656" width="0" style="1558" hidden="1"/>
    <col min="6657" max="6657" width="2.25" style="1558" hidden="1" customWidth="1"/>
    <col min="6658" max="6658" width="9.625" style="1558" hidden="1" customWidth="1"/>
    <col min="6659" max="6659" width="31.625" style="1558" hidden="1" customWidth="1"/>
    <col min="6660" max="6660" width="8.625" style="1558" hidden="1" customWidth="1"/>
    <col min="6661" max="6661" width="9" style="1558" hidden="1" customWidth="1"/>
    <col min="6662" max="6662" width="1.625" style="1558" hidden="1" customWidth="1"/>
    <col min="6663" max="6664" width="7.25" style="1558" hidden="1" customWidth="1"/>
    <col min="6665" max="6665" width="8.625" style="1558" hidden="1" customWidth="1"/>
    <col min="6666" max="6666" width="9.125" style="1558" hidden="1" customWidth="1"/>
    <col min="6667" max="6667" width="8.5" style="1558" hidden="1" customWidth="1"/>
    <col min="6668" max="6668" width="8.875" style="1558" hidden="1" customWidth="1"/>
    <col min="6669" max="6669" width="2.25" style="1558" hidden="1" customWidth="1"/>
    <col min="6670" max="6670" width="8.5" style="1558" hidden="1" customWidth="1"/>
    <col min="6671" max="6671" width="8.875" style="1558" hidden="1" customWidth="1"/>
    <col min="6672" max="6672" width="2.625" style="1558" hidden="1" customWidth="1"/>
    <col min="6673" max="6673" width="9.625" style="1558" hidden="1" customWidth="1"/>
    <col min="6674" max="6674" width="31.625" style="1558" hidden="1" customWidth="1"/>
    <col min="6675" max="6685" width="7.375" style="1558" hidden="1" customWidth="1"/>
    <col min="6686" max="6686" width="7.625" style="1558" hidden="1" customWidth="1"/>
    <col min="6687" max="6687" width="1.625" style="1558" hidden="1" customWidth="1"/>
    <col min="6688" max="6912" width="0" style="1558" hidden="1"/>
    <col min="6913" max="6913" width="2.25" style="1558" hidden="1" customWidth="1"/>
    <col min="6914" max="6914" width="9.625" style="1558" hidden="1" customWidth="1"/>
    <col min="6915" max="6915" width="31.625" style="1558" hidden="1" customWidth="1"/>
    <col min="6916" max="6916" width="8.625" style="1558" hidden="1" customWidth="1"/>
    <col min="6917" max="6917" width="9" style="1558" hidden="1" customWidth="1"/>
    <col min="6918" max="6918" width="1.625" style="1558" hidden="1" customWidth="1"/>
    <col min="6919" max="6920" width="7.25" style="1558" hidden="1" customWidth="1"/>
    <col min="6921" max="6921" width="8.625" style="1558" hidden="1" customWidth="1"/>
    <col min="6922" max="6922" width="9.125" style="1558" hidden="1" customWidth="1"/>
    <col min="6923" max="6923" width="8.5" style="1558" hidden="1" customWidth="1"/>
    <col min="6924" max="6924" width="8.875" style="1558" hidden="1" customWidth="1"/>
    <col min="6925" max="6925" width="2.25" style="1558" hidden="1" customWidth="1"/>
    <col min="6926" max="6926" width="8.5" style="1558" hidden="1" customWidth="1"/>
    <col min="6927" max="6927" width="8.875" style="1558" hidden="1" customWidth="1"/>
    <col min="6928" max="6928" width="2.625" style="1558" hidden="1" customWidth="1"/>
    <col min="6929" max="6929" width="9.625" style="1558" hidden="1" customWidth="1"/>
    <col min="6930" max="6930" width="31.625" style="1558" hidden="1" customWidth="1"/>
    <col min="6931" max="6941" width="7.375" style="1558" hidden="1" customWidth="1"/>
    <col min="6942" max="6942" width="7.625" style="1558" hidden="1" customWidth="1"/>
    <col min="6943" max="6943" width="1.625" style="1558" hidden="1" customWidth="1"/>
    <col min="6944" max="7168" width="0" style="1558" hidden="1"/>
    <col min="7169" max="7169" width="2.25" style="1558" hidden="1" customWidth="1"/>
    <col min="7170" max="7170" width="9.625" style="1558" hidden="1" customWidth="1"/>
    <col min="7171" max="7171" width="31.625" style="1558" hidden="1" customWidth="1"/>
    <col min="7172" max="7172" width="8.625" style="1558" hidden="1" customWidth="1"/>
    <col min="7173" max="7173" width="9" style="1558" hidden="1" customWidth="1"/>
    <col min="7174" max="7174" width="1.625" style="1558" hidden="1" customWidth="1"/>
    <col min="7175" max="7176" width="7.25" style="1558" hidden="1" customWidth="1"/>
    <col min="7177" max="7177" width="8.625" style="1558" hidden="1" customWidth="1"/>
    <col min="7178" max="7178" width="9.125" style="1558" hidden="1" customWidth="1"/>
    <col min="7179" max="7179" width="8.5" style="1558" hidden="1" customWidth="1"/>
    <col min="7180" max="7180" width="8.875" style="1558" hidden="1" customWidth="1"/>
    <col min="7181" max="7181" width="2.25" style="1558" hidden="1" customWidth="1"/>
    <col min="7182" max="7182" width="8.5" style="1558" hidden="1" customWidth="1"/>
    <col min="7183" max="7183" width="8.875" style="1558" hidden="1" customWidth="1"/>
    <col min="7184" max="7184" width="2.625" style="1558" hidden="1" customWidth="1"/>
    <col min="7185" max="7185" width="9.625" style="1558" hidden="1" customWidth="1"/>
    <col min="7186" max="7186" width="31.625" style="1558" hidden="1" customWidth="1"/>
    <col min="7187" max="7197" width="7.375" style="1558" hidden="1" customWidth="1"/>
    <col min="7198" max="7198" width="7.625" style="1558" hidden="1" customWidth="1"/>
    <col min="7199" max="7199" width="1.625" style="1558" hidden="1" customWidth="1"/>
    <col min="7200" max="7424" width="0" style="1558" hidden="1"/>
    <col min="7425" max="7425" width="2.25" style="1558" hidden="1" customWidth="1"/>
    <col min="7426" max="7426" width="9.625" style="1558" hidden="1" customWidth="1"/>
    <col min="7427" max="7427" width="31.625" style="1558" hidden="1" customWidth="1"/>
    <col min="7428" max="7428" width="8.625" style="1558" hidden="1" customWidth="1"/>
    <col min="7429" max="7429" width="9" style="1558" hidden="1" customWidth="1"/>
    <col min="7430" max="7430" width="1.625" style="1558" hidden="1" customWidth="1"/>
    <col min="7431" max="7432" width="7.25" style="1558" hidden="1" customWidth="1"/>
    <col min="7433" max="7433" width="8.625" style="1558" hidden="1" customWidth="1"/>
    <col min="7434" max="7434" width="9.125" style="1558" hidden="1" customWidth="1"/>
    <col min="7435" max="7435" width="8.5" style="1558" hidden="1" customWidth="1"/>
    <col min="7436" max="7436" width="8.875" style="1558" hidden="1" customWidth="1"/>
    <col min="7437" max="7437" width="2.25" style="1558" hidden="1" customWidth="1"/>
    <col min="7438" max="7438" width="8.5" style="1558" hidden="1" customWidth="1"/>
    <col min="7439" max="7439" width="8.875" style="1558" hidden="1" customWidth="1"/>
    <col min="7440" max="7440" width="2.625" style="1558" hidden="1" customWidth="1"/>
    <col min="7441" max="7441" width="9.625" style="1558" hidden="1" customWidth="1"/>
    <col min="7442" max="7442" width="31.625" style="1558" hidden="1" customWidth="1"/>
    <col min="7443" max="7453" width="7.375" style="1558" hidden="1" customWidth="1"/>
    <col min="7454" max="7454" width="7.625" style="1558" hidden="1" customWidth="1"/>
    <col min="7455" max="7455" width="1.625" style="1558" hidden="1" customWidth="1"/>
    <col min="7456" max="7680" width="0" style="1558" hidden="1"/>
    <col min="7681" max="7681" width="2.25" style="1558" hidden="1" customWidth="1"/>
    <col min="7682" max="7682" width="9.625" style="1558" hidden="1" customWidth="1"/>
    <col min="7683" max="7683" width="31.625" style="1558" hidden="1" customWidth="1"/>
    <col min="7684" max="7684" width="8.625" style="1558" hidden="1" customWidth="1"/>
    <col min="7685" max="7685" width="9" style="1558" hidden="1" customWidth="1"/>
    <col min="7686" max="7686" width="1.625" style="1558" hidden="1" customWidth="1"/>
    <col min="7687" max="7688" width="7.25" style="1558" hidden="1" customWidth="1"/>
    <col min="7689" max="7689" width="8.625" style="1558" hidden="1" customWidth="1"/>
    <col min="7690" max="7690" width="9.125" style="1558" hidden="1" customWidth="1"/>
    <col min="7691" max="7691" width="8.5" style="1558" hidden="1" customWidth="1"/>
    <col min="7692" max="7692" width="8.875" style="1558" hidden="1" customWidth="1"/>
    <col min="7693" max="7693" width="2.25" style="1558" hidden="1" customWidth="1"/>
    <col min="7694" max="7694" width="8.5" style="1558" hidden="1" customWidth="1"/>
    <col min="7695" max="7695" width="8.875" style="1558" hidden="1" customWidth="1"/>
    <col min="7696" max="7696" width="2.625" style="1558" hidden="1" customWidth="1"/>
    <col min="7697" max="7697" width="9.625" style="1558" hidden="1" customWidth="1"/>
    <col min="7698" max="7698" width="31.625" style="1558" hidden="1" customWidth="1"/>
    <col min="7699" max="7709" width="7.375" style="1558" hidden="1" customWidth="1"/>
    <col min="7710" max="7710" width="7.625" style="1558" hidden="1" customWidth="1"/>
    <col min="7711" max="7711" width="1.625" style="1558" hidden="1" customWidth="1"/>
    <col min="7712" max="7936" width="0" style="1558" hidden="1"/>
    <col min="7937" max="7937" width="2.25" style="1558" hidden="1" customWidth="1"/>
    <col min="7938" max="7938" width="9.625" style="1558" hidden="1" customWidth="1"/>
    <col min="7939" max="7939" width="31.625" style="1558" hidden="1" customWidth="1"/>
    <col min="7940" max="7940" width="8.625" style="1558" hidden="1" customWidth="1"/>
    <col min="7941" max="7941" width="9" style="1558" hidden="1" customWidth="1"/>
    <col min="7942" max="7942" width="1.625" style="1558" hidden="1" customWidth="1"/>
    <col min="7943" max="7944" width="7.25" style="1558" hidden="1" customWidth="1"/>
    <col min="7945" max="7945" width="8.625" style="1558" hidden="1" customWidth="1"/>
    <col min="7946" max="7946" width="9.125" style="1558" hidden="1" customWidth="1"/>
    <col min="7947" max="7947" width="8.5" style="1558" hidden="1" customWidth="1"/>
    <col min="7948" max="7948" width="8.875" style="1558" hidden="1" customWidth="1"/>
    <col min="7949" max="7949" width="2.25" style="1558" hidden="1" customWidth="1"/>
    <col min="7950" max="7950" width="8.5" style="1558" hidden="1" customWidth="1"/>
    <col min="7951" max="7951" width="8.875" style="1558" hidden="1" customWidth="1"/>
    <col min="7952" max="7952" width="2.625" style="1558" hidden="1" customWidth="1"/>
    <col min="7953" max="7953" width="9.625" style="1558" hidden="1" customWidth="1"/>
    <col min="7954" max="7954" width="31.625" style="1558" hidden="1" customWidth="1"/>
    <col min="7955" max="7965" width="7.375" style="1558" hidden="1" customWidth="1"/>
    <col min="7966" max="7966" width="7.625" style="1558" hidden="1" customWidth="1"/>
    <col min="7967" max="7967" width="1.625" style="1558" hidden="1" customWidth="1"/>
    <col min="7968" max="8192" width="0" style="1558" hidden="1"/>
    <col min="8193" max="8193" width="2.25" style="1558" hidden="1" customWidth="1"/>
    <col min="8194" max="8194" width="9.625" style="1558" hidden="1" customWidth="1"/>
    <col min="8195" max="8195" width="31.625" style="1558" hidden="1" customWidth="1"/>
    <col min="8196" max="8196" width="8.625" style="1558" hidden="1" customWidth="1"/>
    <col min="8197" max="8197" width="9" style="1558" hidden="1" customWidth="1"/>
    <col min="8198" max="8198" width="1.625" style="1558" hidden="1" customWidth="1"/>
    <col min="8199" max="8200" width="7.25" style="1558" hidden="1" customWidth="1"/>
    <col min="8201" max="8201" width="8.625" style="1558" hidden="1" customWidth="1"/>
    <col min="8202" max="8202" width="9.125" style="1558" hidden="1" customWidth="1"/>
    <col min="8203" max="8203" width="8.5" style="1558" hidden="1" customWidth="1"/>
    <col min="8204" max="8204" width="8.875" style="1558" hidden="1" customWidth="1"/>
    <col min="8205" max="8205" width="2.25" style="1558" hidden="1" customWidth="1"/>
    <col min="8206" max="8206" width="8.5" style="1558" hidden="1" customWidth="1"/>
    <col min="8207" max="8207" width="8.875" style="1558" hidden="1" customWidth="1"/>
    <col min="8208" max="8208" width="2.625" style="1558" hidden="1" customWidth="1"/>
    <col min="8209" max="8209" width="9.625" style="1558" hidden="1" customWidth="1"/>
    <col min="8210" max="8210" width="31.625" style="1558" hidden="1" customWidth="1"/>
    <col min="8211" max="8221" width="7.375" style="1558" hidden="1" customWidth="1"/>
    <col min="8222" max="8222" width="7.625" style="1558" hidden="1" customWidth="1"/>
    <col min="8223" max="8223" width="1.625" style="1558" hidden="1" customWidth="1"/>
    <col min="8224" max="8448" width="0" style="1558" hidden="1"/>
    <col min="8449" max="8449" width="2.25" style="1558" hidden="1" customWidth="1"/>
    <col min="8450" max="8450" width="9.625" style="1558" hidden="1" customWidth="1"/>
    <col min="8451" max="8451" width="31.625" style="1558" hidden="1" customWidth="1"/>
    <col min="8452" max="8452" width="8.625" style="1558" hidden="1" customWidth="1"/>
    <col min="8453" max="8453" width="9" style="1558" hidden="1" customWidth="1"/>
    <col min="8454" max="8454" width="1.625" style="1558" hidden="1" customWidth="1"/>
    <col min="8455" max="8456" width="7.25" style="1558" hidden="1" customWidth="1"/>
    <col min="8457" max="8457" width="8.625" style="1558" hidden="1" customWidth="1"/>
    <col min="8458" max="8458" width="9.125" style="1558" hidden="1" customWidth="1"/>
    <col min="8459" max="8459" width="8.5" style="1558" hidden="1" customWidth="1"/>
    <col min="8460" max="8460" width="8.875" style="1558" hidden="1" customWidth="1"/>
    <col min="8461" max="8461" width="2.25" style="1558" hidden="1" customWidth="1"/>
    <col min="8462" max="8462" width="8.5" style="1558" hidden="1" customWidth="1"/>
    <col min="8463" max="8463" width="8.875" style="1558" hidden="1" customWidth="1"/>
    <col min="8464" max="8464" width="2.625" style="1558" hidden="1" customWidth="1"/>
    <col min="8465" max="8465" width="9.625" style="1558" hidden="1" customWidth="1"/>
    <col min="8466" max="8466" width="31.625" style="1558" hidden="1" customWidth="1"/>
    <col min="8467" max="8477" width="7.375" style="1558" hidden="1" customWidth="1"/>
    <col min="8478" max="8478" width="7.625" style="1558" hidden="1" customWidth="1"/>
    <col min="8479" max="8479" width="1.625" style="1558" hidden="1" customWidth="1"/>
    <col min="8480" max="8704" width="0" style="1558" hidden="1"/>
    <col min="8705" max="8705" width="2.25" style="1558" hidden="1" customWidth="1"/>
    <col min="8706" max="8706" width="9.625" style="1558" hidden="1" customWidth="1"/>
    <col min="8707" max="8707" width="31.625" style="1558" hidden="1" customWidth="1"/>
    <col min="8708" max="8708" width="8.625" style="1558" hidden="1" customWidth="1"/>
    <col min="8709" max="8709" width="9" style="1558" hidden="1" customWidth="1"/>
    <col min="8710" max="8710" width="1.625" style="1558" hidden="1" customWidth="1"/>
    <col min="8711" max="8712" width="7.25" style="1558" hidden="1" customWidth="1"/>
    <col min="8713" max="8713" width="8.625" style="1558" hidden="1" customWidth="1"/>
    <col min="8714" max="8714" width="9.125" style="1558" hidden="1" customWidth="1"/>
    <col min="8715" max="8715" width="8.5" style="1558" hidden="1" customWidth="1"/>
    <col min="8716" max="8716" width="8.875" style="1558" hidden="1" customWidth="1"/>
    <col min="8717" max="8717" width="2.25" style="1558" hidden="1" customWidth="1"/>
    <col min="8718" max="8718" width="8.5" style="1558" hidden="1" customWidth="1"/>
    <col min="8719" max="8719" width="8.875" style="1558" hidden="1" customWidth="1"/>
    <col min="8720" max="8720" width="2.625" style="1558" hidden="1" customWidth="1"/>
    <col min="8721" max="8721" width="9.625" style="1558" hidden="1" customWidth="1"/>
    <col min="8722" max="8722" width="31.625" style="1558" hidden="1" customWidth="1"/>
    <col min="8723" max="8733" width="7.375" style="1558" hidden="1" customWidth="1"/>
    <col min="8734" max="8734" width="7.625" style="1558" hidden="1" customWidth="1"/>
    <col min="8735" max="8735" width="1.625" style="1558" hidden="1" customWidth="1"/>
    <col min="8736" max="8960" width="0" style="1558" hidden="1"/>
    <col min="8961" max="8961" width="2.25" style="1558" hidden="1" customWidth="1"/>
    <col min="8962" max="8962" width="9.625" style="1558" hidden="1" customWidth="1"/>
    <col min="8963" max="8963" width="31.625" style="1558" hidden="1" customWidth="1"/>
    <col min="8964" max="8964" width="8.625" style="1558" hidden="1" customWidth="1"/>
    <col min="8965" max="8965" width="9" style="1558" hidden="1" customWidth="1"/>
    <col min="8966" max="8966" width="1.625" style="1558" hidden="1" customWidth="1"/>
    <col min="8967" max="8968" width="7.25" style="1558" hidden="1" customWidth="1"/>
    <col min="8969" max="8969" width="8.625" style="1558" hidden="1" customWidth="1"/>
    <col min="8970" max="8970" width="9.125" style="1558" hidden="1" customWidth="1"/>
    <col min="8971" max="8971" width="8.5" style="1558" hidden="1" customWidth="1"/>
    <col min="8972" max="8972" width="8.875" style="1558" hidden="1" customWidth="1"/>
    <col min="8973" max="8973" width="2.25" style="1558" hidden="1" customWidth="1"/>
    <col min="8974" max="8974" width="8.5" style="1558" hidden="1" customWidth="1"/>
    <col min="8975" max="8975" width="8.875" style="1558" hidden="1" customWidth="1"/>
    <col min="8976" max="8976" width="2.625" style="1558" hidden="1" customWidth="1"/>
    <col min="8977" max="8977" width="9.625" style="1558" hidden="1" customWidth="1"/>
    <col min="8978" max="8978" width="31.625" style="1558" hidden="1" customWidth="1"/>
    <col min="8979" max="8989" width="7.375" style="1558" hidden="1" customWidth="1"/>
    <col min="8990" max="8990" width="7.625" style="1558" hidden="1" customWidth="1"/>
    <col min="8991" max="8991" width="1.625" style="1558" hidden="1" customWidth="1"/>
    <col min="8992" max="9216" width="0" style="1558" hidden="1"/>
    <col min="9217" max="9217" width="2.25" style="1558" hidden="1" customWidth="1"/>
    <col min="9218" max="9218" width="9.625" style="1558" hidden="1" customWidth="1"/>
    <col min="9219" max="9219" width="31.625" style="1558" hidden="1" customWidth="1"/>
    <col min="9220" max="9220" width="8.625" style="1558" hidden="1" customWidth="1"/>
    <col min="9221" max="9221" width="9" style="1558" hidden="1" customWidth="1"/>
    <col min="9222" max="9222" width="1.625" style="1558" hidden="1" customWidth="1"/>
    <col min="9223" max="9224" width="7.25" style="1558" hidden="1" customWidth="1"/>
    <col min="9225" max="9225" width="8.625" style="1558" hidden="1" customWidth="1"/>
    <col min="9226" max="9226" width="9.125" style="1558" hidden="1" customWidth="1"/>
    <col min="9227" max="9227" width="8.5" style="1558" hidden="1" customWidth="1"/>
    <col min="9228" max="9228" width="8.875" style="1558" hidden="1" customWidth="1"/>
    <col min="9229" max="9229" width="2.25" style="1558" hidden="1" customWidth="1"/>
    <col min="9230" max="9230" width="8.5" style="1558" hidden="1" customWidth="1"/>
    <col min="9231" max="9231" width="8.875" style="1558" hidden="1" customWidth="1"/>
    <col min="9232" max="9232" width="2.625" style="1558" hidden="1" customWidth="1"/>
    <col min="9233" max="9233" width="9.625" style="1558" hidden="1" customWidth="1"/>
    <col min="9234" max="9234" width="31.625" style="1558" hidden="1" customWidth="1"/>
    <col min="9235" max="9245" width="7.375" style="1558" hidden="1" customWidth="1"/>
    <col min="9246" max="9246" width="7.625" style="1558" hidden="1" customWidth="1"/>
    <col min="9247" max="9247" width="1.625" style="1558" hidden="1" customWidth="1"/>
    <col min="9248" max="9472" width="0" style="1558" hidden="1"/>
    <col min="9473" max="9473" width="2.25" style="1558" hidden="1" customWidth="1"/>
    <col min="9474" max="9474" width="9.625" style="1558" hidden="1" customWidth="1"/>
    <col min="9475" max="9475" width="31.625" style="1558" hidden="1" customWidth="1"/>
    <col min="9476" max="9476" width="8.625" style="1558" hidden="1" customWidth="1"/>
    <col min="9477" max="9477" width="9" style="1558" hidden="1" customWidth="1"/>
    <col min="9478" max="9478" width="1.625" style="1558" hidden="1" customWidth="1"/>
    <col min="9479" max="9480" width="7.25" style="1558" hidden="1" customWidth="1"/>
    <col min="9481" max="9481" width="8.625" style="1558" hidden="1" customWidth="1"/>
    <col min="9482" max="9482" width="9.125" style="1558" hidden="1" customWidth="1"/>
    <col min="9483" max="9483" width="8.5" style="1558" hidden="1" customWidth="1"/>
    <col min="9484" max="9484" width="8.875" style="1558" hidden="1" customWidth="1"/>
    <col min="9485" max="9485" width="2.25" style="1558" hidden="1" customWidth="1"/>
    <col min="9486" max="9486" width="8.5" style="1558" hidden="1" customWidth="1"/>
    <col min="9487" max="9487" width="8.875" style="1558" hidden="1" customWidth="1"/>
    <col min="9488" max="9488" width="2.625" style="1558" hidden="1" customWidth="1"/>
    <col min="9489" max="9489" width="9.625" style="1558" hidden="1" customWidth="1"/>
    <col min="9490" max="9490" width="31.625" style="1558" hidden="1" customWidth="1"/>
    <col min="9491" max="9501" width="7.375" style="1558" hidden="1" customWidth="1"/>
    <col min="9502" max="9502" width="7.625" style="1558" hidden="1" customWidth="1"/>
    <col min="9503" max="9503" width="1.625" style="1558" hidden="1" customWidth="1"/>
    <col min="9504" max="9728" width="0" style="1558" hidden="1"/>
    <col min="9729" max="9729" width="2.25" style="1558" hidden="1" customWidth="1"/>
    <col min="9730" max="9730" width="9.625" style="1558" hidden="1" customWidth="1"/>
    <col min="9731" max="9731" width="31.625" style="1558" hidden="1" customWidth="1"/>
    <col min="9732" max="9732" width="8.625" style="1558" hidden="1" customWidth="1"/>
    <col min="9733" max="9733" width="9" style="1558" hidden="1" customWidth="1"/>
    <col min="9734" max="9734" width="1.625" style="1558" hidden="1" customWidth="1"/>
    <col min="9735" max="9736" width="7.25" style="1558" hidden="1" customWidth="1"/>
    <col min="9737" max="9737" width="8.625" style="1558" hidden="1" customWidth="1"/>
    <col min="9738" max="9738" width="9.125" style="1558" hidden="1" customWidth="1"/>
    <col min="9739" max="9739" width="8.5" style="1558" hidden="1" customWidth="1"/>
    <col min="9740" max="9740" width="8.875" style="1558" hidden="1" customWidth="1"/>
    <col min="9741" max="9741" width="2.25" style="1558" hidden="1" customWidth="1"/>
    <col min="9742" max="9742" width="8.5" style="1558" hidden="1" customWidth="1"/>
    <col min="9743" max="9743" width="8.875" style="1558" hidden="1" customWidth="1"/>
    <col min="9744" max="9744" width="2.625" style="1558" hidden="1" customWidth="1"/>
    <col min="9745" max="9745" width="9.625" style="1558" hidden="1" customWidth="1"/>
    <col min="9746" max="9746" width="31.625" style="1558" hidden="1" customWidth="1"/>
    <col min="9747" max="9757" width="7.375" style="1558" hidden="1" customWidth="1"/>
    <col min="9758" max="9758" width="7.625" style="1558" hidden="1" customWidth="1"/>
    <col min="9759" max="9759" width="1.625" style="1558" hidden="1" customWidth="1"/>
    <col min="9760" max="9984" width="0" style="1558" hidden="1"/>
    <col min="9985" max="9985" width="2.25" style="1558" hidden="1" customWidth="1"/>
    <col min="9986" max="9986" width="9.625" style="1558" hidden="1" customWidth="1"/>
    <col min="9987" max="9987" width="31.625" style="1558" hidden="1" customWidth="1"/>
    <col min="9988" max="9988" width="8.625" style="1558" hidden="1" customWidth="1"/>
    <col min="9989" max="9989" width="9" style="1558" hidden="1" customWidth="1"/>
    <col min="9990" max="9990" width="1.625" style="1558" hidden="1" customWidth="1"/>
    <col min="9991" max="9992" width="7.25" style="1558" hidden="1" customWidth="1"/>
    <col min="9993" max="9993" width="8.625" style="1558" hidden="1" customWidth="1"/>
    <col min="9994" max="9994" width="9.125" style="1558" hidden="1" customWidth="1"/>
    <col min="9995" max="9995" width="8.5" style="1558" hidden="1" customWidth="1"/>
    <col min="9996" max="9996" width="8.875" style="1558" hidden="1" customWidth="1"/>
    <col min="9997" max="9997" width="2.25" style="1558" hidden="1" customWidth="1"/>
    <col min="9998" max="9998" width="8.5" style="1558" hidden="1" customWidth="1"/>
    <col min="9999" max="9999" width="8.875" style="1558" hidden="1" customWidth="1"/>
    <col min="10000" max="10000" width="2.625" style="1558" hidden="1" customWidth="1"/>
    <col min="10001" max="10001" width="9.625" style="1558" hidden="1" customWidth="1"/>
    <col min="10002" max="10002" width="31.625" style="1558" hidden="1" customWidth="1"/>
    <col min="10003" max="10013" width="7.375" style="1558" hidden="1" customWidth="1"/>
    <col min="10014" max="10014" width="7.625" style="1558" hidden="1" customWidth="1"/>
    <col min="10015" max="10015" width="1.625" style="1558" hidden="1" customWidth="1"/>
    <col min="10016" max="10240" width="0" style="1558" hidden="1"/>
    <col min="10241" max="10241" width="2.25" style="1558" hidden="1" customWidth="1"/>
    <col min="10242" max="10242" width="9.625" style="1558" hidden="1" customWidth="1"/>
    <col min="10243" max="10243" width="31.625" style="1558" hidden="1" customWidth="1"/>
    <col min="10244" max="10244" width="8.625" style="1558" hidden="1" customWidth="1"/>
    <col min="10245" max="10245" width="9" style="1558" hidden="1" customWidth="1"/>
    <col min="10246" max="10246" width="1.625" style="1558" hidden="1" customWidth="1"/>
    <col min="10247" max="10248" width="7.25" style="1558" hidden="1" customWidth="1"/>
    <col min="10249" max="10249" width="8.625" style="1558" hidden="1" customWidth="1"/>
    <col min="10250" max="10250" width="9.125" style="1558" hidden="1" customWidth="1"/>
    <col min="10251" max="10251" width="8.5" style="1558" hidden="1" customWidth="1"/>
    <col min="10252" max="10252" width="8.875" style="1558" hidden="1" customWidth="1"/>
    <col min="10253" max="10253" width="2.25" style="1558" hidden="1" customWidth="1"/>
    <col min="10254" max="10254" width="8.5" style="1558" hidden="1" customWidth="1"/>
    <col min="10255" max="10255" width="8.875" style="1558" hidden="1" customWidth="1"/>
    <col min="10256" max="10256" width="2.625" style="1558" hidden="1" customWidth="1"/>
    <col min="10257" max="10257" width="9.625" style="1558" hidden="1" customWidth="1"/>
    <col min="10258" max="10258" width="31.625" style="1558" hidden="1" customWidth="1"/>
    <col min="10259" max="10269" width="7.375" style="1558" hidden="1" customWidth="1"/>
    <col min="10270" max="10270" width="7.625" style="1558" hidden="1" customWidth="1"/>
    <col min="10271" max="10271" width="1.625" style="1558" hidden="1" customWidth="1"/>
    <col min="10272" max="10496" width="0" style="1558" hidden="1"/>
    <col min="10497" max="10497" width="2.25" style="1558" hidden="1" customWidth="1"/>
    <col min="10498" max="10498" width="9.625" style="1558" hidden="1" customWidth="1"/>
    <col min="10499" max="10499" width="31.625" style="1558" hidden="1" customWidth="1"/>
    <col min="10500" max="10500" width="8.625" style="1558" hidden="1" customWidth="1"/>
    <col min="10501" max="10501" width="9" style="1558" hidden="1" customWidth="1"/>
    <col min="10502" max="10502" width="1.625" style="1558" hidden="1" customWidth="1"/>
    <col min="10503" max="10504" width="7.25" style="1558" hidden="1" customWidth="1"/>
    <col min="10505" max="10505" width="8.625" style="1558" hidden="1" customWidth="1"/>
    <col min="10506" max="10506" width="9.125" style="1558" hidden="1" customWidth="1"/>
    <col min="10507" max="10507" width="8.5" style="1558" hidden="1" customWidth="1"/>
    <col min="10508" max="10508" width="8.875" style="1558" hidden="1" customWidth="1"/>
    <col min="10509" max="10509" width="2.25" style="1558" hidden="1" customWidth="1"/>
    <col min="10510" max="10510" width="8.5" style="1558" hidden="1" customWidth="1"/>
    <col min="10511" max="10511" width="8.875" style="1558" hidden="1" customWidth="1"/>
    <col min="10512" max="10512" width="2.625" style="1558" hidden="1" customWidth="1"/>
    <col min="10513" max="10513" width="9.625" style="1558" hidden="1" customWidth="1"/>
    <col min="10514" max="10514" width="31.625" style="1558" hidden="1" customWidth="1"/>
    <col min="10515" max="10525" width="7.375" style="1558" hidden="1" customWidth="1"/>
    <col min="10526" max="10526" width="7.625" style="1558" hidden="1" customWidth="1"/>
    <col min="10527" max="10527" width="1.625" style="1558" hidden="1" customWidth="1"/>
    <col min="10528" max="10752" width="0" style="1558" hidden="1"/>
    <col min="10753" max="10753" width="2.25" style="1558" hidden="1" customWidth="1"/>
    <col min="10754" max="10754" width="9.625" style="1558" hidden="1" customWidth="1"/>
    <col min="10755" max="10755" width="31.625" style="1558" hidden="1" customWidth="1"/>
    <col min="10756" max="10756" width="8.625" style="1558" hidden="1" customWidth="1"/>
    <col min="10757" max="10757" width="9" style="1558" hidden="1" customWidth="1"/>
    <col min="10758" max="10758" width="1.625" style="1558" hidden="1" customWidth="1"/>
    <col min="10759" max="10760" width="7.25" style="1558" hidden="1" customWidth="1"/>
    <col min="10761" max="10761" width="8.625" style="1558" hidden="1" customWidth="1"/>
    <col min="10762" max="10762" width="9.125" style="1558" hidden="1" customWidth="1"/>
    <col min="10763" max="10763" width="8.5" style="1558" hidden="1" customWidth="1"/>
    <col min="10764" max="10764" width="8.875" style="1558" hidden="1" customWidth="1"/>
    <col min="10765" max="10765" width="2.25" style="1558" hidden="1" customWidth="1"/>
    <col min="10766" max="10766" width="8.5" style="1558" hidden="1" customWidth="1"/>
    <col min="10767" max="10767" width="8.875" style="1558" hidden="1" customWidth="1"/>
    <col min="10768" max="10768" width="2.625" style="1558" hidden="1" customWidth="1"/>
    <col min="10769" max="10769" width="9.625" style="1558" hidden="1" customWidth="1"/>
    <col min="10770" max="10770" width="31.625" style="1558" hidden="1" customWidth="1"/>
    <col min="10771" max="10781" width="7.375" style="1558" hidden="1" customWidth="1"/>
    <col min="10782" max="10782" width="7.625" style="1558" hidden="1" customWidth="1"/>
    <col min="10783" max="10783" width="1.625" style="1558" hidden="1" customWidth="1"/>
    <col min="10784" max="11008" width="0" style="1558" hidden="1"/>
    <col min="11009" max="11009" width="2.25" style="1558" hidden="1" customWidth="1"/>
    <col min="11010" max="11010" width="9.625" style="1558" hidden="1" customWidth="1"/>
    <col min="11011" max="11011" width="31.625" style="1558" hidden="1" customWidth="1"/>
    <col min="11012" max="11012" width="8.625" style="1558" hidden="1" customWidth="1"/>
    <col min="11013" max="11013" width="9" style="1558" hidden="1" customWidth="1"/>
    <col min="11014" max="11014" width="1.625" style="1558" hidden="1" customWidth="1"/>
    <col min="11015" max="11016" width="7.25" style="1558" hidden="1" customWidth="1"/>
    <col min="11017" max="11017" width="8.625" style="1558" hidden="1" customWidth="1"/>
    <col min="11018" max="11018" width="9.125" style="1558" hidden="1" customWidth="1"/>
    <col min="11019" max="11019" width="8.5" style="1558" hidden="1" customWidth="1"/>
    <col min="11020" max="11020" width="8.875" style="1558" hidden="1" customWidth="1"/>
    <col min="11021" max="11021" width="2.25" style="1558" hidden="1" customWidth="1"/>
    <col min="11022" max="11022" width="8.5" style="1558" hidden="1" customWidth="1"/>
    <col min="11023" max="11023" width="8.875" style="1558" hidden="1" customWidth="1"/>
    <col min="11024" max="11024" width="2.625" style="1558" hidden="1" customWidth="1"/>
    <col min="11025" max="11025" width="9.625" style="1558" hidden="1" customWidth="1"/>
    <col min="11026" max="11026" width="31.625" style="1558" hidden="1" customWidth="1"/>
    <col min="11027" max="11037" width="7.375" style="1558" hidden="1" customWidth="1"/>
    <col min="11038" max="11038" width="7.625" style="1558" hidden="1" customWidth="1"/>
    <col min="11039" max="11039" width="1.625" style="1558" hidden="1" customWidth="1"/>
    <col min="11040" max="11264" width="0" style="1558" hidden="1"/>
    <col min="11265" max="11265" width="2.25" style="1558" hidden="1" customWidth="1"/>
    <col min="11266" max="11266" width="9.625" style="1558" hidden="1" customWidth="1"/>
    <col min="11267" max="11267" width="31.625" style="1558" hidden="1" customWidth="1"/>
    <col min="11268" max="11268" width="8.625" style="1558" hidden="1" customWidth="1"/>
    <col min="11269" max="11269" width="9" style="1558" hidden="1" customWidth="1"/>
    <col min="11270" max="11270" width="1.625" style="1558" hidden="1" customWidth="1"/>
    <col min="11271" max="11272" width="7.25" style="1558" hidden="1" customWidth="1"/>
    <col min="11273" max="11273" width="8.625" style="1558" hidden="1" customWidth="1"/>
    <col min="11274" max="11274" width="9.125" style="1558" hidden="1" customWidth="1"/>
    <col min="11275" max="11275" width="8.5" style="1558" hidden="1" customWidth="1"/>
    <col min="11276" max="11276" width="8.875" style="1558" hidden="1" customWidth="1"/>
    <col min="11277" max="11277" width="2.25" style="1558" hidden="1" customWidth="1"/>
    <col min="11278" max="11278" width="8.5" style="1558" hidden="1" customWidth="1"/>
    <col min="11279" max="11279" width="8.875" style="1558" hidden="1" customWidth="1"/>
    <col min="11280" max="11280" width="2.625" style="1558" hidden="1" customWidth="1"/>
    <col min="11281" max="11281" width="9.625" style="1558" hidden="1" customWidth="1"/>
    <col min="11282" max="11282" width="31.625" style="1558" hidden="1" customWidth="1"/>
    <col min="11283" max="11293" width="7.375" style="1558" hidden="1" customWidth="1"/>
    <col min="11294" max="11294" width="7.625" style="1558" hidden="1" customWidth="1"/>
    <col min="11295" max="11295" width="1.625" style="1558" hidden="1" customWidth="1"/>
    <col min="11296" max="11520" width="0" style="1558" hidden="1"/>
    <col min="11521" max="11521" width="2.25" style="1558" hidden="1" customWidth="1"/>
    <col min="11522" max="11522" width="9.625" style="1558" hidden="1" customWidth="1"/>
    <col min="11523" max="11523" width="31.625" style="1558" hidden="1" customWidth="1"/>
    <col min="11524" max="11524" width="8.625" style="1558" hidden="1" customWidth="1"/>
    <col min="11525" max="11525" width="9" style="1558" hidden="1" customWidth="1"/>
    <col min="11526" max="11526" width="1.625" style="1558" hidden="1" customWidth="1"/>
    <col min="11527" max="11528" width="7.25" style="1558" hidden="1" customWidth="1"/>
    <col min="11529" max="11529" width="8.625" style="1558" hidden="1" customWidth="1"/>
    <col min="11530" max="11530" width="9.125" style="1558" hidden="1" customWidth="1"/>
    <col min="11531" max="11531" width="8.5" style="1558" hidden="1" customWidth="1"/>
    <col min="11532" max="11532" width="8.875" style="1558" hidden="1" customWidth="1"/>
    <col min="11533" max="11533" width="2.25" style="1558" hidden="1" customWidth="1"/>
    <col min="11534" max="11534" width="8.5" style="1558" hidden="1" customWidth="1"/>
    <col min="11535" max="11535" width="8.875" style="1558" hidden="1" customWidth="1"/>
    <col min="11536" max="11536" width="2.625" style="1558" hidden="1" customWidth="1"/>
    <col min="11537" max="11537" width="9.625" style="1558" hidden="1" customWidth="1"/>
    <col min="11538" max="11538" width="31.625" style="1558" hidden="1" customWidth="1"/>
    <col min="11539" max="11549" width="7.375" style="1558" hidden="1" customWidth="1"/>
    <col min="11550" max="11550" width="7.625" style="1558" hidden="1" customWidth="1"/>
    <col min="11551" max="11551" width="1.625" style="1558" hidden="1" customWidth="1"/>
    <col min="11552" max="11776" width="0" style="1558" hidden="1"/>
    <col min="11777" max="11777" width="2.25" style="1558" hidden="1" customWidth="1"/>
    <col min="11778" max="11778" width="9.625" style="1558" hidden="1" customWidth="1"/>
    <col min="11779" max="11779" width="31.625" style="1558" hidden="1" customWidth="1"/>
    <col min="11780" max="11780" width="8.625" style="1558" hidden="1" customWidth="1"/>
    <col min="11781" max="11781" width="9" style="1558" hidden="1" customWidth="1"/>
    <col min="11782" max="11782" width="1.625" style="1558" hidden="1" customWidth="1"/>
    <col min="11783" max="11784" width="7.25" style="1558" hidden="1" customWidth="1"/>
    <col min="11785" max="11785" width="8.625" style="1558" hidden="1" customWidth="1"/>
    <col min="11786" max="11786" width="9.125" style="1558" hidden="1" customWidth="1"/>
    <col min="11787" max="11787" width="8.5" style="1558" hidden="1" customWidth="1"/>
    <col min="11788" max="11788" width="8.875" style="1558" hidden="1" customWidth="1"/>
    <col min="11789" max="11789" width="2.25" style="1558" hidden="1" customWidth="1"/>
    <col min="11790" max="11790" width="8.5" style="1558" hidden="1" customWidth="1"/>
    <col min="11791" max="11791" width="8.875" style="1558" hidden="1" customWidth="1"/>
    <col min="11792" max="11792" width="2.625" style="1558" hidden="1" customWidth="1"/>
    <col min="11793" max="11793" width="9.625" style="1558" hidden="1" customWidth="1"/>
    <col min="11794" max="11794" width="31.625" style="1558" hidden="1" customWidth="1"/>
    <col min="11795" max="11805" width="7.375" style="1558" hidden="1" customWidth="1"/>
    <col min="11806" max="11806" width="7.625" style="1558" hidden="1" customWidth="1"/>
    <col min="11807" max="11807" width="1.625" style="1558" hidden="1" customWidth="1"/>
    <col min="11808" max="12032" width="0" style="1558" hidden="1"/>
    <col min="12033" max="12033" width="2.25" style="1558" hidden="1" customWidth="1"/>
    <col min="12034" max="12034" width="9.625" style="1558" hidden="1" customWidth="1"/>
    <col min="12035" max="12035" width="31.625" style="1558" hidden="1" customWidth="1"/>
    <col min="12036" max="12036" width="8.625" style="1558" hidden="1" customWidth="1"/>
    <col min="12037" max="12037" width="9" style="1558" hidden="1" customWidth="1"/>
    <col min="12038" max="12038" width="1.625" style="1558" hidden="1" customWidth="1"/>
    <col min="12039" max="12040" width="7.25" style="1558" hidden="1" customWidth="1"/>
    <col min="12041" max="12041" width="8.625" style="1558" hidden="1" customWidth="1"/>
    <col min="12042" max="12042" width="9.125" style="1558" hidden="1" customWidth="1"/>
    <col min="12043" max="12043" width="8.5" style="1558" hidden="1" customWidth="1"/>
    <col min="12044" max="12044" width="8.875" style="1558" hidden="1" customWidth="1"/>
    <col min="12045" max="12045" width="2.25" style="1558" hidden="1" customWidth="1"/>
    <col min="12046" max="12046" width="8.5" style="1558" hidden="1" customWidth="1"/>
    <col min="12047" max="12047" width="8.875" style="1558" hidden="1" customWidth="1"/>
    <col min="12048" max="12048" width="2.625" style="1558" hidden="1" customWidth="1"/>
    <col min="12049" max="12049" width="9.625" style="1558" hidden="1" customWidth="1"/>
    <col min="12050" max="12050" width="31.625" style="1558" hidden="1" customWidth="1"/>
    <col min="12051" max="12061" width="7.375" style="1558" hidden="1" customWidth="1"/>
    <col min="12062" max="12062" width="7.625" style="1558" hidden="1" customWidth="1"/>
    <col min="12063" max="12063" width="1.625" style="1558" hidden="1" customWidth="1"/>
    <col min="12064" max="12288" width="0" style="1558" hidden="1"/>
    <col min="12289" max="12289" width="2.25" style="1558" hidden="1" customWidth="1"/>
    <col min="12290" max="12290" width="9.625" style="1558" hidden="1" customWidth="1"/>
    <col min="12291" max="12291" width="31.625" style="1558" hidden="1" customWidth="1"/>
    <col min="12292" max="12292" width="8.625" style="1558" hidden="1" customWidth="1"/>
    <col min="12293" max="12293" width="9" style="1558" hidden="1" customWidth="1"/>
    <col min="12294" max="12294" width="1.625" style="1558" hidden="1" customWidth="1"/>
    <col min="12295" max="12296" width="7.25" style="1558" hidden="1" customWidth="1"/>
    <col min="12297" max="12297" width="8.625" style="1558" hidden="1" customWidth="1"/>
    <col min="12298" max="12298" width="9.125" style="1558" hidden="1" customWidth="1"/>
    <col min="12299" max="12299" width="8.5" style="1558" hidden="1" customWidth="1"/>
    <col min="12300" max="12300" width="8.875" style="1558" hidden="1" customWidth="1"/>
    <col min="12301" max="12301" width="2.25" style="1558" hidden="1" customWidth="1"/>
    <col min="12302" max="12302" width="8.5" style="1558" hidden="1" customWidth="1"/>
    <col min="12303" max="12303" width="8.875" style="1558" hidden="1" customWidth="1"/>
    <col min="12304" max="12304" width="2.625" style="1558" hidden="1" customWidth="1"/>
    <col min="12305" max="12305" width="9.625" style="1558" hidden="1" customWidth="1"/>
    <col min="12306" max="12306" width="31.625" style="1558" hidden="1" customWidth="1"/>
    <col min="12307" max="12317" width="7.375" style="1558" hidden="1" customWidth="1"/>
    <col min="12318" max="12318" width="7.625" style="1558" hidden="1" customWidth="1"/>
    <col min="12319" max="12319" width="1.625" style="1558" hidden="1" customWidth="1"/>
    <col min="12320" max="12544" width="0" style="1558" hidden="1"/>
    <col min="12545" max="12545" width="2.25" style="1558" hidden="1" customWidth="1"/>
    <col min="12546" max="12546" width="9.625" style="1558" hidden="1" customWidth="1"/>
    <col min="12547" max="12547" width="31.625" style="1558" hidden="1" customWidth="1"/>
    <col min="12548" max="12548" width="8.625" style="1558" hidden="1" customWidth="1"/>
    <col min="12549" max="12549" width="9" style="1558" hidden="1" customWidth="1"/>
    <col min="12550" max="12550" width="1.625" style="1558" hidden="1" customWidth="1"/>
    <col min="12551" max="12552" width="7.25" style="1558" hidden="1" customWidth="1"/>
    <col min="12553" max="12553" width="8.625" style="1558" hidden="1" customWidth="1"/>
    <col min="12554" max="12554" width="9.125" style="1558" hidden="1" customWidth="1"/>
    <col min="12555" max="12555" width="8.5" style="1558" hidden="1" customWidth="1"/>
    <col min="12556" max="12556" width="8.875" style="1558" hidden="1" customWidth="1"/>
    <col min="12557" max="12557" width="2.25" style="1558" hidden="1" customWidth="1"/>
    <col min="12558" max="12558" width="8.5" style="1558" hidden="1" customWidth="1"/>
    <col min="12559" max="12559" width="8.875" style="1558" hidden="1" customWidth="1"/>
    <col min="12560" max="12560" width="2.625" style="1558" hidden="1" customWidth="1"/>
    <col min="12561" max="12561" width="9.625" style="1558" hidden="1" customWidth="1"/>
    <col min="12562" max="12562" width="31.625" style="1558" hidden="1" customWidth="1"/>
    <col min="12563" max="12573" width="7.375" style="1558" hidden="1" customWidth="1"/>
    <col min="12574" max="12574" width="7.625" style="1558" hidden="1" customWidth="1"/>
    <col min="12575" max="12575" width="1.625" style="1558" hidden="1" customWidth="1"/>
    <col min="12576" max="12800" width="0" style="1558" hidden="1"/>
    <col min="12801" max="12801" width="2.25" style="1558" hidden="1" customWidth="1"/>
    <col min="12802" max="12802" width="9.625" style="1558" hidden="1" customWidth="1"/>
    <col min="12803" max="12803" width="31.625" style="1558" hidden="1" customWidth="1"/>
    <col min="12804" max="12804" width="8.625" style="1558" hidden="1" customWidth="1"/>
    <col min="12805" max="12805" width="9" style="1558" hidden="1" customWidth="1"/>
    <col min="12806" max="12806" width="1.625" style="1558" hidden="1" customWidth="1"/>
    <col min="12807" max="12808" width="7.25" style="1558" hidden="1" customWidth="1"/>
    <col min="12809" max="12809" width="8.625" style="1558" hidden="1" customWidth="1"/>
    <col min="12810" max="12810" width="9.125" style="1558" hidden="1" customWidth="1"/>
    <col min="12811" max="12811" width="8.5" style="1558" hidden="1" customWidth="1"/>
    <col min="12812" max="12812" width="8.875" style="1558" hidden="1" customWidth="1"/>
    <col min="12813" max="12813" width="2.25" style="1558" hidden="1" customWidth="1"/>
    <col min="12814" max="12814" width="8.5" style="1558" hidden="1" customWidth="1"/>
    <col min="12815" max="12815" width="8.875" style="1558" hidden="1" customWidth="1"/>
    <col min="12816" max="12816" width="2.625" style="1558" hidden="1" customWidth="1"/>
    <col min="12817" max="12817" width="9.625" style="1558" hidden="1" customWidth="1"/>
    <col min="12818" max="12818" width="31.625" style="1558" hidden="1" customWidth="1"/>
    <col min="12819" max="12829" width="7.375" style="1558" hidden="1" customWidth="1"/>
    <col min="12830" max="12830" width="7.625" style="1558" hidden="1" customWidth="1"/>
    <col min="12831" max="12831" width="1.625" style="1558" hidden="1" customWidth="1"/>
    <col min="12832" max="13056" width="0" style="1558" hidden="1"/>
    <col min="13057" max="13057" width="2.25" style="1558" hidden="1" customWidth="1"/>
    <col min="13058" max="13058" width="9.625" style="1558" hidden="1" customWidth="1"/>
    <col min="13059" max="13059" width="31.625" style="1558" hidden="1" customWidth="1"/>
    <col min="13060" max="13060" width="8.625" style="1558" hidden="1" customWidth="1"/>
    <col min="13061" max="13061" width="9" style="1558" hidden="1" customWidth="1"/>
    <col min="13062" max="13062" width="1.625" style="1558" hidden="1" customWidth="1"/>
    <col min="13063" max="13064" width="7.25" style="1558" hidden="1" customWidth="1"/>
    <col min="13065" max="13065" width="8.625" style="1558" hidden="1" customWidth="1"/>
    <col min="13066" max="13066" width="9.125" style="1558" hidden="1" customWidth="1"/>
    <col min="13067" max="13067" width="8.5" style="1558" hidden="1" customWidth="1"/>
    <col min="13068" max="13068" width="8.875" style="1558" hidden="1" customWidth="1"/>
    <col min="13069" max="13069" width="2.25" style="1558" hidden="1" customWidth="1"/>
    <col min="13070" max="13070" width="8.5" style="1558" hidden="1" customWidth="1"/>
    <col min="13071" max="13071" width="8.875" style="1558" hidden="1" customWidth="1"/>
    <col min="13072" max="13072" width="2.625" style="1558" hidden="1" customWidth="1"/>
    <col min="13073" max="13073" width="9.625" style="1558" hidden="1" customWidth="1"/>
    <col min="13074" max="13074" width="31.625" style="1558" hidden="1" customWidth="1"/>
    <col min="13075" max="13085" width="7.375" style="1558" hidden="1" customWidth="1"/>
    <col min="13086" max="13086" width="7.625" style="1558" hidden="1" customWidth="1"/>
    <col min="13087" max="13087" width="1.625" style="1558" hidden="1" customWidth="1"/>
    <col min="13088" max="13312" width="0" style="1558" hidden="1"/>
    <col min="13313" max="13313" width="2.25" style="1558" hidden="1" customWidth="1"/>
    <col min="13314" max="13314" width="9.625" style="1558" hidden="1" customWidth="1"/>
    <col min="13315" max="13315" width="31.625" style="1558" hidden="1" customWidth="1"/>
    <col min="13316" max="13316" width="8.625" style="1558" hidden="1" customWidth="1"/>
    <col min="13317" max="13317" width="9" style="1558" hidden="1" customWidth="1"/>
    <col min="13318" max="13318" width="1.625" style="1558" hidden="1" customWidth="1"/>
    <col min="13319" max="13320" width="7.25" style="1558" hidden="1" customWidth="1"/>
    <col min="13321" max="13321" width="8.625" style="1558" hidden="1" customWidth="1"/>
    <col min="13322" max="13322" width="9.125" style="1558" hidden="1" customWidth="1"/>
    <col min="13323" max="13323" width="8.5" style="1558" hidden="1" customWidth="1"/>
    <col min="13324" max="13324" width="8.875" style="1558" hidden="1" customWidth="1"/>
    <col min="13325" max="13325" width="2.25" style="1558" hidden="1" customWidth="1"/>
    <col min="13326" max="13326" width="8.5" style="1558" hidden="1" customWidth="1"/>
    <col min="13327" max="13327" width="8.875" style="1558" hidden="1" customWidth="1"/>
    <col min="13328" max="13328" width="2.625" style="1558" hidden="1" customWidth="1"/>
    <col min="13329" max="13329" width="9.625" style="1558" hidden="1" customWidth="1"/>
    <col min="13330" max="13330" width="31.625" style="1558" hidden="1" customWidth="1"/>
    <col min="13331" max="13341" width="7.375" style="1558" hidden="1" customWidth="1"/>
    <col min="13342" max="13342" width="7.625" style="1558" hidden="1" customWidth="1"/>
    <col min="13343" max="13343" width="1.625" style="1558" hidden="1" customWidth="1"/>
    <col min="13344" max="13568" width="0" style="1558" hidden="1"/>
    <col min="13569" max="13569" width="2.25" style="1558" hidden="1" customWidth="1"/>
    <col min="13570" max="13570" width="9.625" style="1558" hidden="1" customWidth="1"/>
    <col min="13571" max="13571" width="31.625" style="1558" hidden="1" customWidth="1"/>
    <col min="13572" max="13572" width="8.625" style="1558" hidden="1" customWidth="1"/>
    <col min="13573" max="13573" width="9" style="1558" hidden="1" customWidth="1"/>
    <col min="13574" max="13574" width="1.625" style="1558" hidden="1" customWidth="1"/>
    <col min="13575" max="13576" width="7.25" style="1558" hidden="1" customWidth="1"/>
    <col min="13577" max="13577" width="8.625" style="1558" hidden="1" customWidth="1"/>
    <col min="13578" max="13578" width="9.125" style="1558" hidden="1" customWidth="1"/>
    <col min="13579" max="13579" width="8.5" style="1558" hidden="1" customWidth="1"/>
    <col min="13580" max="13580" width="8.875" style="1558" hidden="1" customWidth="1"/>
    <col min="13581" max="13581" width="2.25" style="1558" hidden="1" customWidth="1"/>
    <col min="13582" max="13582" width="8.5" style="1558" hidden="1" customWidth="1"/>
    <col min="13583" max="13583" width="8.875" style="1558" hidden="1" customWidth="1"/>
    <col min="13584" max="13584" width="2.625" style="1558" hidden="1" customWidth="1"/>
    <col min="13585" max="13585" width="9.625" style="1558" hidden="1" customWidth="1"/>
    <col min="13586" max="13586" width="31.625" style="1558" hidden="1" customWidth="1"/>
    <col min="13587" max="13597" width="7.375" style="1558" hidden="1" customWidth="1"/>
    <col min="13598" max="13598" width="7.625" style="1558" hidden="1" customWidth="1"/>
    <col min="13599" max="13599" width="1.625" style="1558" hidden="1" customWidth="1"/>
    <col min="13600" max="13824" width="0" style="1558" hidden="1"/>
    <col min="13825" max="13825" width="2.25" style="1558" hidden="1" customWidth="1"/>
    <col min="13826" max="13826" width="9.625" style="1558" hidden="1" customWidth="1"/>
    <col min="13827" max="13827" width="31.625" style="1558" hidden="1" customWidth="1"/>
    <col min="13828" max="13828" width="8.625" style="1558" hidden="1" customWidth="1"/>
    <col min="13829" max="13829" width="9" style="1558" hidden="1" customWidth="1"/>
    <col min="13830" max="13830" width="1.625" style="1558" hidden="1" customWidth="1"/>
    <col min="13831" max="13832" width="7.25" style="1558" hidden="1" customWidth="1"/>
    <col min="13833" max="13833" width="8.625" style="1558" hidden="1" customWidth="1"/>
    <col min="13834" max="13834" width="9.125" style="1558" hidden="1" customWidth="1"/>
    <col min="13835" max="13835" width="8.5" style="1558" hidden="1" customWidth="1"/>
    <col min="13836" max="13836" width="8.875" style="1558" hidden="1" customWidth="1"/>
    <col min="13837" max="13837" width="2.25" style="1558" hidden="1" customWidth="1"/>
    <col min="13838" max="13838" width="8.5" style="1558" hidden="1" customWidth="1"/>
    <col min="13839" max="13839" width="8.875" style="1558" hidden="1" customWidth="1"/>
    <col min="13840" max="13840" width="2.625" style="1558" hidden="1" customWidth="1"/>
    <col min="13841" max="13841" width="9.625" style="1558" hidden="1" customWidth="1"/>
    <col min="13842" max="13842" width="31.625" style="1558" hidden="1" customWidth="1"/>
    <col min="13843" max="13853" width="7.375" style="1558" hidden="1" customWidth="1"/>
    <col min="13854" max="13854" width="7.625" style="1558" hidden="1" customWidth="1"/>
    <col min="13855" max="13855" width="1.625" style="1558" hidden="1" customWidth="1"/>
    <col min="13856" max="14080" width="0" style="1558" hidden="1"/>
    <col min="14081" max="14081" width="2.25" style="1558" hidden="1" customWidth="1"/>
    <col min="14082" max="14082" width="9.625" style="1558" hidden="1" customWidth="1"/>
    <col min="14083" max="14083" width="31.625" style="1558" hidden="1" customWidth="1"/>
    <col min="14084" max="14084" width="8.625" style="1558" hidden="1" customWidth="1"/>
    <col min="14085" max="14085" width="9" style="1558" hidden="1" customWidth="1"/>
    <col min="14086" max="14086" width="1.625" style="1558" hidden="1" customWidth="1"/>
    <col min="14087" max="14088" width="7.25" style="1558" hidden="1" customWidth="1"/>
    <col min="14089" max="14089" width="8.625" style="1558" hidden="1" customWidth="1"/>
    <col min="14090" max="14090" width="9.125" style="1558" hidden="1" customWidth="1"/>
    <col min="14091" max="14091" width="8.5" style="1558" hidden="1" customWidth="1"/>
    <col min="14092" max="14092" width="8.875" style="1558" hidden="1" customWidth="1"/>
    <col min="14093" max="14093" width="2.25" style="1558" hidden="1" customWidth="1"/>
    <col min="14094" max="14094" width="8.5" style="1558" hidden="1" customWidth="1"/>
    <col min="14095" max="14095" width="8.875" style="1558" hidden="1" customWidth="1"/>
    <col min="14096" max="14096" width="2.625" style="1558" hidden="1" customWidth="1"/>
    <col min="14097" max="14097" width="9.625" style="1558" hidden="1" customWidth="1"/>
    <col min="14098" max="14098" width="31.625" style="1558" hidden="1" customWidth="1"/>
    <col min="14099" max="14109" width="7.375" style="1558" hidden="1" customWidth="1"/>
    <col min="14110" max="14110" width="7.625" style="1558" hidden="1" customWidth="1"/>
    <col min="14111" max="14111" width="1.625" style="1558" hidden="1" customWidth="1"/>
    <col min="14112" max="14336" width="0" style="1558" hidden="1"/>
    <col min="14337" max="14337" width="2.25" style="1558" hidden="1" customWidth="1"/>
    <col min="14338" max="14338" width="9.625" style="1558" hidden="1" customWidth="1"/>
    <col min="14339" max="14339" width="31.625" style="1558" hidden="1" customWidth="1"/>
    <col min="14340" max="14340" width="8.625" style="1558" hidden="1" customWidth="1"/>
    <col min="14341" max="14341" width="9" style="1558" hidden="1" customWidth="1"/>
    <col min="14342" max="14342" width="1.625" style="1558" hidden="1" customWidth="1"/>
    <col min="14343" max="14344" width="7.25" style="1558" hidden="1" customWidth="1"/>
    <col min="14345" max="14345" width="8.625" style="1558" hidden="1" customWidth="1"/>
    <col min="14346" max="14346" width="9.125" style="1558" hidden="1" customWidth="1"/>
    <col min="14347" max="14347" width="8.5" style="1558" hidden="1" customWidth="1"/>
    <col min="14348" max="14348" width="8.875" style="1558" hidden="1" customWidth="1"/>
    <col min="14349" max="14349" width="2.25" style="1558" hidden="1" customWidth="1"/>
    <col min="14350" max="14350" width="8.5" style="1558" hidden="1" customWidth="1"/>
    <col min="14351" max="14351" width="8.875" style="1558" hidden="1" customWidth="1"/>
    <col min="14352" max="14352" width="2.625" style="1558" hidden="1" customWidth="1"/>
    <col min="14353" max="14353" width="9.625" style="1558" hidden="1" customWidth="1"/>
    <col min="14354" max="14354" width="31.625" style="1558" hidden="1" customWidth="1"/>
    <col min="14355" max="14365" width="7.375" style="1558" hidden="1" customWidth="1"/>
    <col min="14366" max="14366" width="7.625" style="1558" hidden="1" customWidth="1"/>
    <col min="14367" max="14367" width="1.625" style="1558" hidden="1" customWidth="1"/>
    <col min="14368" max="14592" width="0" style="1558" hidden="1"/>
    <col min="14593" max="14593" width="2.25" style="1558" hidden="1" customWidth="1"/>
    <col min="14594" max="14594" width="9.625" style="1558" hidden="1" customWidth="1"/>
    <col min="14595" max="14595" width="31.625" style="1558" hidden="1" customWidth="1"/>
    <col min="14596" max="14596" width="8.625" style="1558" hidden="1" customWidth="1"/>
    <col min="14597" max="14597" width="9" style="1558" hidden="1" customWidth="1"/>
    <col min="14598" max="14598" width="1.625" style="1558" hidden="1" customWidth="1"/>
    <col min="14599" max="14600" width="7.25" style="1558" hidden="1" customWidth="1"/>
    <col min="14601" max="14601" width="8.625" style="1558" hidden="1" customWidth="1"/>
    <col min="14602" max="14602" width="9.125" style="1558" hidden="1" customWidth="1"/>
    <col min="14603" max="14603" width="8.5" style="1558" hidden="1" customWidth="1"/>
    <col min="14604" max="14604" width="8.875" style="1558" hidden="1" customWidth="1"/>
    <col min="14605" max="14605" width="2.25" style="1558" hidden="1" customWidth="1"/>
    <col min="14606" max="14606" width="8.5" style="1558" hidden="1" customWidth="1"/>
    <col min="14607" max="14607" width="8.875" style="1558" hidden="1" customWidth="1"/>
    <col min="14608" max="14608" width="2.625" style="1558" hidden="1" customWidth="1"/>
    <col min="14609" max="14609" width="9.625" style="1558" hidden="1" customWidth="1"/>
    <col min="14610" max="14610" width="31.625" style="1558" hidden="1" customWidth="1"/>
    <col min="14611" max="14621" width="7.375" style="1558" hidden="1" customWidth="1"/>
    <col min="14622" max="14622" width="7.625" style="1558" hidden="1" customWidth="1"/>
    <col min="14623" max="14623" width="1.625" style="1558" hidden="1" customWidth="1"/>
    <col min="14624" max="14848" width="0" style="1558" hidden="1"/>
    <col min="14849" max="14849" width="2.25" style="1558" hidden="1" customWidth="1"/>
    <col min="14850" max="14850" width="9.625" style="1558" hidden="1" customWidth="1"/>
    <col min="14851" max="14851" width="31.625" style="1558" hidden="1" customWidth="1"/>
    <col min="14852" max="14852" width="8.625" style="1558" hidden="1" customWidth="1"/>
    <col min="14853" max="14853" width="9" style="1558" hidden="1" customWidth="1"/>
    <col min="14854" max="14854" width="1.625" style="1558" hidden="1" customWidth="1"/>
    <col min="14855" max="14856" width="7.25" style="1558" hidden="1" customWidth="1"/>
    <col min="14857" max="14857" width="8.625" style="1558" hidden="1" customWidth="1"/>
    <col min="14858" max="14858" width="9.125" style="1558" hidden="1" customWidth="1"/>
    <col min="14859" max="14859" width="8.5" style="1558" hidden="1" customWidth="1"/>
    <col min="14860" max="14860" width="8.875" style="1558" hidden="1" customWidth="1"/>
    <col min="14861" max="14861" width="2.25" style="1558" hidden="1" customWidth="1"/>
    <col min="14862" max="14862" width="8.5" style="1558" hidden="1" customWidth="1"/>
    <col min="14863" max="14863" width="8.875" style="1558" hidden="1" customWidth="1"/>
    <col min="14864" max="14864" width="2.625" style="1558" hidden="1" customWidth="1"/>
    <col min="14865" max="14865" width="9.625" style="1558" hidden="1" customWidth="1"/>
    <col min="14866" max="14866" width="31.625" style="1558" hidden="1" customWidth="1"/>
    <col min="14867" max="14877" width="7.375" style="1558" hidden="1" customWidth="1"/>
    <col min="14878" max="14878" width="7.625" style="1558" hidden="1" customWidth="1"/>
    <col min="14879" max="14879" width="1.625" style="1558" hidden="1" customWidth="1"/>
    <col min="14880" max="15104" width="0" style="1558" hidden="1"/>
    <col min="15105" max="15105" width="2.25" style="1558" hidden="1" customWidth="1"/>
    <col min="15106" max="15106" width="9.625" style="1558" hidden="1" customWidth="1"/>
    <col min="15107" max="15107" width="31.625" style="1558" hidden="1" customWidth="1"/>
    <col min="15108" max="15108" width="8.625" style="1558" hidden="1" customWidth="1"/>
    <col min="15109" max="15109" width="9" style="1558" hidden="1" customWidth="1"/>
    <col min="15110" max="15110" width="1.625" style="1558" hidden="1" customWidth="1"/>
    <col min="15111" max="15112" width="7.25" style="1558" hidden="1" customWidth="1"/>
    <col min="15113" max="15113" width="8.625" style="1558" hidden="1" customWidth="1"/>
    <col min="15114" max="15114" width="9.125" style="1558" hidden="1" customWidth="1"/>
    <col min="15115" max="15115" width="8.5" style="1558" hidden="1" customWidth="1"/>
    <col min="15116" max="15116" width="8.875" style="1558" hidden="1" customWidth="1"/>
    <col min="15117" max="15117" width="2.25" style="1558" hidden="1" customWidth="1"/>
    <col min="15118" max="15118" width="8.5" style="1558" hidden="1" customWidth="1"/>
    <col min="15119" max="15119" width="8.875" style="1558" hidden="1" customWidth="1"/>
    <col min="15120" max="15120" width="2.625" style="1558" hidden="1" customWidth="1"/>
    <col min="15121" max="15121" width="9.625" style="1558" hidden="1" customWidth="1"/>
    <col min="15122" max="15122" width="31.625" style="1558" hidden="1" customWidth="1"/>
    <col min="15123" max="15133" width="7.375" style="1558" hidden="1" customWidth="1"/>
    <col min="15134" max="15134" width="7.625" style="1558" hidden="1" customWidth="1"/>
    <col min="15135" max="15135" width="1.625" style="1558" hidden="1" customWidth="1"/>
    <col min="15136" max="15360" width="0" style="1558" hidden="1"/>
    <col min="15361" max="15361" width="2.25" style="1558" hidden="1" customWidth="1"/>
    <col min="15362" max="15362" width="9.625" style="1558" hidden="1" customWidth="1"/>
    <col min="15363" max="15363" width="31.625" style="1558" hidden="1" customWidth="1"/>
    <col min="15364" max="15364" width="8.625" style="1558" hidden="1" customWidth="1"/>
    <col min="15365" max="15365" width="9" style="1558" hidden="1" customWidth="1"/>
    <col min="15366" max="15366" width="1.625" style="1558" hidden="1" customWidth="1"/>
    <col min="15367" max="15368" width="7.25" style="1558" hidden="1" customWidth="1"/>
    <col min="15369" max="15369" width="8.625" style="1558" hidden="1" customWidth="1"/>
    <col min="15370" max="15370" width="9.125" style="1558" hidden="1" customWidth="1"/>
    <col min="15371" max="15371" width="8.5" style="1558" hidden="1" customWidth="1"/>
    <col min="15372" max="15372" width="8.875" style="1558" hidden="1" customWidth="1"/>
    <col min="15373" max="15373" width="2.25" style="1558" hidden="1" customWidth="1"/>
    <col min="15374" max="15374" width="8.5" style="1558" hidden="1" customWidth="1"/>
    <col min="15375" max="15375" width="8.875" style="1558" hidden="1" customWidth="1"/>
    <col min="15376" max="15376" width="2.625" style="1558" hidden="1" customWidth="1"/>
    <col min="15377" max="15377" width="9.625" style="1558" hidden="1" customWidth="1"/>
    <col min="15378" max="15378" width="31.625" style="1558" hidden="1" customWidth="1"/>
    <col min="15379" max="15389" width="7.375" style="1558" hidden="1" customWidth="1"/>
    <col min="15390" max="15390" width="7.625" style="1558" hidden="1" customWidth="1"/>
    <col min="15391" max="15391" width="1.625" style="1558" hidden="1" customWidth="1"/>
    <col min="15392" max="15616" width="0" style="1558" hidden="1"/>
    <col min="15617" max="15617" width="2.25" style="1558" hidden="1" customWidth="1"/>
    <col min="15618" max="15618" width="9.625" style="1558" hidden="1" customWidth="1"/>
    <col min="15619" max="15619" width="31.625" style="1558" hidden="1" customWidth="1"/>
    <col min="15620" max="15620" width="8.625" style="1558" hidden="1" customWidth="1"/>
    <col min="15621" max="15621" width="9" style="1558" hidden="1" customWidth="1"/>
    <col min="15622" max="15622" width="1.625" style="1558" hidden="1" customWidth="1"/>
    <col min="15623" max="15624" width="7.25" style="1558" hidden="1" customWidth="1"/>
    <col min="15625" max="15625" width="8.625" style="1558" hidden="1" customWidth="1"/>
    <col min="15626" max="15626" width="9.125" style="1558" hidden="1" customWidth="1"/>
    <col min="15627" max="15627" width="8.5" style="1558" hidden="1" customWidth="1"/>
    <col min="15628" max="15628" width="8.875" style="1558" hidden="1" customWidth="1"/>
    <col min="15629" max="15629" width="2.25" style="1558" hidden="1" customWidth="1"/>
    <col min="15630" max="15630" width="8.5" style="1558" hidden="1" customWidth="1"/>
    <col min="15631" max="15631" width="8.875" style="1558" hidden="1" customWidth="1"/>
    <col min="15632" max="15632" width="2.625" style="1558" hidden="1" customWidth="1"/>
    <col min="15633" max="15633" width="9.625" style="1558" hidden="1" customWidth="1"/>
    <col min="15634" max="15634" width="31.625" style="1558" hidden="1" customWidth="1"/>
    <col min="15635" max="15645" width="7.375" style="1558" hidden="1" customWidth="1"/>
    <col min="15646" max="15646" width="7.625" style="1558" hidden="1" customWidth="1"/>
    <col min="15647" max="15647" width="1.625" style="1558" hidden="1" customWidth="1"/>
    <col min="15648" max="15872" width="0" style="1558" hidden="1"/>
    <col min="15873" max="15873" width="2.25" style="1558" hidden="1" customWidth="1"/>
    <col min="15874" max="15874" width="9.625" style="1558" hidden="1" customWidth="1"/>
    <col min="15875" max="15875" width="31.625" style="1558" hidden="1" customWidth="1"/>
    <col min="15876" max="15876" width="8.625" style="1558" hidden="1" customWidth="1"/>
    <col min="15877" max="15877" width="9" style="1558" hidden="1" customWidth="1"/>
    <col min="15878" max="15878" width="1.625" style="1558" hidden="1" customWidth="1"/>
    <col min="15879" max="15880" width="7.25" style="1558" hidden="1" customWidth="1"/>
    <col min="15881" max="15881" width="8.625" style="1558" hidden="1" customWidth="1"/>
    <col min="15882" max="15882" width="9.125" style="1558" hidden="1" customWidth="1"/>
    <col min="15883" max="15883" width="8.5" style="1558" hidden="1" customWidth="1"/>
    <col min="15884" max="15884" width="8.875" style="1558" hidden="1" customWidth="1"/>
    <col min="15885" max="15885" width="2.25" style="1558" hidden="1" customWidth="1"/>
    <col min="15886" max="15886" width="8.5" style="1558" hidden="1" customWidth="1"/>
    <col min="15887" max="15887" width="8.875" style="1558" hidden="1" customWidth="1"/>
    <col min="15888" max="15888" width="2.625" style="1558" hidden="1" customWidth="1"/>
    <col min="15889" max="15889" width="9.625" style="1558" hidden="1" customWidth="1"/>
    <col min="15890" max="15890" width="31.625" style="1558" hidden="1" customWidth="1"/>
    <col min="15891" max="15901" width="7.375" style="1558" hidden="1" customWidth="1"/>
    <col min="15902" max="15902" width="7.625" style="1558" hidden="1" customWidth="1"/>
    <col min="15903" max="15903" width="1.625" style="1558" hidden="1" customWidth="1"/>
    <col min="15904" max="16128" width="0" style="1558" hidden="1"/>
    <col min="16129" max="16129" width="2.25" style="1558" hidden="1" customWidth="1"/>
    <col min="16130" max="16130" width="9.625" style="1558" hidden="1" customWidth="1"/>
    <col min="16131" max="16131" width="31.625" style="1558" hidden="1" customWidth="1"/>
    <col min="16132" max="16132" width="8.625" style="1558" hidden="1" customWidth="1"/>
    <col min="16133" max="16133" width="9" style="1558" hidden="1" customWidth="1"/>
    <col min="16134" max="16134" width="1.625" style="1558" hidden="1" customWidth="1"/>
    <col min="16135" max="16136" width="7.25" style="1558" hidden="1" customWidth="1"/>
    <col min="16137" max="16137" width="8.625" style="1558" hidden="1" customWidth="1"/>
    <col min="16138" max="16138" width="9.125" style="1558" hidden="1" customWidth="1"/>
    <col min="16139" max="16139" width="8.5" style="1558" hidden="1" customWidth="1"/>
    <col min="16140" max="16140" width="8.875" style="1558" hidden="1" customWidth="1"/>
    <col min="16141" max="16141" width="2.25" style="1558" hidden="1" customWidth="1"/>
    <col min="16142" max="16142" width="8.5" style="1558" hidden="1" customWidth="1"/>
    <col min="16143" max="16143" width="8.875" style="1558" hidden="1" customWidth="1"/>
    <col min="16144" max="16144" width="2.625" style="1558" hidden="1" customWidth="1"/>
    <col min="16145" max="16145" width="9.625" style="1558" hidden="1" customWidth="1"/>
    <col min="16146" max="16146" width="31.625" style="1558" hidden="1" customWidth="1"/>
    <col min="16147" max="16157" width="7.375" style="1558" hidden="1" customWidth="1"/>
    <col min="16158" max="16158" width="7.625" style="1558" hidden="1" customWidth="1"/>
    <col min="16159" max="16159" width="1.625" style="1558" hidden="1" customWidth="1"/>
    <col min="16160" max="16384" width="0" style="1558" hidden="1"/>
  </cols>
  <sheetData>
    <row r="1" spans="1:31" ht="6" customHeight="1"/>
    <row r="2" spans="1:31" ht="6" customHeight="1">
      <c r="B2" s="2606"/>
      <c r="C2" s="2607"/>
      <c r="D2" s="2608"/>
      <c r="E2" s="2609"/>
      <c r="F2" s="2610"/>
      <c r="G2" s="2609"/>
      <c r="H2" s="2609"/>
      <c r="I2" s="2609"/>
      <c r="J2" s="2609"/>
      <c r="K2" s="2609"/>
      <c r="L2" s="2609"/>
      <c r="M2" s="2609"/>
      <c r="N2" s="2609"/>
      <c r="O2" s="2609"/>
      <c r="P2" s="2610"/>
      <c r="Q2" s="2611"/>
      <c r="R2" s="2612"/>
      <c r="S2" s="2613"/>
      <c r="T2" s="2613"/>
      <c r="U2" s="2613"/>
      <c r="V2" s="2613"/>
      <c r="W2" s="2613"/>
      <c r="X2" s="2613"/>
      <c r="Y2" s="2613"/>
      <c r="Z2" s="2613"/>
      <c r="AA2" s="2613"/>
      <c r="AB2" s="2613"/>
      <c r="AC2" s="2613"/>
      <c r="AD2" s="2613"/>
      <c r="AE2" s="2614"/>
    </row>
    <row r="3" spans="1:31" s="1567" customFormat="1" ht="17.25">
      <c r="A3" s="2662"/>
      <c r="B3" s="2615" t="s">
        <v>262</v>
      </c>
      <c r="C3" s="2616"/>
      <c r="D3" s="2617"/>
      <c r="E3" s="2618"/>
      <c r="F3" s="2619"/>
      <c r="G3" s="2620"/>
      <c r="H3" s="2620"/>
      <c r="I3" s="2618"/>
      <c r="J3" s="2618"/>
      <c r="K3" s="2618"/>
      <c r="L3" s="2618"/>
      <c r="M3" s="2618"/>
      <c r="N3" s="2618"/>
      <c r="O3" s="2618"/>
      <c r="P3" s="2619"/>
      <c r="Q3" s="2621" t="s">
        <v>263</v>
      </c>
      <c r="R3" s="1564"/>
      <c r="S3" s="1564"/>
      <c r="T3" s="2622"/>
      <c r="U3" s="2622"/>
      <c r="V3" s="2622"/>
      <c r="W3" s="2622"/>
      <c r="X3" s="2622"/>
      <c r="Y3" s="2622"/>
      <c r="Z3" s="2622"/>
      <c r="AA3" s="2622"/>
      <c r="AB3" s="2622"/>
      <c r="AC3" s="2622"/>
      <c r="AD3" s="2622"/>
      <c r="AE3" s="2623"/>
    </row>
    <row r="4" spans="1:31" s="1567" customFormat="1" ht="17.25">
      <c r="A4" s="2662"/>
      <c r="B4" s="2615"/>
      <c r="C4" s="2616"/>
      <c r="D4" s="2617"/>
      <c r="E4" s="2618"/>
      <c r="F4" s="2619"/>
      <c r="G4" s="2620"/>
      <c r="H4" s="2620"/>
      <c r="I4" s="2618"/>
      <c r="J4" s="2618"/>
      <c r="K4" s="2618"/>
      <c r="L4" s="2618"/>
      <c r="M4" s="2618"/>
      <c r="N4" s="2618"/>
      <c r="O4" s="2618"/>
      <c r="P4" s="2619"/>
      <c r="Q4" s="2624" t="s">
        <v>264</v>
      </c>
      <c r="R4" s="2625"/>
      <c r="S4" s="2622"/>
      <c r="T4" s="2622"/>
      <c r="U4" s="2622"/>
      <c r="V4" s="2622"/>
      <c r="W4" s="2622"/>
      <c r="X4" s="2622"/>
      <c r="Y4" s="2622"/>
      <c r="Z4" s="2622"/>
      <c r="AA4" s="2622"/>
      <c r="AB4" s="2622"/>
      <c r="AC4" s="2622"/>
      <c r="AD4" s="2622"/>
      <c r="AE4" s="2623"/>
    </row>
    <row r="5" spans="1:31" s="1567" customFormat="1" ht="4.5" customHeight="1">
      <c r="A5" s="2662"/>
      <c r="B5" s="2615"/>
      <c r="C5" s="2616"/>
      <c r="D5" s="2617"/>
      <c r="E5" s="2618"/>
      <c r="F5" s="2619"/>
      <c r="G5" s="2620"/>
      <c r="H5" s="2620"/>
      <c r="I5" s="2618"/>
      <c r="J5" s="2618"/>
      <c r="K5" s="2618"/>
      <c r="L5" s="2618"/>
      <c r="M5" s="2618"/>
      <c r="N5" s="2618"/>
      <c r="O5" s="2618"/>
      <c r="P5" s="2619"/>
      <c r="Q5" s="2624"/>
      <c r="R5" s="2625"/>
      <c r="S5" s="2622"/>
      <c r="T5" s="2622"/>
      <c r="U5" s="2622"/>
      <c r="V5" s="2622"/>
      <c r="W5" s="2622"/>
      <c r="X5" s="2622"/>
      <c r="Y5" s="2622"/>
      <c r="Z5" s="2622"/>
      <c r="AA5" s="2622"/>
      <c r="AB5" s="2622"/>
      <c r="AC5" s="2622"/>
      <c r="AD5" s="2622"/>
      <c r="AE5" s="2623"/>
    </row>
    <row r="6" spans="1:31" ht="13.5" customHeight="1">
      <c r="B6" s="2932"/>
      <c r="C6" s="2933"/>
      <c r="D6" s="1700" t="s">
        <v>388</v>
      </c>
      <c r="E6" s="2023"/>
      <c r="F6" s="2626"/>
      <c r="G6" s="1701" t="s">
        <v>389</v>
      </c>
      <c r="H6" s="1702"/>
      <c r="I6" s="1569" t="s">
        <v>390</v>
      </c>
      <c r="J6" s="1570"/>
      <c r="K6" s="1569" t="s">
        <v>391</v>
      </c>
      <c r="L6" s="1570"/>
      <c r="M6" s="2618"/>
      <c r="N6" s="1569" t="s">
        <v>265</v>
      </c>
      <c r="O6" s="1570"/>
      <c r="P6" s="2626"/>
      <c r="Q6" s="1572"/>
      <c r="R6" s="1572"/>
      <c r="S6" s="1573" t="s">
        <v>266</v>
      </c>
      <c r="T6" s="1574"/>
      <c r="U6" s="1574"/>
      <c r="V6" s="1574"/>
      <c r="W6" s="1574"/>
      <c r="X6" s="1574"/>
      <c r="Y6" s="1574"/>
      <c r="Z6" s="1574"/>
      <c r="AA6" s="1574"/>
      <c r="AB6" s="1573" t="s">
        <v>267</v>
      </c>
      <c r="AC6" s="1574"/>
      <c r="AD6" s="1575"/>
      <c r="AE6" s="2627"/>
    </row>
    <row r="7" spans="1:31" ht="13.5" customHeight="1">
      <c r="B7" s="2934"/>
      <c r="C7" s="2935"/>
      <c r="D7" s="1578" t="s">
        <v>268</v>
      </c>
      <c r="E7" s="1578" t="s">
        <v>269</v>
      </c>
      <c r="F7" s="2626"/>
      <c r="G7" s="1578" t="s">
        <v>268</v>
      </c>
      <c r="H7" s="1578" t="s">
        <v>269</v>
      </c>
      <c r="I7" s="1578" t="s">
        <v>268</v>
      </c>
      <c r="J7" s="1578" t="s">
        <v>269</v>
      </c>
      <c r="K7" s="1578" t="s">
        <v>268</v>
      </c>
      <c r="L7" s="1578" t="s">
        <v>269</v>
      </c>
      <c r="M7" s="2618"/>
      <c r="N7" s="1578" t="s">
        <v>268</v>
      </c>
      <c r="O7" s="1578" t="s">
        <v>269</v>
      </c>
      <c r="P7" s="2628"/>
      <c r="Q7" s="1572"/>
      <c r="R7" s="1572" t="s">
        <v>462</v>
      </c>
      <c r="S7" s="1580" t="s">
        <v>539</v>
      </c>
      <c r="T7" s="1580" t="s">
        <v>541</v>
      </c>
      <c r="U7" s="1580" t="s">
        <v>543</v>
      </c>
      <c r="V7" s="1580" t="s">
        <v>545</v>
      </c>
      <c r="W7" s="1580" t="s">
        <v>549</v>
      </c>
      <c r="X7" s="1580" t="s">
        <v>862</v>
      </c>
      <c r="Y7" s="1580" t="s">
        <v>553</v>
      </c>
      <c r="Z7" s="1581" t="s">
        <v>861</v>
      </c>
      <c r="AA7" s="1580" t="s">
        <v>555</v>
      </c>
      <c r="AB7" s="1582" t="s">
        <v>270</v>
      </c>
      <c r="AC7" s="1580" t="s">
        <v>271</v>
      </c>
      <c r="AD7" s="1580" t="s">
        <v>272</v>
      </c>
      <c r="AE7" s="2629"/>
    </row>
    <row r="8" spans="1:31" ht="13.5" customHeight="1">
      <c r="B8" s="1703"/>
      <c r="C8" s="1584" t="s">
        <v>1979</v>
      </c>
      <c r="D8" s="1704">
        <f>1-E8</f>
        <v>1</v>
      </c>
      <c r="E8" s="2630">
        <f>メイン!X67/メイン!V67</f>
        <v>0</v>
      </c>
      <c r="F8" s="2626"/>
      <c r="G8" s="1578"/>
      <c r="H8" s="1578"/>
      <c r="I8" s="1578"/>
      <c r="J8" s="1578"/>
      <c r="K8" s="1578"/>
      <c r="L8" s="1578"/>
      <c r="M8" s="2618"/>
      <c r="N8" s="1578"/>
      <c r="O8" s="1578"/>
      <c r="P8" s="2628"/>
      <c r="Q8" s="1572"/>
      <c r="R8" s="1572" t="s">
        <v>1139</v>
      </c>
      <c r="S8" s="1585">
        <f>メイン!$V$47/メイン!$V$67</f>
        <v>0.7</v>
      </c>
      <c r="T8" s="1585">
        <f>メイン!$V$48/メイン!$V$67</f>
        <v>0</v>
      </c>
      <c r="U8" s="1585">
        <f>メイン!$V$49/メイン!$V$67</f>
        <v>0</v>
      </c>
      <c r="V8" s="1585">
        <f>メイン!$V$50/メイン!$V$67</f>
        <v>0</v>
      </c>
      <c r="W8" s="1585">
        <f>メイン!$V$52/メイン!$V$67</f>
        <v>0</v>
      </c>
      <c r="X8" s="1585">
        <f>メイン!$V$53/メイン!$V$67</f>
        <v>0</v>
      </c>
      <c r="Y8" s="1585">
        <f>メイン!$V$54/メイン!$V$67</f>
        <v>0.3</v>
      </c>
      <c r="Z8" s="1585">
        <f>メイン!$V$51/メイン!$V$67</f>
        <v>0</v>
      </c>
      <c r="AA8" s="1585">
        <f>メイン!$V$55/メイン!$V$67</f>
        <v>0</v>
      </c>
      <c r="AB8" s="1585">
        <f>W8</f>
        <v>0</v>
      </c>
      <c r="AC8" s="1585">
        <f>X8</f>
        <v>0</v>
      </c>
      <c r="AD8" s="1585">
        <f>Y8</f>
        <v>0.3</v>
      </c>
      <c r="AE8" s="2629"/>
    </row>
    <row r="9" spans="1:31" s="1596" customFormat="1" ht="13.5" customHeight="1">
      <c r="A9" s="2662"/>
      <c r="B9" s="1586">
        <f t="shared" ref="B9:C35" si="0">Q9</f>
        <v>0</v>
      </c>
      <c r="C9" s="1588" t="s">
        <v>1910</v>
      </c>
      <c r="D9" s="1705"/>
      <c r="E9" s="1589"/>
      <c r="F9" s="2631"/>
      <c r="G9" s="1589">
        <f>SUM(I10,I19,I25,I30)</f>
        <v>0.99999999999999989</v>
      </c>
      <c r="H9" s="1589">
        <f>SUM(J10,J19,J25,J30)</f>
        <v>0</v>
      </c>
      <c r="I9" s="1589"/>
      <c r="J9" s="1589"/>
      <c r="K9" s="1589"/>
      <c r="L9" s="1589"/>
      <c r="M9" s="2618"/>
      <c r="N9" s="1589"/>
      <c r="O9" s="1589"/>
      <c r="P9" s="2632"/>
      <c r="Q9" s="1591"/>
      <c r="R9" s="1588" t="s">
        <v>1141</v>
      </c>
      <c r="S9" s="1592"/>
      <c r="T9" s="1592"/>
      <c r="U9" s="1592"/>
      <c r="V9" s="1592"/>
      <c r="W9" s="1592">
        <f>1-AB9</f>
        <v>1</v>
      </c>
      <c r="X9" s="1592">
        <f>1-AC9</f>
        <v>1</v>
      </c>
      <c r="Y9" s="1592">
        <f>1-AD9</f>
        <v>1</v>
      </c>
      <c r="Z9" s="1593"/>
      <c r="AA9" s="1592"/>
      <c r="AB9" s="1594">
        <f>メイン!$J$57</f>
        <v>0</v>
      </c>
      <c r="AC9" s="1594">
        <f>メイン!$J$58</f>
        <v>0</v>
      </c>
      <c r="AD9" s="1594">
        <f>メイン!$J$59</f>
        <v>0</v>
      </c>
      <c r="AE9" s="2633"/>
    </row>
    <row r="10" spans="1:31" s="1605" customFormat="1" ht="13.5" customHeight="1">
      <c r="A10" s="2662"/>
      <c r="B10" s="1597" t="str">
        <f t="shared" si="0"/>
        <v>①</v>
      </c>
      <c r="C10" s="1598" t="str">
        <f t="shared" si="0"/>
        <v>温室効果ガス排出量削減の推進</v>
      </c>
      <c r="D10" s="1706">
        <f>IF(G$9=0,0,I10/G$9)</f>
        <v>0.4</v>
      </c>
      <c r="E10" s="1600">
        <f>IF(H$9=0,0,J10/H$9)</f>
        <v>0</v>
      </c>
      <c r="F10" s="2634"/>
      <c r="G10" s="1600">
        <f>SUM(I11:I18)</f>
        <v>0.7</v>
      </c>
      <c r="H10" s="1600">
        <f>SUM(J11:J18)</f>
        <v>0.3</v>
      </c>
      <c r="I10" s="1600">
        <f t="shared" ref="I10:J35" si="1">K10*N10</f>
        <v>0.39999999999999997</v>
      </c>
      <c r="J10" s="1600">
        <f t="shared" si="1"/>
        <v>0</v>
      </c>
      <c r="K10" s="1600">
        <f>IF(N10=0,0,1)</f>
        <v>1</v>
      </c>
      <c r="L10" s="1600">
        <f>IF(O10=0,0,1)</f>
        <v>0</v>
      </c>
      <c r="M10" s="2618"/>
      <c r="N10" s="1600">
        <f t="shared" ref="N10:N35" si="2">(S$8*S10)+(T$8*T10)+(U$8*U10)+(V$8*V10)+(W$8*W10)+(X$8*X10)+(Y$8*Y10)+(Z$8*Z10)+(AA$8*AA10)</f>
        <v>0.39999999999999997</v>
      </c>
      <c r="O10" s="1600">
        <f t="shared" ref="O10:O35" si="3">(AB$8*AB10)+(AC$8*AC10)+(AD$8*AD10)</f>
        <v>0</v>
      </c>
      <c r="P10" s="2634"/>
      <c r="Q10" s="1597" t="s">
        <v>1980</v>
      </c>
      <c r="R10" s="1598" t="s">
        <v>1878</v>
      </c>
      <c r="S10" s="2635">
        <v>0.4</v>
      </c>
      <c r="T10" s="2635">
        <v>0.4</v>
      </c>
      <c r="U10" s="2635">
        <v>0.4</v>
      </c>
      <c r="V10" s="2635">
        <v>0.4</v>
      </c>
      <c r="W10" s="2635">
        <v>0.4</v>
      </c>
      <c r="X10" s="2635">
        <v>0.4</v>
      </c>
      <c r="Y10" s="2635">
        <v>0.4</v>
      </c>
      <c r="Z10" s="2635">
        <v>0.4</v>
      </c>
      <c r="AA10" s="2635">
        <v>0.4</v>
      </c>
      <c r="AB10" s="2636">
        <v>0</v>
      </c>
      <c r="AC10" s="2635">
        <v>0</v>
      </c>
      <c r="AD10" s="2635">
        <v>0</v>
      </c>
      <c r="AE10" s="2637"/>
    </row>
    <row r="11" spans="1:31" ht="13.5" customHeight="1">
      <c r="B11" s="1621" t="str">
        <f t="shared" si="0"/>
        <v>Q1-2.1.2</v>
      </c>
      <c r="C11" s="1614" t="str">
        <f t="shared" si="0"/>
        <v>外皮性能</v>
      </c>
      <c r="D11" s="1708">
        <f t="shared" ref="D11:E18" si="4">IF(G$10&gt;0,I11/G$10,0)</f>
        <v>7.1428571428571425E-2</v>
      </c>
      <c r="E11" s="1616">
        <f t="shared" si="4"/>
        <v>0.4</v>
      </c>
      <c r="F11" s="2626"/>
      <c r="G11" s="1616"/>
      <c r="H11" s="1616"/>
      <c r="I11" s="1616">
        <f t="shared" si="1"/>
        <v>4.9999999999999996E-2</v>
      </c>
      <c r="J11" s="1616">
        <f t="shared" si="1"/>
        <v>0.12</v>
      </c>
      <c r="K11" s="1616">
        <f>IF(スコア表示!X24=0,0,1)</f>
        <v>1</v>
      </c>
      <c r="L11" s="1616">
        <f>IF(スコア表示!AB24=0,0,1)</f>
        <v>1</v>
      </c>
      <c r="M11" s="2618"/>
      <c r="N11" s="1616">
        <f t="shared" si="2"/>
        <v>4.9999999999999996E-2</v>
      </c>
      <c r="O11" s="1616">
        <f t="shared" si="3"/>
        <v>0.12</v>
      </c>
      <c r="P11" s="2626"/>
      <c r="Q11" s="1647" t="s">
        <v>2039</v>
      </c>
      <c r="R11" s="1614" t="s">
        <v>288</v>
      </c>
      <c r="S11" s="1623">
        <v>0.05</v>
      </c>
      <c r="T11" s="1623">
        <v>0.05</v>
      </c>
      <c r="U11" s="1623">
        <v>0.08</v>
      </c>
      <c r="V11" s="1623">
        <v>0.08</v>
      </c>
      <c r="W11" s="1623">
        <v>0.05</v>
      </c>
      <c r="X11" s="1623">
        <v>0.05</v>
      </c>
      <c r="Y11" s="1623">
        <v>0.05</v>
      </c>
      <c r="Z11" s="1714">
        <v>0.15</v>
      </c>
      <c r="AA11" s="1623">
        <v>0.1</v>
      </c>
      <c r="AB11" s="1625">
        <v>0.4</v>
      </c>
      <c r="AC11" s="1623">
        <v>0.4</v>
      </c>
      <c r="AD11" s="1623">
        <v>0.4</v>
      </c>
      <c r="AE11" s="2638"/>
    </row>
    <row r="12" spans="1:31" ht="13.5" customHeight="1">
      <c r="B12" s="1621" t="str">
        <f t="shared" si="0"/>
        <v>Q1-3.1.3</v>
      </c>
      <c r="C12" s="1614" t="str">
        <f t="shared" si="0"/>
        <v>昼光利用設備</v>
      </c>
      <c r="D12" s="1708">
        <f t="shared" si="4"/>
        <v>7.1428571428571425E-2</v>
      </c>
      <c r="E12" s="1616">
        <f t="shared" si="4"/>
        <v>0.3</v>
      </c>
      <c r="F12" s="2626"/>
      <c r="G12" s="1616"/>
      <c r="H12" s="1616"/>
      <c r="I12" s="1616">
        <f t="shared" si="1"/>
        <v>4.9999999999999996E-2</v>
      </c>
      <c r="J12" s="1616">
        <f t="shared" si="1"/>
        <v>0.09</v>
      </c>
      <c r="K12" s="1616">
        <f>IF(スコア表示!X38=0,0,1)</f>
        <v>1</v>
      </c>
      <c r="L12" s="1616">
        <f>IF(スコア表示!AB38=0,0,1)</f>
        <v>1</v>
      </c>
      <c r="M12" s="2618"/>
      <c r="N12" s="1616">
        <f t="shared" si="2"/>
        <v>4.9999999999999996E-2</v>
      </c>
      <c r="O12" s="1616">
        <f t="shared" si="3"/>
        <v>0.09</v>
      </c>
      <c r="P12" s="2626"/>
      <c r="Q12" s="1647" t="s">
        <v>1981</v>
      </c>
      <c r="R12" s="1614" t="s">
        <v>303</v>
      </c>
      <c r="S12" s="1623">
        <v>0.05</v>
      </c>
      <c r="T12" s="1623">
        <v>0.05</v>
      </c>
      <c r="U12" s="1623">
        <v>7.0000000000000007E-2</v>
      </c>
      <c r="V12" s="1623">
        <v>7.0000000000000007E-2</v>
      </c>
      <c r="W12" s="1623">
        <v>0.05</v>
      </c>
      <c r="X12" s="1623">
        <v>0.05</v>
      </c>
      <c r="Y12" s="1623">
        <v>0.05</v>
      </c>
      <c r="Z12" s="1714"/>
      <c r="AA12" s="1623">
        <v>0.1</v>
      </c>
      <c r="AB12" s="1625">
        <v>0.3</v>
      </c>
      <c r="AC12" s="1623">
        <v>0.3</v>
      </c>
      <c r="AD12" s="1623">
        <v>0.3</v>
      </c>
      <c r="AE12" s="2639"/>
    </row>
    <row r="13" spans="1:31" ht="13.5" customHeight="1">
      <c r="B13" s="1621" t="str">
        <f t="shared" si="0"/>
        <v>Q1-3.2.1</v>
      </c>
      <c r="C13" s="1614" t="str">
        <f t="shared" si="0"/>
        <v>昼光制御</v>
      </c>
      <c r="D13" s="1708">
        <f t="shared" si="4"/>
        <v>7.1428571428571425E-2</v>
      </c>
      <c r="E13" s="1616">
        <f t="shared" si="4"/>
        <v>0.3</v>
      </c>
      <c r="F13" s="2626"/>
      <c r="G13" s="1616"/>
      <c r="H13" s="1616"/>
      <c r="I13" s="1616">
        <f t="shared" si="1"/>
        <v>4.9999999999999996E-2</v>
      </c>
      <c r="J13" s="1616">
        <f t="shared" si="1"/>
        <v>0.09</v>
      </c>
      <c r="K13" s="1616">
        <f>IF(スコア表示!X41=0,0,1)</f>
        <v>1</v>
      </c>
      <c r="L13" s="1616">
        <f>IF(スコア表示!AB41=0,0,1)</f>
        <v>1</v>
      </c>
      <c r="M13" s="2618"/>
      <c r="N13" s="1616">
        <f t="shared" si="2"/>
        <v>4.9999999999999996E-2</v>
      </c>
      <c r="O13" s="1616">
        <f t="shared" si="3"/>
        <v>0.09</v>
      </c>
      <c r="P13" s="2626"/>
      <c r="Q13" s="1647" t="s">
        <v>2035</v>
      </c>
      <c r="R13" s="1614" t="s">
        <v>306</v>
      </c>
      <c r="S13" s="1623">
        <v>0.05</v>
      </c>
      <c r="T13" s="1623">
        <v>0.05</v>
      </c>
      <c r="U13" s="1623"/>
      <c r="V13" s="1623"/>
      <c r="W13" s="1623">
        <v>0.05</v>
      </c>
      <c r="X13" s="1623">
        <v>0.05</v>
      </c>
      <c r="Y13" s="1623">
        <v>0.05</v>
      </c>
      <c r="Z13" s="1714"/>
      <c r="AA13" s="1623">
        <v>0.1</v>
      </c>
      <c r="AB13" s="1625">
        <v>0.3</v>
      </c>
      <c r="AC13" s="1623">
        <v>0.3</v>
      </c>
      <c r="AD13" s="1623">
        <v>0.3</v>
      </c>
      <c r="AE13" s="2638"/>
    </row>
    <row r="14" spans="1:31" s="1605" customFormat="1" ht="13.5" customHeight="1">
      <c r="A14" s="2662"/>
      <c r="B14" s="1673" t="str">
        <f t="shared" si="0"/>
        <v>LR1-1</v>
      </c>
      <c r="C14" s="1641" t="str">
        <f t="shared" si="0"/>
        <v>建物外皮の熱負荷抑制</v>
      </c>
      <c r="D14" s="1707">
        <f t="shared" si="4"/>
        <v>0.2142857142857143</v>
      </c>
      <c r="E14" s="1707">
        <f t="shared" si="4"/>
        <v>0</v>
      </c>
      <c r="F14" s="2640"/>
      <c r="G14" s="1609"/>
      <c r="H14" s="1609"/>
      <c r="I14" s="1609">
        <f t="shared" si="1"/>
        <v>0.15</v>
      </c>
      <c r="J14" s="1609">
        <f t="shared" si="1"/>
        <v>0</v>
      </c>
      <c r="K14" s="1609">
        <f>IF(スコア表示!X117=0,0,1)</f>
        <v>1</v>
      </c>
      <c r="L14" s="1609">
        <f>IF(スコア表示!AB117=0,0,1)</f>
        <v>0</v>
      </c>
      <c r="M14" s="2618"/>
      <c r="N14" s="1609">
        <f t="shared" si="2"/>
        <v>0.15</v>
      </c>
      <c r="O14" s="1609">
        <f t="shared" si="3"/>
        <v>0</v>
      </c>
      <c r="P14" s="2640"/>
      <c r="Q14" s="1641" t="s">
        <v>1982</v>
      </c>
      <c r="R14" s="1641" t="s">
        <v>2036</v>
      </c>
      <c r="S14" s="1675">
        <v>0.15</v>
      </c>
      <c r="T14" s="1675">
        <v>0.15</v>
      </c>
      <c r="U14" s="1675">
        <v>0.15</v>
      </c>
      <c r="V14" s="1675">
        <v>0.15</v>
      </c>
      <c r="W14" s="1675">
        <v>0.15</v>
      </c>
      <c r="X14" s="1675">
        <v>0.15</v>
      </c>
      <c r="Y14" s="1675">
        <v>0.15</v>
      </c>
      <c r="Z14" s="2641">
        <v>0.15</v>
      </c>
      <c r="AA14" s="1675"/>
      <c r="AB14" s="2642"/>
      <c r="AC14" s="2643"/>
      <c r="AD14" s="2643"/>
      <c r="AE14" s="2644"/>
    </row>
    <row r="15" spans="1:31" s="1605" customFormat="1" ht="13.5" customHeight="1">
      <c r="A15" s="2662"/>
      <c r="B15" s="1641" t="str">
        <f t="shared" si="0"/>
        <v>LR1-2</v>
      </c>
      <c r="C15" s="1641" t="str">
        <f t="shared" si="0"/>
        <v>自然エネルギー利用</v>
      </c>
      <c r="D15" s="1707">
        <f t="shared" si="4"/>
        <v>0.2857142857142857</v>
      </c>
      <c r="E15" s="1707">
        <f t="shared" si="4"/>
        <v>0</v>
      </c>
      <c r="F15" s="2640"/>
      <c r="G15" s="1609"/>
      <c r="H15" s="1609"/>
      <c r="I15" s="1609">
        <f t="shared" si="1"/>
        <v>0.19999999999999998</v>
      </c>
      <c r="J15" s="1609">
        <f t="shared" si="1"/>
        <v>0</v>
      </c>
      <c r="K15" s="1609">
        <f>IF(スコア表示!X118=0,0,1)</f>
        <v>1</v>
      </c>
      <c r="L15" s="1609">
        <f>IF(スコア表示!AB118=0,0,1)</f>
        <v>0</v>
      </c>
      <c r="M15" s="2618"/>
      <c r="N15" s="1609">
        <f t="shared" si="2"/>
        <v>0.19999999999999998</v>
      </c>
      <c r="O15" s="1609">
        <f t="shared" si="3"/>
        <v>0</v>
      </c>
      <c r="P15" s="2640"/>
      <c r="Q15" s="1641" t="s">
        <v>1983</v>
      </c>
      <c r="R15" s="1641" t="s">
        <v>1811</v>
      </c>
      <c r="S15" s="1675">
        <v>0.2</v>
      </c>
      <c r="T15" s="1675">
        <v>0.2</v>
      </c>
      <c r="U15" s="1675">
        <v>0.2</v>
      </c>
      <c r="V15" s="1675">
        <v>0.2</v>
      </c>
      <c r="W15" s="1675">
        <v>0.2</v>
      </c>
      <c r="X15" s="1675">
        <v>0.2</v>
      </c>
      <c r="Y15" s="1675">
        <v>0.2</v>
      </c>
      <c r="Z15" s="2641">
        <v>0.2</v>
      </c>
      <c r="AA15" s="1675">
        <v>0.2</v>
      </c>
      <c r="AB15" s="2642"/>
      <c r="AC15" s="2643"/>
      <c r="AD15" s="2643"/>
      <c r="AE15" s="2644"/>
    </row>
    <row r="16" spans="1:31" s="1605" customFormat="1" ht="13.5" customHeight="1">
      <c r="A16" s="2662"/>
      <c r="B16" s="1641" t="str">
        <f t="shared" si="0"/>
        <v>LR1-3</v>
      </c>
      <c r="C16" s="1641" t="str">
        <f t="shared" si="0"/>
        <v>設備システムの高効率化</v>
      </c>
      <c r="D16" s="1707">
        <f t="shared" si="4"/>
        <v>0</v>
      </c>
      <c r="E16" s="1707">
        <f t="shared" si="4"/>
        <v>0</v>
      </c>
      <c r="F16" s="2640"/>
      <c r="G16" s="1724"/>
      <c r="H16" s="1724"/>
      <c r="I16" s="1609">
        <f t="shared" si="1"/>
        <v>0</v>
      </c>
      <c r="J16" s="1609">
        <f t="shared" si="1"/>
        <v>0</v>
      </c>
      <c r="K16" s="1724">
        <f>IF(スコア表示!X123=0,0,1)</f>
        <v>0</v>
      </c>
      <c r="L16" s="1724">
        <f>IF(スコア表示!AB123=0,0,1)</f>
        <v>0</v>
      </c>
      <c r="M16" s="2618"/>
      <c r="N16" s="1609">
        <f t="shared" si="2"/>
        <v>0.3</v>
      </c>
      <c r="O16" s="1609">
        <f t="shared" si="3"/>
        <v>0</v>
      </c>
      <c r="P16" s="2640"/>
      <c r="Q16" s="1641" t="s">
        <v>1984</v>
      </c>
      <c r="R16" s="1641" t="s">
        <v>1814</v>
      </c>
      <c r="S16" s="1675">
        <v>0.3</v>
      </c>
      <c r="T16" s="1675">
        <v>0.3</v>
      </c>
      <c r="U16" s="1675">
        <v>0.3</v>
      </c>
      <c r="V16" s="1675">
        <v>0.3</v>
      </c>
      <c r="W16" s="1675">
        <v>0.3</v>
      </c>
      <c r="X16" s="1675">
        <v>0.3</v>
      </c>
      <c r="Y16" s="1675">
        <v>0.3</v>
      </c>
      <c r="Z16" s="2641">
        <v>0.3</v>
      </c>
      <c r="AA16" s="1675">
        <v>0.3</v>
      </c>
      <c r="AB16" s="2642"/>
      <c r="AC16" s="2643"/>
      <c r="AD16" s="2643"/>
      <c r="AE16" s="2644"/>
    </row>
    <row r="17" spans="1:31" ht="13.5" customHeight="1">
      <c r="B17" s="1621" t="str">
        <f t="shared" si="0"/>
        <v>LR2-2.1</v>
      </c>
      <c r="C17" s="1647" t="str">
        <f t="shared" si="0"/>
        <v>材料使用量の削減</v>
      </c>
      <c r="D17" s="1713">
        <f t="shared" si="4"/>
        <v>0.14285714285714285</v>
      </c>
      <c r="E17" s="1713">
        <f t="shared" si="4"/>
        <v>0</v>
      </c>
      <c r="F17" s="2626"/>
      <c r="G17" s="1616"/>
      <c r="H17" s="1616"/>
      <c r="I17" s="1616">
        <f t="shared" si="1"/>
        <v>9.9999999999999992E-2</v>
      </c>
      <c r="J17" s="1616">
        <f t="shared" si="1"/>
        <v>0</v>
      </c>
      <c r="K17" s="1616">
        <f>IF(スコア表示!X142=0,0,1)</f>
        <v>1</v>
      </c>
      <c r="L17" s="1616">
        <f>IF(スコア表示!AB142=0,0,1)</f>
        <v>0</v>
      </c>
      <c r="M17" s="2618"/>
      <c r="N17" s="1616">
        <f t="shared" si="2"/>
        <v>9.9999999999999992E-2</v>
      </c>
      <c r="O17" s="1616">
        <f t="shared" si="3"/>
        <v>0</v>
      </c>
      <c r="P17" s="2626"/>
      <c r="Q17" s="1647" t="s">
        <v>1985</v>
      </c>
      <c r="R17" s="1647" t="s">
        <v>1911</v>
      </c>
      <c r="S17" s="2645">
        <v>0.1</v>
      </c>
      <c r="T17" s="2645">
        <v>0.1</v>
      </c>
      <c r="U17" s="2645">
        <v>0.1</v>
      </c>
      <c r="V17" s="2645">
        <v>0.1</v>
      </c>
      <c r="W17" s="2645">
        <v>0.1</v>
      </c>
      <c r="X17" s="2645">
        <v>0.1</v>
      </c>
      <c r="Y17" s="2645">
        <v>0.1</v>
      </c>
      <c r="Z17" s="2646">
        <v>0.1</v>
      </c>
      <c r="AA17" s="2645">
        <v>0.1</v>
      </c>
      <c r="AB17" s="2647"/>
      <c r="AC17" s="2648"/>
      <c r="AD17" s="2648"/>
      <c r="AE17" s="2614"/>
    </row>
    <row r="18" spans="1:31" ht="13.5" customHeight="1">
      <c r="B18" s="1613" t="str">
        <f t="shared" si="0"/>
        <v>LR3-2.3.3</v>
      </c>
      <c r="C18" s="1647" t="str">
        <f t="shared" si="0"/>
        <v>交通負荷抑制</v>
      </c>
      <c r="D18" s="1713">
        <f t="shared" si="4"/>
        <v>0.14285714285714285</v>
      </c>
      <c r="E18" s="1713">
        <f t="shared" si="4"/>
        <v>0</v>
      </c>
      <c r="F18" s="2649"/>
      <c r="G18" s="1616"/>
      <c r="H18" s="1616"/>
      <c r="I18" s="1616">
        <f t="shared" si="1"/>
        <v>9.9999999999999992E-2</v>
      </c>
      <c r="J18" s="1616">
        <f t="shared" si="1"/>
        <v>0</v>
      </c>
      <c r="K18" s="1616">
        <f>IF(スコア表示!X162=0,0,1)</f>
        <v>1</v>
      </c>
      <c r="L18" s="1616">
        <f>IF(スコア表示!AB162=0,0,1)</f>
        <v>0</v>
      </c>
      <c r="M18" s="2618"/>
      <c r="N18" s="1616">
        <f t="shared" si="2"/>
        <v>9.9999999999999992E-2</v>
      </c>
      <c r="O18" s="1616">
        <f t="shared" si="3"/>
        <v>0</v>
      </c>
      <c r="P18" s="2626"/>
      <c r="Q18" s="1630" t="s">
        <v>1922</v>
      </c>
      <c r="R18" s="1647" t="s">
        <v>1912</v>
      </c>
      <c r="S18" s="2645">
        <v>0.1</v>
      </c>
      <c r="T18" s="2645">
        <v>0.1</v>
      </c>
      <c r="U18" s="2645">
        <v>0.1</v>
      </c>
      <c r="V18" s="2645">
        <v>0.1</v>
      </c>
      <c r="W18" s="2645">
        <v>0.1</v>
      </c>
      <c r="X18" s="2645">
        <v>0.1</v>
      </c>
      <c r="Y18" s="2645">
        <v>0.1</v>
      </c>
      <c r="Z18" s="2645">
        <v>0.1</v>
      </c>
      <c r="AA18" s="2645">
        <v>0.1</v>
      </c>
      <c r="AB18" s="2650"/>
      <c r="AC18" s="2645"/>
      <c r="AD18" s="2645"/>
      <c r="AE18" s="2614"/>
    </row>
    <row r="19" spans="1:31" s="1605" customFormat="1" ht="13.5" customHeight="1">
      <c r="A19" s="2662"/>
      <c r="B19" s="1597" t="str">
        <f t="shared" si="0"/>
        <v>②</v>
      </c>
      <c r="C19" s="1598" t="str">
        <f t="shared" si="0"/>
        <v>安全安心で暮らしやすい社会の実現</v>
      </c>
      <c r="D19" s="1706">
        <f>IF(G$9=0,0,I19/G$9)</f>
        <v>0.2</v>
      </c>
      <c r="E19" s="1600">
        <f>IF(H$9=0,0,J19/H$9)</f>
        <v>0</v>
      </c>
      <c r="F19" s="2634"/>
      <c r="G19" s="1600">
        <f>SUM(I20:I24)</f>
        <v>1</v>
      </c>
      <c r="H19" s="1600">
        <f>SUM(J20:J24)</f>
        <v>0</v>
      </c>
      <c r="I19" s="1600">
        <f t="shared" si="1"/>
        <v>0.19999999999999998</v>
      </c>
      <c r="J19" s="1600">
        <f t="shared" si="1"/>
        <v>0</v>
      </c>
      <c r="K19" s="1600">
        <f>IF(N19=0,0,1)</f>
        <v>1</v>
      </c>
      <c r="L19" s="1600">
        <f>IF(O19=0,0,1)</f>
        <v>0</v>
      </c>
      <c r="M19" s="2618"/>
      <c r="N19" s="1600">
        <f t="shared" si="2"/>
        <v>0.19999999999999998</v>
      </c>
      <c r="O19" s="1600">
        <f t="shared" si="3"/>
        <v>0</v>
      </c>
      <c r="P19" s="2634"/>
      <c r="Q19" s="1597" t="s">
        <v>1883</v>
      </c>
      <c r="R19" s="1598" t="s">
        <v>1891</v>
      </c>
      <c r="S19" s="2635">
        <v>0.2</v>
      </c>
      <c r="T19" s="2635">
        <v>0.2</v>
      </c>
      <c r="U19" s="2635">
        <v>0.2</v>
      </c>
      <c r="V19" s="2635">
        <v>0.2</v>
      </c>
      <c r="W19" s="2635">
        <v>0.2</v>
      </c>
      <c r="X19" s="2635">
        <v>0.2</v>
      </c>
      <c r="Y19" s="2635">
        <v>0.2</v>
      </c>
      <c r="Z19" s="2635">
        <v>0.2</v>
      </c>
      <c r="AA19" s="2635">
        <v>0.2</v>
      </c>
      <c r="AB19" s="2636">
        <v>0</v>
      </c>
      <c r="AC19" s="2635">
        <v>0</v>
      </c>
      <c r="AD19" s="2635">
        <v>0</v>
      </c>
      <c r="AE19" s="2637"/>
    </row>
    <row r="20" spans="1:31" ht="13.5" customHeight="1">
      <c r="B20" s="1621" t="str">
        <f t="shared" si="0"/>
        <v>Q2-1.1.3</v>
      </c>
      <c r="C20" s="1614" t="str">
        <f t="shared" si="0"/>
        <v>バリアフリー計画</v>
      </c>
      <c r="D20" s="1708">
        <f t="shared" ref="D20:E24" si="5">IF(G$19&gt;0,I20/G$19,0)</f>
        <v>0.25</v>
      </c>
      <c r="E20" s="1616">
        <f t="shared" si="5"/>
        <v>0</v>
      </c>
      <c r="F20" s="2626"/>
      <c r="G20" s="1616"/>
      <c r="H20" s="1616"/>
      <c r="I20" s="1616">
        <f t="shared" si="1"/>
        <v>0.25</v>
      </c>
      <c r="J20" s="1616">
        <f t="shared" si="1"/>
        <v>0</v>
      </c>
      <c r="K20" s="1616">
        <f>IF(スコア表示!X65=0,0,1)</f>
        <v>1</v>
      </c>
      <c r="L20" s="1616">
        <f>IF(スコア表示!AB65=0,0,1)</f>
        <v>0</v>
      </c>
      <c r="M20" s="2618"/>
      <c r="N20" s="1616">
        <f t="shared" si="2"/>
        <v>0.25</v>
      </c>
      <c r="O20" s="1616">
        <f t="shared" si="3"/>
        <v>0</v>
      </c>
      <c r="P20" s="2651"/>
      <c r="Q20" s="1647" t="s">
        <v>1892</v>
      </c>
      <c r="R20" s="1614" t="s">
        <v>323</v>
      </c>
      <c r="S20" s="2645">
        <v>0.25</v>
      </c>
      <c r="T20" s="1618">
        <v>0.25</v>
      </c>
      <c r="U20" s="1618">
        <v>0.25</v>
      </c>
      <c r="V20" s="1618">
        <v>0.25</v>
      </c>
      <c r="W20" s="1618">
        <v>0.25</v>
      </c>
      <c r="X20" s="1618">
        <v>0.25</v>
      </c>
      <c r="Y20" s="1618">
        <v>0.25</v>
      </c>
      <c r="Z20" s="1631">
        <v>0.25</v>
      </c>
      <c r="AA20" s="1618">
        <v>0.25</v>
      </c>
      <c r="AB20" s="1619"/>
      <c r="AC20" s="1618"/>
      <c r="AD20" s="1618"/>
      <c r="AE20" s="2638"/>
    </row>
    <row r="21" spans="1:31" ht="13.5" customHeight="1">
      <c r="B21" s="1621" t="str">
        <f t="shared" si="0"/>
        <v>Q2-2.1.1</v>
      </c>
      <c r="C21" s="1614" t="str">
        <f t="shared" si="0"/>
        <v>耐震性</v>
      </c>
      <c r="D21" s="1708">
        <f t="shared" si="5"/>
        <v>0.25</v>
      </c>
      <c r="E21" s="1708">
        <f t="shared" si="5"/>
        <v>0</v>
      </c>
      <c r="F21" s="2626"/>
      <c r="G21" s="1616"/>
      <c r="H21" s="1616"/>
      <c r="I21" s="1616">
        <f t="shared" si="1"/>
        <v>0.25</v>
      </c>
      <c r="J21" s="1616">
        <f t="shared" si="1"/>
        <v>0</v>
      </c>
      <c r="K21" s="1616">
        <f>IF(スコア表示!X76=0,0,1)</f>
        <v>1</v>
      </c>
      <c r="L21" s="1616">
        <f>IF(スコア表示!AB76=0,0,1)</f>
        <v>0</v>
      </c>
      <c r="M21" s="2618"/>
      <c r="N21" s="1616">
        <f t="shared" si="2"/>
        <v>0.25</v>
      </c>
      <c r="O21" s="1616">
        <f t="shared" si="3"/>
        <v>0</v>
      </c>
      <c r="P21" s="2651"/>
      <c r="Q21" s="1647" t="s">
        <v>1913</v>
      </c>
      <c r="R21" s="1614" t="s">
        <v>335</v>
      </c>
      <c r="S21" s="2645">
        <v>0.25</v>
      </c>
      <c r="T21" s="2645">
        <v>0.25</v>
      </c>
      <c r="U21" s="2645">
        <v>0.25</v>
      </c>
      <c r="V21" s="2645">
        <v>0.25</v>
      </c>
      <c r="W21" s="2645">
        <v>0.25</v>
      </c>
      <c r="X21" s="2645">
        <v>0.25</v>
      </c>
      <c r="Y21" s="2645">
        <v>0.25</v>
      </c>
      <c r="Z21" s="2646">
        <v>0.25</v>
      </c>
      <c r="AA21" s="2645">
        <v>0.25</v>
      </c>
      <c r="AB21" s="2650"/>
      <c r="AC21" s="2645"/>
      <c r="AD21" s="2645"/>
      <c r="AE21" s="2638"/>
    </row>
    <row r="22" spans="1:31" s="1605" customFormat="1" ht="13.5" customHeight="1">
      <c r="A22" s="2662"/>
      <c r="B22" s="1627" t="str">
        <f t="shared" si="0"/>
        <v>Q3-1</v>
      </c>
      <c r="C22" s="1628" t="str">
        <f t="shared" si="0"/>
        <v>生物環境の保全と創出</v>
      </c>
      <c r="D22" s="1707">
        <f t="shared" si="5"/>
        <v>0.15</v>
      </c>
      <c r="E22" s="1707">
        <f t="shared" si="5"/>
        <v>0</v>
      </c>
      <c r="F22" s="2634"/>
      <c r="G22" s="1609"/>
      <c r="H22" s="1609"/>
      <c r="I22" s="1609">
        <f t="shared" si="1"/>
        <v>0.15</v>
      </c>
      <c r="J22" s="1609">
        <f t="shared" si="1"/>
        <v>0</v>
      </c>
      <c r="K22" s="1609">
        <f>IF(スコア表示!X109=0,0,1)</f>
        <v>1</v>
      </c>
      <c r="L22" s="1609">
        <f>IF(スコア表示!AB109=0,0,1)</f>
        <v>0</v>
      </c>
      <c r="M22" s="2618"/>
      <c r="N22" s="1609">
        <f t="shared" si="2"/>
        <v>0.15</v>
      </c>
      <c r="O22" s="1609">
        <f t="shared" si="3"/>
        <v>0</v>
      </c>
      <c r="P22" s="2640"/>
      <c r="Q22" s="1641" t="s">
        <v>1986</v>
      </c>
      <c r="R22" s="1628" t="s">
        <v>1914</v>
      </c>
      <c r="S22" s="2643">
        <v>0.15</v>
      </c>
      <c r="T22" s="2643">
        <v>0.15</v>
      </c>
      <c r="U22" s="2643">
        <v>0.15</v>
      </c>
      <c r="V22" s="2643">
        <v>0.15</v>
      </c>
      <c r="W22" s="2643">
        <v>0.15</v>
      </c>
      <c r="X22" s="2643">
        <v>0.15</v>
      </c>
      <c r="Y22" s="2643">
        <v>0.15</v>
      </c>
      <c r="Z22" s="2652">
        <v>0.15</v>
      </c>
      <c r="AA22" s="2643">
        <v>0.15</v>
      </c>
      <c r="AB22" s="2642"/>
      <c r="AC22" s="2643"/>
      <c r="AD22" s="2643"/>
      <c r="AE22" s="2644"/>
    </row>
    <row r="23" spans="1:31" s="1605" customFormat="1" ht="13.5" customHeight="1">
      <c r="A23" s="2662"/>
      <c r="B23" s="1627" t="str">
        <f t="shared" si="0"/>
        <v>Q3-3</v>
      </c>
      <c r="C23" s="1628" t="str">
        <f t="shared" si="0"/>
        <v>地域性・アメニティへの配慮</v>
      </c>
      <c r="D23" s="1707">
        <f t="shared" si="5"/>
        <v>0.19999999999999998</v>
      </c>
      <c r="E23" s="1707">
        <f t="shared" si="5"/>
        <v>0</v>
      </c>
      <c r="F23" s="2634"/>
      <c r="G23" s="1725"/>
      <c r="H23" s="1725"/>
      <c r="I23" s="1609">
        <f t="shared" si="1"/>
        <v>0.19999999999999998</v>
      </c>
      <c r="J23" s="1609">
        <f t="shared" si="1"/>
        <v>0</v>
      </c>
      <c r="K23" s="1725">
        <f>IF(スコア表示!X111=0,0,1)</f>
        <v>1</v>
      </c>
      <c r="L23" s="1725">
        <f>IF(スコア表示!AB111=0,0,1)</f>
        <v>0</v>
      </c>
      <c r="M23" s="2618"/>
      <c r="N23" s="1609">
        <f t="shared" si="2"/>
        <v>0.19999999999999998</v>
      </c>
      <c r="O23" s="1609">
        <f t="shared" si="3"/>
        <v>0</v>
      </c>
      <c r="P23" s="2640"/>
      <c r="Q23" s="1641" t="s">
        <v>1987</v>
      </c>
      <c r="R23" s="1628" t="s">
        <v>1915</v>
      </c>
      <c r="S23" s="2643">
        <v>0.2</v>
      </c>
      <c r="T23" s="2643">
        <v>0.2</v>
      </c>
      <c r="U23" s="2643">
        <v>0.2</v>
      </c>
      <c r="V23" s="2643">
        <v>0.2</v>
      </c>
      <c r="W23" s="2643">
        <v>0.2</v>
      </c>
      <c r="X23" s="2643">
        <v>0.2</v>
      </c>
      <c r="Y23" s="2643">
        <v>0.2</v>
      </c>
      <c r="Z23" s="2652">
        <v>0.2</v>
      </c>
      <c r="AA23" s="2643">
        <v>0.2</v>
      </c>
      <c r="AB23" s="2642"/>
      <c r="AC23" s="2643"/>
      <c r="AD23" s="2643"/>
      <c r="AE23" s="2644"/>
    </row>
    <row r="24" spans="1:31" ht="13.5" customHeight="1">
      <c r="B24" s="1617" t="str">
        <f t="shared" si="0"/>
        <v>LR3-2.2</v>
      </c>
      <c r="C24" s="1647" t="str">
        <f t="shared" si="0"/>
        <v>温熱環境悪化の改善</v>
      </c>
      <c r="D24" s="1713">
        <f t="shared" si="5"/>
        <v>0.15</v>
      </c>
      <c r="E24" s="1713">
        <f t="shared" si="5"/>
        <v>0</v>
      </c>
      <c r="F24" s="2626"/>
      <c r="G24" s="1616"/>
      <c r="H24" s="1616"/>
      <c r="I24" s="1616">
        <f t="shared" si="1"/>
        <v>0.15</v>
      </c>
      <c r="J24" s="1616">
        <f t="shared" si="1"/>
        <v>0</v>
      </c>
      <c r="K24" s="1616">
        <f>IF(スコア表示!X158=0,0,1)</f>
        <v>1</v>
      </c>
      <c r="L24" s="1616">
        <f>IF(スコア表示!AB158=0,0,1)</f>
        <v>0</v>
      </c>
      <c r="M24" s="2618"/>
      <c r="N24" s="1616">
        <f t="shared" si="2"/>
        <v>0.15</v>
      </c>
      <c r="O24" s="1616">
        <f t="shared" si="3"/>
        <v>0</v>
      </c>
      <c r="P24" s="2626"/>
      <c r="Q24" s="2102" t="s">
        <v>1988</v>
      </c>
      <c r="R24" s="1647" t="s">
        <v>1916</v>
      </c>
      <c r="S24" s="2653">
        <v>0.15</v>
      </c>
      <c r="T24" s="2653">
        <v>0.15</v>
      </c>
      <c r="U24" s="2653">
        <v>0.15</v>
      </c>
      <c r="V24" s="2653">
        <v>0.15</v>
      </c>
      <c r="W24" s="2653">
        <v>0.15</v>
      </c>
      <c r="X24" s="2653">
        <v>0.15</v>
      </c>
      <c r="Y24" s="2653">
        <v>0.15</v>
      </c>
      <c r="Z24" s="2654">
        <v>0.15</v>
      </c>
      <c r="AA24" s="2653">
        <v>0.15</v>
      </c>
      <c r="AB24" s="2655"/>
      <c r="AC24" s="2653"/>
      <c r="AD24" s="2653"/>
      <c r="AE24" s="2614"/>
    </row>
    <row r="25" spans="1:31" s="1605" customFormat="1" ht="13.5" customHeight="1">
      <c r="A25" s="2662"/>
      <c r="B25" s="1597" t="str">
        <f t="shared" si="0"/>
        <v>③</v>
      </c>
      <c r="C25" s="1598" t="str">
        <f t="shared" si="0"/>
        <v>県の地域資源の有効活用と保全</v>
      </c>
      <c r="D25" s="1706">
        <f>IF(G$9=0,0,I25/G$9)</f>
        <v>0.2</v>
      </c>
      <c r="E25" s="1600">
        <f>IF(H$9=0,0,J25/H$9)</f>
        <v>0</v>
      </c>
      <c r="F25" s="2634"/>
      <c r="G25" s="1600">
        <f>SUM(I26:I29)</f>
        <v>0.39999999999999997</v>
      </c>
      <c r="H25" s="1600">
        <f>SUM(J26:J29)</f>
        <v>0</v>
      </c>
      <c r="I25" s="1600">
        <f t="shared" si="1"/>
        <v>0.19999999999999998</v>
      </c>
      <c r="J25" s="1600">
        <f t="shared" si="1"/>
        <v>0</v>
      </c>
      <c r="K25" s="1600">
        <f>IF(N25=0,0,1)</f>
        <v>1</v>
      </c>
      <c r="L25" s="1600">
        <f>IF(O25=0,0,1)</f>
        <v>0</v>
      </c>
      <c r="M25" s="2618"/>
      <c r="N25" s="1600">
        <f t="shared" si="2"/>
        <v>0.19999999999999998</v>
      </c>
      <c r="O25" s="1600">
        <f t="shared" si="3"/>
        <v>0</v>
      </c>
      <c r="P25" s="2634"/>
      <c r="Q25" s="1597" t="s">
        <v>1989</v>
      </c>
      <c r="R25" s="1598" t="s">
        <v>1895</v>
      </c>
      <c r="S25" s="2635">
        <v>0.2</v>
      </c>
      <c r="T25" s="2635">
        <v>0.2</v>
      </c>
      <c r="U25" s="2635">
        <v>0.2</v>
      </c>
      <c r="V25" s="2635">
        <v>0.2</v>
      </c>
      <c r="W25" s="2635">
        <v>0.2</v>
      </c>
      <c r="X25" s="2635">
        <v>0.2</v>
      </c>
      <c r="Y25" s="2635">
        <v>0.2</v>
      </c>
      <c r="Z25" s="2635">
        <v>0.2</v>
      </c>
      <c r="AA25" s="2635">
        <v>0.2</v>
      </c>
      <c r="AB25" s="2636">
        <v>0</v>
      </c>
      <c r="AC25" s="2635">
        <v>0</v>
      </c>
      <c r="AD25" s="2635">
        <v>0</v>
      </c>
      <c r="AE25" s="2637"/>
    </row>
    <row r="26" spans="1:31" s="1605" customFormat="1" ht="13.5" customHeight="1">
      <c r="A26" s="2662"/>
      <c r="B26" s="1627" t="str">
        <f t="shared" si="0"/>
        <v>Q3-2</v>
      </c>
      <c r="C26" s="1628" t="str">
        <f t="shared" si="0"/>
        <v>まちなみ・景観への配慮</v>
      </c>
      <c r="D26" s="1707">
        <f t="shared" ref="D26:E29" si="6">IF(G$25&gt;0,I26/G$25,0)</f>
        <v>0.5</v>
      </c>
      <c r="E26" s="1707">
        <f t="shared" si="6"/>
        <v>0</v>
      </c>
      <c r="F26" s="2634"/>
      <c r="G26" s="1609"/>
      <c r="H26" s="1609"/>
      <c r="I26" s="1609">
        <f t="shared" si="1"/>
        <v>0.19999999999999998</v>
      </c>
      <c r="J26" s="1609">
        <f t="shared" si="1"/>
        <v>0</v>
      </c>
      <c r="K26" s="1609">
        <f>IF(スコア表示!X110=0,0,1)</f>
        <v>1</v>
      </c>
      <c r="L26" s="1609">
        <f>IF(スコア表示!AB110=0,0,1)</f>
        <v>0</v>
      </c>
      <c r="M26" s="2618"/>
      <c r="N26" s="1609">
        <f t="shared" si="2"/>
        <v>0.19999999999999998</v>
      </c>
      <c r="O26" s="1609">
        <f t="shared" si="3"/>
        <v>0</v>
      </c>
      <c r="P26" s="2640"/>
      <c r="Q26" s="1641" t="s">
        <v>1990</v>
      </c>
      <c r="R26" s="1628" t="s">
        <v>1897</v>
      </c>
      <c r="S26" s="2643">
        <v>0.2</v>
      </c>
      <c r="T26" s="2643">
        <v>0.2</v>
      </c>
      <c r="U26" s="2643">
        <v>0.2</v>
      </c>
      <c r="V26" s="2643">
        <v>0.2</v>
      </c>
      <c r="W26" s="2643">
        <v>0.2</v>
      </c>
      <c r="X26" s="2643">
        <v>0.2</v>
      </c>
      <c r="Y26" s="2643">
        <v>0.2</v>
      </c>
      <c r="Z26" s="2652">
        <v>0.2</v>
      </c>
      <c r="AA26" s="2643">
        <v>0.2</v>
      </c>
      <c r="AB26" s="2642"/>
      <c r="AC26" s="2643"/>
      <c r="AD26" s="2643"/>
      <c r="AE26" s="2644"/>
    </row>
    <row r="27" spans="1:31" ht="13.5" customHeight="1">
      <c r="B27" s="1613" t="str">
        <f t="shared" si="0"/>
        <v>LR2-1.1</v>
      </c>
      <c r="C27" s="1614" t="str">
        <f t="shared" si="0"/>
        <v>節水</v>
      </c>
      <c r="D27" s="1713">
        <f t="shared" si="6"/>
        <v>0</v>
      </c>
      <c r="E27" s="1713">
        <f t="shared" si="6"/>
        <v>0</v>
      </c>
      <c r="F27" s="2626"/>
      <c r="G27" s="1616"/>
      <c r="H27" s="1616"/>
      <c r="I27" s="1616">
        <f t="shared" si="1"/>
        <v>0</v>
      </c>
      <c r="J27" s="1616">
        <f t="shared" si="1"/>
        <v>0</v>
      </c>
      <c r="K27" s="1616">
        <f>IF(スコア表示!X137=0,0,1)</f>
        <v>0</v>
      </c>
      <c r="L27" s="1616">
        <f>IF(スコア表示!AB137=0,0,1)</f>
        <v>0</v>
      </c>
      <c r="M27" s="2618"/>
      <c r="N27" s="1616">
        <f t="shared" si="2"/>
        <v>0.3</v>
      </c>
      <c r="O27" s="1616">
        <f t="shared" si="3"/>
        <v>0</v>
      </c>
      <c r="P27" s="2626"/>
      <c r="Q27" s="1647" t="s">
        <v>1991</v>
      </c>
      <c r="R27" s="1614" t="s">
        <v>1917</v>
      </c>
      <c r="S27" s="2645">
        <v>0.3</v>
      </c>
      <c r="T27" s="2645">
        <v>0.3</v>
      </c>
      <c r="U27" s="2645">
        <v>0.3</v>
      </c>
      <c r="V27" s="2645">
        <v>0.3</v>
      </c>
      <c r="W27" s="2645">
        <v>0.3</v>
      </c>
      <c r="X27" s="2645">
        <v>0.3</v>
      </c>
      <c r="Y27" s="2645">
        <v>0.3</v>
      </c>
      <c r="Z27" s="2646">
        <v>0.3</v>
      </c>
      <c r="AA27" s="2645">
        <v>0.3</v>
      </c>
      <c r="AB27" s="2647"/>
      <c r="AC27" s="2648"/>
      <c r="AD27" s="2648"/>
      <c r="AE27" s="2614"/>
    </row>
    <row r="28" spans="1:31" ht="13.5" customHeight="1">
      <c r="B28" s="1621" t="str">
        <f t="shared" si="0"/>
        <v>LR2-1.2.1</v>
      </c>
      <c r="C28" s="1614" t="str">
        <f t="shared" si="0"/>
        <v>雨水利用システム導入の有無</v>
      </c>
      <c r="D28" s="1708">
        <f t="shared" si="6"/>
        <v>0</v>
      </c>
      <c r="E28" s="1708">
        <f t="shared" si="6"/>
        <v>0</v>
      </c>
      <c r="F28" s="2626"/>
      <c r="G28" s="1616"/>
      <c r="H28" s="1616"/>
      <c r="I28" s="1616">
        <f t="shared" si="1"/>
        <v>0</v>
      </c>
      <c r="J28" s="1616">
        <f t="shared" si="1"/>
        <v>0</v>
      </c>
      <c r="K28" s="1616">
        <f>IF(スコア表示!X139=0,0,1)</f>
        <v>0</v>
      </c>
      <c r="L28" s="1616">
        <f>IF(スコア表示!AB139=0,0,1)</f>
        <v>0</v>
      </c>
      <c r="M28" s="2618"/>
      <c r="N28" s="1616">
        <f t="shared" si="2"/>
        <v>0.3</v>
      </c>
      <c r="O28" s="1616">
        <f t="shared" si="3"/>
        <v>0</v>
      </c>
      <c r="P28" s="2626"/>
      <c r="Q28" s="1647" t="s">
        <v>1992</v>
      </c>
      <c r="R28" s="1614" t="s">
        <v>1918</v>
      </c>
      <c r="S28" s="2645">
        <v>0.3</v>
      </c>
      <c r="T28" s="2645">
        <v>0.3</v>
      </c>
      <c r="U28" s="2645">
        <v>0.3</v>
      </c>
      <c r="V28" s="2645">
        <v>0.3</v>
      </c>
      <c r="W28" s="2645">
        <v>0.3</v>
      </c>
      <c r="X28" s="2645">
        <v>0.3</v>
      </c>
      <c r="Y28" s="2645">
        <v>0.3</v>
      </c>
      <c r="Z28" s="2646">
        <v>0.3</v>
      </c>
      <c r="AA28" s="2645">
        <v>0.3</v>
      </c>
      <c r="AB28" s="2647"/>
      <c r="AC28" s="2648"/>
      <c r="AD28" s="2648"/>
      <c r="AE28" s="2614"/>
    </row>
    <row r="29" spans="1:31" ht="13.5" customHeight="1">
      <c r="B29" s="1621" t="str">
        <f t="shared" si="0"/>
        <v>LR2-2.5</v>
      </c>
      <c r="C29" s="1614" t="str">
        <f t="shared" si="0"/>
        <v>持続可能な森林から産出された木材</v>
      </c>
      <c r="D29" s="1713">
        <f t="shared" si="6"/>
        <v>0.5</v>
      </c>
      <c r="E29" s="1713">
        <f t="shared" si="6"/>
        <v>0</v>
      </c>
      <c r="F29" s="2656"/>
      <c r="G29" s="1616"/>
      <c r="H29" s="1616"/>
      <c r="I29" s="1616">
        <f t="shared" si="1"/>
        <v>0.19999999999999998</v>
      </c>
      <c r="J29" s="1616">
        <f t="shared" si="1"/>
        <v>0</v>
      </c>
      <c r="K29" s="1616">
        <f>IF(スコア表示!X146=0,0,1)</f>
        <v>1</v>
      </c>
      <c r="L29" s="1616">
        <f>IF(スコア表示!AB146=0,0,1)</f>
        <v>0</v>
      </c>
      <c r="M29" s="2618"/>
      <c r="N29" s="1616">
        <f t="shared" si="2"/>
        <v>0.19999999999999998</v>
      </c>
      <c r="O29" s="1616">
        <f t="shared" si="3"/>
        <v>0</v>
      </c>
      <c r="P29" s="2626"/>
      <c r="Q29" s="1647" t="s">
        <v>1993</v>
      </c>
      <c r="R29" s="1614" t="s">
        <v>1919</v>
      </c>
      <c r="S29" s="2645">
        <v>0.2</v>
      </c>
      <c r="T29" s="2645">
        <v>0.2</v>
      </c>
      <c r="U29" s="2645">
        <v>0.2</v>
      </c>
      <c r="V29" s="2645">
        <v>0.2</v>
      </c>
      <c r="W29" s="2645">
        <v>0.2</v>
      </c>
      <c r="X29" s="2645">
        <v>0.2</v>
      </c>
      <c r="Y29" s="2645">
        <v>0.2</v>
      </c>
      <c r="Z29" s="2646">
        <v>0.2</v>
      </c>
      <c r="AA29" s="2645">
        <v>0.2</v>
      </c>
      <c r="AB29" s="2647"/>
      <c r="AC29" s="2648"/>
      <c r="AD29" s="2648"/>
      <c r="AE29" s="2614"/>
    </row>
    <row r="30" spans="1:31" s="1605" customFormat="1" ht="13.5" customHeight="1">
      <c r="A30" s="2662"/>
      <c r="B30" s="1597" t="str">
        <f t="shared" si="0"/>
        <v>④</v>
      </c>
      <c r="C30" s="1598" t="str">
        <f t="shared" si="0"/>
        <v>循環型社会の実現</v>
      </c>
      <c r="D30" s="1706">
        <f>IF(G$9=0,0,I30/G$9)</f>
        <v>0.2</v>
      </c>
      <c r="E30" s="1600">
        <f>IF(H$9=0,0,J30/H$9)</f>
        <v>0</v>
      </c>
      <c r="F30" s="2634"/>
      <c r="G30" s="1600">
        <f>SUM(I31:I35)</f>
        <v>0.7</v>
      </c>
      <c r="H30" s="1600">
        <f>SUM(J31:J35)</f>
        <v>0</v>
      </c>
      <c r="I30" s="1600">
        <f t="shared" si="1"/>
        <v>0.19999999999999998</v>
      </c>
      <c r="J30" s="1600">
        <f t="shared" si="1"/>
        <v>0</v>
      </c>
      <c r="K30" s="1600">
        <f>IF(N30=0,0,1)</f>
        <v>1</v>
      </c>
      <c r="L30" s="1600">
        <f>IF(O30=0,0,1)</f>
        <v>0</v>
      </c>
      <c r="M30" s="2618"/>
      <c r="N30" s="1600">
        <f t="shared" si="2"/>
        <v>0.19999999999999998</v>
      </c>
      <c r="O30" s="1600">
        <f t="shared" si="3"/>
        <v>0</v>
      </c>
      <c r="P30" s="2634"/>
      <c r="Q30" s="1597" t="s">
        <v>1994</v>
      </c>
      <c r="R30" s="1598" t="s">
        <v>1901</v>
      </c>
      <c r="S30" s="2635">
        <v>0.2</v>
      </c>
      <c r="T30" s="2635">
        <v>0.2</v>
      </c>
      <c r="U30" s="2635">
        <v>0.2</v>
      </c>
      <c r="V30" s="2635">
        <v>0.2</v>
      </c>
      <c r="W30" s="2635">
        <v>0.2</v>
      </c>
      <c r="X30" s="2635">
        <v>0.2</v>
      </c>
      <c r="Y30" s="2635">
        <v>0.2</v>
      </c>
      <c r="Z30" s="2635">
        <v>0.2</v>
      </c>
      <c r="AA30" s="2635">
        <v>0.2</v>
      </c>
      <c r="AB30" s="2636">
        <v>0</v>
      </c>
      <c r="AC30" s="2635">
        <v>0</v>
      </c>
      <c r="AD30" s="2635">
        <v>0</v>
      </c>
      <c r="AE30" s="2637"/>
    </row>
    <row r="31" spans="1:31" ht="13.5" customHeight="1">
      <c r="B31" s="1647" t="str">
        <f t="shared" si="0"/>
        <v>Q2-2.2</v>
      </c>
      <c r="C31" s="1647" t="str">
        <f t="shared" si="0"/>
        <v>部品・部材の耐用年数</v>
      </c>
      <c r="D31" s="1716">
        <f t="shared" ref="D31:E35" si="7">IF(G$30&gt;0,I31/G$30,0)</f>
        <v>0.4285714285714286</v>
      </c>
      <c r="E31" s="1716">
        <f t="shared" si="7"/>
        <v>0</v>
      </c>
      <c r="F31" s="2657"/>
      <c r="G31" s="1691"/>
      <c r="H31" s="1691"/>
      <c r="I31" s="1691">
        <f t="shared" si="1"/>
        <v>0.3</v>
      </c>
      <c r="J31" s="1691">
        <f t="shared" si="1"/>
        <v>0</v>
      </c>
      <c r="K31" s="1616">
        <f>IF(スコア表示!X78=0,0,1)</f>
        <v>1</v>
      </c>
      <c r="L31" s="1616">
        <f>IF(スコア表示!AB78=0,0,1)</f>
        <v>0</v>
      </c>
      <c r="M31" s="2618"/>
      <c r="N31" s="1691">
        <f t="shared" si="2"/>
        <v>0.3</v>
      </c>
      <c r="O31" s="1691">
        <f t="shared" si="3"/>
        <v>0</v>
      </c>
      <c r="P31" s="2658"/>
      <c r="Q31" s="1647" t="s">
        <v>1995</v>
      </c>
      <c r="R31" s="1647" t="s">
        <v>1920</v>
      </c>
      <c r="S31" s="1623">
        <v>0.3</v>
      </c>
      <c r="T31" s="1623">
        <v>0.3</v>
      </c>
      <c r="U31" s="1623">
        <v>0.3</v>
      </c>
      <c r="V31" s="1623">
        <v>0.3</v>
      </c>
      <c r="W31" s="1623">
        <v>0.3</v>
      </c>
      <c r="X31" s="1623">
        <v>0.3</v>
      </c>
      <c r="Y31" s="1623">
        <v>0.3</v>
      </c>
      <c r="Z31" s="1623">
        <v>0.3</v>
      </c>
      <c r="AA31" s="1623">
        <v>0.3</v>
      </c>
      <c r="AB31" s="1625"/>
      <c r="AC31" s="1623"/>
      <c r="AD31" s="1623"/>
      <c r="AE31" s="2659"/>
    </row>
    <row r="32" spans="1:31" s="1605" customFormat="1" ht="13.5" customHeight="1">
      <c r="A32" s="2662"/>
      <c r="B32" s="1606" t="str">
        <f t="shared" si="0"/>
        <v>Q2-3</v>
      </c>
      <c r="C32" s="1657" t="str">
        <f t="shared" si="0"/>
        <v>対応性・更新性</v>
      </c>
      <c r="D32" s="1707">
        <f t="shared" si="7"/>
        <v>0</v>
      </c>
      <c r="E32" s="1707">
        <f t="shared" si="7"/>
        <v>0</v>
      </c>
      <c r="F32" s="2634"/>
      <c r="G32" s="1609"/>
      <c r="H32" s="1609"/>
      <c r="I32" s="1609">
        <f t="shared" si="1"/>
        <v>0</v>
      </c>
      <c r="J32" s="1609">
        <f t="shared" si="1"/>
        <v>0</v>
      </c>
      <c r="K32" s="1609">
        <f>IF(スコア表示!X96=0,0,1)</f>
        <v>0</v>
      </c>
      <c r="L32" s="1609">
        <f>IF(スコア表示!AB96=0,0,1)</f>
        <v>0</v>
      </c>
      <c r="M32" s="2618"/>
      <c r="N32" s="1609">
        <f t="shared" si="2"/>
        <v>0.3</v>
      </c>
      <c r="O32" s="1609">
        <f t="shared" si="3"/>
        <v>0.3</v>
      </c>
      <c r="P32" s="2640"/>
      <c r="Q32" s="1641" t="s">
        <v>1996</v>
      </c>
      <c r="R32" s="1657" t="s">
        <v>355</v>
      </c>
      <c r="S32" s="2643">
        <v>0.3</v>
      </c>
      <c r="T32" s="2643">
        <v>0.3</v>
      </c>
      <c r="U32" s="2643">
        <v>0.3</v>
      </c>
      <c r="V32" s="2643">
        <v>0.3</v>
      </c>
      <c r="W32" s="2643">
        <v>0.3</v>
      </c>
      <c r="X32" s="2643">
        <v>0.3</v>
      </c>
      <c r="Y32" s="2643">
        <v>0.3</v>
      </c>
      <c r="Z32" s="2652">
        <v>0.3</v>
      </c>
      <c r="AA32" s="2643">
        <v>0.3</v>
      </c>
      <c r="AB32" s="2660">
        <v>1</v>
      </c>
      <c r="AC32" s="2660">
        <v>1</v>
      </c>
      <c r="AD32" s="2660">
        <v>1</v>
      </c>
      <c r="AE32" s="2644"/>
    </row>
    <row r="33" spans="2:31" ht="13.5" customHeight="1">
      <c r="B33" s="1621" t="str">
        <f t="shared" si="0"/>
        <v>LR2-2.2</v>
      </c>
      <c r="C33" s="1647" t="str">
        <f t="shared" si="0"/>
        <v>既存建築躯体等の継続使用</v>
      </c>
      <c r="D33" s="1708">
        <f t="shared" si="7"/>
        <v>0.14285714285714285</v>
      </c>
      <c r="E33" s="1708">
        <f t="shared" si="7"/>
        <v>0</v>
      </c>
      <c r="F33" s="2626"/>
      <c r="G33" s="1616"/>
      <c r="H33" s="1616"/>
      <c r="I33" s="1616">
        <f t="shared" si="1"/>
        <v>9.9999999999999992E-2</v>
      </c>
      <c r="J33" s="1616">
        <f t="shared" si="1"/>
        <v>0</v>
      </c>
      <c r="K33" s="1616">
        <f>IF(スコア表示!X143=0,0,1)</f>
        <v>1</v>
      </c>
      <c r="L33" s="1616">
        <f>IF(スコア表示!AB143=0,0,1)</f>
        <v>0</v>
      </c>
      <c r="M33" s="2618"/>
      <c r="N33" s="1616">
        <f t="shared" si="2"/>
        <v>9.9999999999999992E-2</v>
      </c>
      <c r="O33" s="1616">
        <f t="shared" si="3"/>
        <v>0</v>
      </c>
      <c r="P33" s="2626"/>
      <c r="Q33" s="1647" t="s">
        <v>1997</v>
      </c>
      <c r="R33" s="1647" t="s">
        <v>1921</v>
      </c>
      <c r="S33" s="2645">
        <v>0.1</v>
      </c>
      <c r="T33" s="2645">
        <v>0.1</v>
      </c>
      <c r="U33" s="2645">
        <v>0.1</v>
      </c>
      <c r="V33" s="2645">
        <v>0.1</v>
      </c>
      <c r="W33" s="2645">
        <v>0.1</v>
      </c>
      <c r="X33" s="2645">
        <v>0.1</v>
      </c>
      <c r="Y33" s="2645">
        <v>0.1</v>
      </c>
      <c r="Z33" s="2646">
        <v>0.1</v>
      </c>
      <c r="AA33" s="2645">
        <v>0.1</v>
      </c>
      <c r="AB33" s="2647"/>
      <c r="AC33" s="2648"/>
      <c r="AD33" s="2648"/>
      <c r="AE33" s="2614"/>
    </row>
    <row r="34" spans="2:31" ht="13.5" customHeight="1">
      <c r="B34" s="1621" t="str">
        <f t="shared" si="0"/>
        <v>LR2-2.3</v>
      </c>
      <c r="C34" s="1647" t="str">
        <f t="shared" si="0"/>
        <v>躯体材料におけるリサイクル材の使用</v>
      </c>
      <c r="D34" s="1708">
        <f t="shared" si="7"/>
        <v>0.2142857142857143</v>
      </c>
      <c r="E34" s="1708">
        <f t="shared" si="7"/>
        <v>0</v>
      </c>
      <c r="F34" s="2626"/>
      <c r="G34" s="1616"/>
      <c r="H34" s="1616"/>
      <c r="I34" s="1616">
        <f t="shared" si="1"/>
        <v>0.15</v>
      </c>
      <c r="J34" s="1616">
        <f t="shared" si="1"/>
        <v>0</v>
      </c>
      <c r="K34" s="1616">
        <f>IF(スコア表示!X144=0,0,1)</f>
        <v>1</v>
      </c>
      <c r="L34" s="1616">
        <f>IF(スコア表示!AB144=0,0,1)</f>
        <v>0</v>
      </c>
      <c r="M34" s="2618"/>
      <c r="N34" s="1616">
        <f t="shared" si="2"/>
        <v>0.15</v>
      </c>
      <c r="O34" s="1616">
        <f t="shared" si="3"/>
        <v>0</v>
      </c>
      <c r="P34" s="2626"/>
      <c r="Q34" s="1647" t="s">
        <v>1998</v>
      </c>
      <c r="R34" s="1647" t="s">
        <v>2040</v>
      </c>
      <c r="S34" s="2645">
        <v>0.15</v>
      </c>
      <c r="T34" s="2645">
        <v>0.15</v>
      </c>
      <c r="U34" s="2645">
        <v>0.15</v>
      </c>
      <c r="V34" s="2645">
        <v>0.15</v>
      </c>
      <c r="W34" s="2645">
        <v>0.15</v>
      </c>
      <c r="X34" s="2645">
        <v>0.15</v>
      </c>
      <c r="Y34" s="2645">
        <v>0.15</v>
      </c>
      <c r="Z34" s="2646">
        <v>0.15</v>
      </c>
      <c r="AA34" s="2645">
        <v>0.15</v>
      </c>
      <c r="AB34" s="2647"/>
      <c r="AC34" s="2648"/>
      <c r="AD34" s="2648"/>
      <c r="AE34" s="2614"/>
    </row>
    <row r="35" spans="2:31" ht="13.5" customHeight="1">
      <c r="B35" s="1621" t="str">
        <f t="shared" si="0"/>
        <v>LR2-2.4</v>
      </c>
      <c r="C35" s="2661" t="str">
        <f t="shared" si="0"/>
        <v>躯体材料以外におけるリサイクル材の使用</v>
      </c>
      <c r="D35" s="1713">
        <f t="shared" si="7"/>
        <v>0.2142857142857143</v>
      </c>
      <c r="E35" s="1713">
        <f t="shared" si="7"/>
        <v>0</v>
      </c>
      <c r="F35" s="2656"/>
      <c r="G35" s="1616"/>
      <c r="H35" s="1616"/>
      <c r="I35" s="1616">
        <f t="shared" si="1"/>
        <v>0.15</v>
      </c>
      <c r="J35" s="1616">
        <f t="shared" si="1"/>
        <v>0</v>
      </c>
      <c r="K35" s="1616">
        <f>IF(スコア表示!X145=0,0,1)</f>
        <v>1</v>
      </c>
      <c r="L35" s="1616">
        <f>IF(スコア表示!AB145=0,0,1)</f>
        <v>0</v>
      </c>
      <c r="M35" s="2618"/>
      <c r="N35" s="1616">
        <f t="shared" si="2"/>
        <v>0.15</v>
      </c>
      <c r="O35" s="1616">
        <f t="shared" si="3"/>
        <v>0</v>
      </c>
      <c r="P35" s="2626"/>
      <c r="Q35" s="1647" t="s">
        <v>1999</v>
      </c>
      <c r="R35" s="1614" t="s">
        <v>2038</v>
      </c>
      <c r="S35" s="2645">
        <v>0.15</v>
      </c>
      <c r="T35" s="2645">
        <v>0.15</v>
      </c>
      <c r="U35" s="2645">
        <v>0.15</v>
      </c>
      <c r="V35" s="2645">
        <v>0.15</v>
      </c>
      <c r="W35" s="2645">
        <v>0.15</v>
      </c>
      <c r="X35" s="2645">
        <v>0.15</v>
      </c>
      <c r="Y35" s="2645">
        <v>0.15</v>
      </c>
      <c r="Z35" s="2646">
        <v>0.15</v>
      </c>
      <c r="AA35" s="2645">
        <v>0.15</v>
      </c>
      <c r="AB35" s="2647"/>
      <c r="AC35" s="2648"/>
      <c r="AD35" s="2648"/>
      <c r="AE35" s="2614"/>
    </row>
    <row r="36" spans="2:31"/>
    <row r="37" spans="2:31">
      <c r="R37" s="2005" t="s">
        <v>1980</v>
      </c>
      <c r="S37" s="2006">
        <f t="shared" ref="S37:AD37" si="8">SUM(S11:S18)</f>
        <v>1</v>
      </c>
      <c r="T37" s="2006">
        <f t="shared" si="8"/>
        <v>1</v>
      </c>
      <c r="U37" s="2006">
        <f t="shared" si="8"/>
        <v>1</v>
      </c>
      <c r="V37" s="2006">
        <f t="shared" si="8"/>
        <v>1</v>
      </c>
      <c r="W37" s="2006">
        <f t="shared" si="8"/>
        <v>1</v>
      </c>
      <c r="X37" s="2006">
        <f t="shared" si="8"/>
        <v>1</v>
      </c>
      <c r="Y37" s="2006">
        <f t="shared" si="8"/>
        <v>1</v>
      </c>
      <c r="Z37" s="2006">
        <f t="shared" si="8"/>
        <v>1</v>
      </c>
      <c r="AA37" s="2006">
        <f t="shared" si="8"/>
        <v>1</v>
      </c>
      <c r="AB37" s="2006">
        <f t="shared" si="8"/>
        <v>1</v>
      </c>
      <c r="AC37" s="2006">
        <f t="shared" si="8"/>
        <v>1</v>
      </c>
      <c r="AD37" s="2006">
        <f t="shared" si="8"/>
        <v>1</v>
      </c>
    </row>
    <row r="38" spans="2:31">
      <c r="R38" s="2005" t="s">
        <v>2000</v>
      </c>
      <c r="S38" s="2006">
        <f t="shared" ref="S38:AD38" si="9">SUM(S20:S24)</f>
        <v>1</v>
      </c>
      <c r="T38" s="2006">
        <f t="shared" si="9"/>
        <v>1</v>
      </c>
      <c r="U38" s="2006">
        <f t="shared" si="9"/>
        <v>1</v>
      </c>
      <c r="V38" s="2006">
        <f t="shared" si="9"/>
        <v>1</v>
      </c>
      <c r="W38" s="2006">
        <f t="shared" si="9"/>
        <v>1</v>
      </c>
      <c r="X38" s="2006">
        <f t="shared" si="9"/>
        <v>1</v>
      </c>
      <c r="Y38" s="2006">
        <f t="shared" si="9"/>
        <v>1</v>
      </c>
      <c r="Z38" s="2006">
        <f t="shared" si="9"/>
        <v>1</v>
      </c>
      <c r="AA38" s="2006">
        <f t="shared" si="9"/>
        <v>1</v>
      </c>
      <c r="AB38" s="2006">
        <f t="shared" si="9"/>
        <v>0</v>
      </c>
      <c r="AC38" s="2006">
        <f t="shared" si="9"/>
        <v>0</v>
      </c>
      <c r="AD38" s="2006">
        <f t="shared" si="9"/>
        <v>0</v>
      </c>
    </row>
    <row r="39" spans="2:31">
      <c r="R39" s="2005" t="s">
        <v>2001</v>
      </c>
      <c r="S39" s="2006">
        <f t="shared" ref="S39:AD39" si="10">SUM(S26:S29)</f>
        <v>1</v>
      </c>
      <c r="T39" s="2006">
        <f t="shared" si="10"/>
        <v>1</v>
      </c>
      <c r="U39" s="2006">
        <f t="shared" si="10"/>
        <v>1</v>
      </c>
      <c r="V39" s="2006">
        <f t="shared" si="10"/>
        <v>1</v>
      </c>
      <c r="W39" s="2006">
        <f t="shared" si="10"/>
        <v>1</v>
      </c>
      <c r="X39" s="2006">
        <f t="shared" si="10"/>
        <v>1</v>
      </c>
      <c r="Y39" s="2006">
        <f t="shared" si="10"/>
        <v>1</v>
      </c>
      <c r="Z39" s="2006">
        <f t="shared" si="10"/>
        <v>1</v>
      </c>
      <c r="AA39" s="2006">
        <f t="shared" si="10"/>
        <v>1</v>
      </c>
      <c r="AB39" s="2006">
        <f t="shared" si="10"/>
        <v>0</v>
      </c>
      <c r="AC39" s="2006">
        <f t="shared" si="10"/>
        <v>0</v>
      </c>
      <c r="AD39" s="2006">
        <f t="shared" si="10"/>
        <v>0</v>
      </c>
    </row>
    <row r="40" spans="2:31">
      <c r="R40" s="2005" t="s">
        <v>1994</v>
      </c>
      <c r="S40" s="2006">
        <f t="shared" ref="S40:AD40" si="11">SUM(S31:S35)</f>
        <v>1</v>
      </c>
      <c r="T40" s="2006">
        <f t="shared" si="11"/>
        <v>1</v>
      </c>
      <c r="U40" s="2006">
        <f t="shared" si="11"/>
        <v>1</v>
      </c>
      <c r="V40" s="2006">
        <f t="shared" si="11"/>
        <v>1</v>
      </c>
      <c r="W40" s="2006">
        <f t="shared" si="11"/>
        <v>1</v>
      </c>
      <c r="X40" s="2006">
        <f t="shared" si="11"/>
        <v>1</v>
      </c>
      <c r="Y40" s="2006">
        <f t="shared" si="11"/>
        <v>1</v>
      </c>
      <c r="Z40" s="2006">
        <f t="shared" si="11"/>
        <v>1</v>
      </c>
      <c r="AA40" s="2006">
        <f t="shared" si="11"/>
        <v>1</v>
      </c>
      <c r="AB40" s="2006">
        <f t="shared" si="11"/>
        <v>1</v>
      </c>
      <c r="AC40" s="2006">
        <f t="shared" si="11"/>
        <v>1</v>
      </c>
      <c r="AD40" s="2006">
        <f t="shared" si="11"/>
        <v>1</v>
      </c>
    </row>
    <row r="41" spans="2:31"/>
    <row r="42" spans="2:31"/>
    <row r="43" spans="2:31"/>
    <row r="44" spans="2:31"/>
    <row r="45" spans="2:31"/>
    <row r="46" spans="2:31"/>
    <row r="47" spans="2:31"/>
    <row r="48" spans="2:31"/>
    <row r="49"/>
    <row r="50"/>
    <row r="51"/>
    <row r="52"/>
    <row r="53"/>
    <row r="54"/>
    <row r="55"/>
    <row r="56"/>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sheetData>
  <sheetProtection password="8D30" sheet="1" objects="1" scenarios="1"/>
  <mergeCells count="1">
    <mergeCell ref="B6:C7"/>
  </mergeCells>
  <phoneticPr fontId="20"/>
  <printOptions horizontalCentered="1"/>
  <pageMargins left="0.59055118110236227" right="0.59055118110236227" top="0.78740157480314965" bottom="0.59055118110236227" header="0.51181102362204722" footer="0.51181102362204722"/>
  <pageSetup paperSize="8" scale="74" orientation="landscape" r:id="rId1"/>
  <headerFooter alignWithMargins="0">
    <oddHeader>&amp;L&amp;F&amp;R&amp;A</oddHeader>
    <oddFooter>&amp;C&amp;P/&amp;N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pageSetUpPr fitToPage="1"/>
  </sheetPr>
  <dimension ref="A1:WWM279"/>
  <sheetViews>
    <sheetView showGridLines="0" zoomScaleNormal="100" workbookViewId="0">
      <selection activeCell="D4" sqref="D4"/>
    </sheetView>
  </sheetViews>
  <sheetFormatPr defaultColWidth="0" defaultRowHeight="13.5" customHeight="1" zeroHeight="1"/>
  <cols>
    <col min="1" max="1" width="2.25" style="2662" customWidth="1"/>
    <col min="2" max="2" width="9.625" style="1550" customWidth="1"/>
    <col min="3" max="3" width="31.625" style="1551" customWidth="1"/>
    <col min="4" max="4" width="8.625" style="1696" customWidth="1"/>
    <col min="5" max="5" width="9" style="1552" customWidth="1"/>
    <col min="6" max="6" width="1.625" style="1553" customWidth="1"/>
    <col min="7" max="8" width="7.25" style="1552" customWidth="1"/>
    <col min="9" max="9" width="8.625" style="1552" customWidth="1"/>
    <col min="10" max="10" width="9.125" style="1552" customWidth="1"/>
    <col min="11" max="11" width="8.5" style="1552" customWidth="1"/>
    <col min="12" max="12" width="8.875" style="1552" customWidth="1"/>
    <col min="13" max="13" width="2.25" style="1552" customWidth="1"/>
    <col min="14" max="14" width="8.5" style="1552" customWidth="1"/>
    <col min="15" max="15" width="8.875" style="1552" customWidth="1"/>
    <col min="16" max="16" width="2.625" style="1553" customWidth="1"/>
    <col min="17" max="17" width="9.625" style="1554" customWidth="1"/>
    <col min="18" max="18" width="31.625" style="1555" customWidth="1"/>
    <col min="19" max="29" width="7.375" style="1556" customWidth="1"/>
    <col min="30" max="30" width="7.625" style="1556" customWidth="1"/>
    <col min="31" max="31" width="1.625" style="1557" customWidth="1"/>
    <col min="32" max="256" width="0" style="1558" hidden="1"/>
    <col min="257" max="257" width="2.25" style="1558" hidden="1" customWidth="1"/>
    <col min="258" max="258" width="9.625" style="1558" hidden="1" customWidth="1"/>
    <col min="259" max="259" width="31.625" style="1558" hidden="1" customWidth="1"/>
    <col min="260" max="260" width="8.625" style="1558" hidden="1" customWidth="1"/>
    <col min="261" max="261" width="9" style="1558" hidden="1" customWidth="1"/>
    <col min="262" max="262" width="1.625" style="1558" hidden="1" customWidth="1"/>
    <col min="263" max="264" width="7.25" style="1558" hidden="1" customWidth="1"/>
    <col min="265" max="265" width="8.625" style="1558" hidden="1" customWidth="1"/>
    <col min="266" max="266" width="9.125" style="1558" hidden="1" customWidth="1"/>
    <col min="267" max="267" width="8.5" style="1558" hidden="1" customWidth="1"/>
    <col min="268" max="268" width="8.875" style="1558" hidden="1" customWidth="1"/>
    <col min="269" max="269" width="2.25" style="1558" hidden="1" customWidth="1"/>
    <col min="270" max="270" width="8.5" style="1558" hidden="1" customWidth="1"/>
    <col min="271" max="271" width="8.875" style="1558" hidden="1" customWidth="1"/>
    <col min="272" max="272" width="2.625" style="1558" hidden="1" customWidth="1"/>
    <col min="273" max="273" width="9.625" style="1558" hidden="1" customWidth="1"/>
    <col min="274" max="274" width="31.625" style="1558" hidden="1" customWidth="1"/>
    <col min="275" max="285" width="7.375" style="1558" hidden="1" customWidth="1"/>
    <col min="286" max="286" width="7.625" style="1558" hidden="1" customWidth="1"/>
    <col min="287" max="287" width="1.625" style="1558" hidden="1" customWidth="1"/>
    <col min="288" max="512" width="0" style="1558" hidden="1"/>
    <col min="513" max="513" width="2.25" style="1558" hidden="1" customWidth="1"/>
    <col min="514" max="514" width="9.625" style="1558" hidden="1" customWidth="1"/>
    <col min="515" max="515" width="31.625" style="1558" hidden="1" customWidth="1"/>
    <col min="516" max="516" width="8.625" style="1558" hidden="1" customWidth="1"/>
    <col min="517" max="517" width="9" style="1558" hidden="1" customWidth="1"/>
    <col min="518" max="518" width="1.625" style="1558" hidden="1" customWidth="1"/>
    <col min="519" max="520" width="7.25" style="1558" hidden="1" customWidth="1"/>
    <col min="521" max="521" width="8.625" style="1558" hidden="1" customWidth="1"/>
    <col min="522" max="522" width="9.125" style="1558" hidden="1" customWidth="1"/>
    <col min="523" max="523" width="8.5" style="1558" hidden="1" customWidth="1"/>
    <col min="524" max="524" width="8.875" style="1558" hidden="1" customWidth="1"/>
    <col min="525" max="525" width="2.25" style="1558" hidden="1" customWidth="1"/>
    <col min="526" max="526" width="8.5" style="1558" hidden="1" customWidth="1"/>
    <col min="527" max="527" width="8.875" style="1558" hidden="1" customWidth="1"/>
    <col min="528" max="528" width="2.625" style="1558" hidden="1" customWidth="1"/>
    <col min="529" max="529" width="9.625" style="1558" hidden="1" customWidth="1"/>
    <col min="530" max="530" width="31.625" style="1558" hidden="1" customWidth="1"/>
    <col min="531" max="541" width="7.375" style="1558" hidden="1" customWidth="1"/>
    <col min="542" max="542" width="7.625" style="1558" hidden="1" customWidth="1"/>
    <col min="543" max="543" width="1.625" style="1558" hidden="1" customWidth="1"/>
    <col min="544" max="768" width="0" style="1558" hidden="1"/>
    <col min="769" max="769" width="2.25" style="1558" hidden="1" customWidth="1"/>
    <col min="770" max="770" width="9.625" style="1558" hidden="1" customWidth="1"/>
    <col min="771" max="771" width="31.625" style="1558" hidden="1" customWidth="1"/>
    <col min="772" max="772" width="8.625" style="1558" hidden="1" customWidth="1"/>
    <col min="773" max="773" width="9" style="1558" hidden="1" customWidth="1"/>
    <col min="774" max="774" width="1.625" style="1558" hidden="1" customWidth="1"/>
    <col min="775" max="776" width="7.25" style="1558" hidden="1" customWidth="1"/>
    <col min="777" max="777" width="8.625" style="1558" hidden="1" customWidth="1"/>
    <col min="778" max="778" width="9.125" style="1558" hidden="1" customWidth="1"/>
    <col min="779" max="779" width="8.5" style="1558" hidden="1" customWidth="1"/>
    <col min="780" max="780" width="8.875" style="1558" hidden="1" customWidth="1"/>
    <col min="781" max="781" width="2.25" style="1558" hidden="1" customWidth="1"/>
    <col min="782" max="782" width="8.5" style="1558" hidden="1" customWidth="1"/>
    <col min="783" max="783" width="8.875" style="1558" hidden="1" customWidth="1"/>
    <col min="784" max="784" width="2.625" style="1558" hidden="1" customWidth="1"/>
    <col min="785" max="785" width="9.625" style="1558" hidden="1" customWidth="1"/>
    <col min="786" max="786" width="31.625" style="1558" hidden="1" customWidth="1"/>
    <col min="787" max="797" width="7.375" style="1558" hidden="1" customWidth="1"/>
    <col min="798" max="798" width="7.625" style="1558" hidden="1" customWidth="1"/>
    <col min="799" max="799" width="1.625" style="1558" hidden="1" customWidth="1"/>
    <col min="800" max="1024" width="0" style="1558" hidden="1"/>
    <col min="1025" max="1025" width="2.25" style="1558" hidden="1" customWidth="1"/>
    <col min="1026" max="1026" width="9.625" style="1558" hidden="1" customWidth="1"/>
    <col min="1027" max="1027" width="31.625" style="1558" hidden="1" customWidth="1"/>
    <col min="1028" max="1028" width="8.625" style="1558" hidden="1" customWidth="1"/>
    <col min="1029" max="1029" width="9" style="1558" hidden="1" customWidth="1"/>
    <col min="1030" max="1030" width="1.625" style="1558" hidden="1" customWidth="1"/>
    <col min="1031" max="1032" width="7.25" style="1558" hidden="1" customWidth="1"/>
    <col min="1033" max="1033" width="8.625" style="1558" hidden="1" customWidth="1"/>
    <col min="1034" max="1034" width="9.125" style="1558" hidden="1" customWidth="1"/>
    <col min="1035" max="1035" width="8.5" style="1558" hidden="1" customWidth="1"/>
    <col min="1036" max="1036" width="8.875" style="1558" hidden="1" customWidth="1"/>
    <col min="1037" max="1037" width="2.25" style="1558" hidden="1" customWidth="1"/>
    <col min="1038" max="1038" width="8.5" style="1558" hidden="1" customWidth="1"/>
    <col min="1039" max="1039" width="8.875" style="1558" hidden="1" customWidth="1"/>
    <col min="1040" max="1040" width="2.625" style="1558" hidden="1" customWidth="1"/>
    <col min="1041" max="1041" width="9.625" style="1558" hidden="1" customWidth="1"/>
    <col min="1042" max="1042" width="31.625" style="1558" hidden="1" customWidth="1"/>
    <col min="1043" max="1053" width="7.375" style="1558" hidden="1" customWidth="1"/>
    <col min="1054" max="1054" width="7.625" style="1558" hidden="1" customWidth="1"/>
    <col min="1055" max="1055" width="1.625" style="1558" hidden="1" customWidth="1"/>
    <col min="1056" max="1280" width="0" style="1558" hidden="1"/>
    <col min="1281" max="1281" width="2.25" style="1558" hidden="1" customWidth="1"/>
    <col min="1282" max="1282" width="9.625" style="1558" hidden="1" customWidth="1"/>
    <col min="1283" max="1283" width="31.625" style="1558" hidden="1" customWidth="1"/>
    <col min="1284" max="1284" width="8.625" style="1558" hidden="1" customWidth="1"/>
    <col min="1285" max="1285" width="9" style="1558" hidden="1" customWidth="1"/>
    <col min="1286" max="1286" width="1.625" style="1558" hidden="1" customWidth="1"/>
    <col min="1287" max="1288" width="7.25" style="1558" hidden="1" customWidth="1"/>
    <col min="1289" max="1289" width="8.625" style="1558" hidden="1" customWidth="1"/>
    <col min="1290" max="1290" width="9.125" style="1558" hidden="1" customWidth="1"/>
    <col min="1291" max="1291" width="8.5" style="1558" hidden="1" customWidth="1"/>
    <col min="1292" max="1292" width="8.875" style="1558" hidden="1" customWidth="1"/>
    <col min="1293" max="1293" width="2.25" style="1558" hidden="1" customWidth="1"/>
    <col min="1294" max="1294" width="8.5" style="1558" hidden="1" customWidth="1"/>
    <col min="1295" max="1295" width="8.875" style="1558" hidden="1" customWidth="1"/>
    <col min="1296" max="1296" width="2.625" style="1558" hidden="1" customWidth="1"/>
    <col min="1297" max="1297" width="9.625" style="1558" hidden="1" customWidth="1"/>
    <col min="1298" max="1298" width="31.625" style="1558" hidden="1" customWidth="1"/>
    <col min="1299" max="1309" width="7.375" style="1558" hidden="1" customWidth="1"/>
    <col min="1310" max="1310" width="7.625" style="1558" hidden="1" customWidth="1"/>
    <col min="1311" max="1311" width="1.625" style="1558" hidden="1" customWidth="1"/>
    <col min="1312" max="1536" width="0" style="1558" hidden="1"/>
    <col min="1537" max="1537" width="2.25" style="1558" hidden="1" customWidth="1"/>
    <col min="1538" max="1538" width="9.625" style="1558" hidden="1" customWidth="1"/>
    <col min="1539" max="1539" width="31.625" style="1558" hidden="1" customWidth="1"/>
    <col min="1540" max="1540" width="8.625" style="1558" hidden="1" customWidth="1"/>
    <col min="1541" max="1541" width="9" style="1558" hidden="1" customWidth="1"/>
    <col min="1542" max="1542" width="1.625" style="1558" hidden="1" customWidth="1"/>
    <col min="1543" max="1544" width="7.25" style="1558" hidden="1" customWidth="1"/>
    <col min="1545" max="1545" width="8.625" style="1558" hidden="1" customWidth="1"/>
    <col min="1546" max="1546" width="9.125" style="1558" hidden="1" customWidth="1"/>
    <col min="1547" max="1547" width="8.5" style="1558" hidden="1" customWidth="1"/>
    <col min="1548" max="1548" width="8.875" style="1558" hidden="1" customWidth="1"/>
    <col min="1549" max="1549" width="2.25" style="1558" hidden="1" customWidth="1"/>
    <col min="1550" max="1550" width="8.5" style="1558" hidden="1" customWidth="1"/>
    <col min="1551" max="1551" width="8.875" style="1558" hidden="1" customWidth="1"/>
    <col min="1552" max="1552" width="2.625" style="1558" hidden="1" customWidth="1"/>
    <col min="1553" max="1553" width="9.625" style="1558" hidden="1" customWidth="1"/>
    <col min="1554" max="1554" width="31.625" style="1558" hidden="1" customWidth="1"/>
    <col min="1555" max="1565" width="7.375" style="1558" hidden="1" customWidth="1"/>
    <col min="1566" max="1566" width="7.625" style="1558" hidden="1" customWidth="1"/>
    <col min="1567" max="1567" width="1.625" style="1558" hidden="1" customWidth="1"/>
    <col min="1568" max="1792" width="0" style="1558" hidden="1"/>
    <col min="1793" max="1793" width="2.25" style="1558" hidden="1" customWidth="1"/>
    <col min="1794" max="1794" width="9.625" style="1558" hidden="1" customWidth="1"/>
    <col min="1795" max="1795" width="31.625" style="1558" hidden="1" customWidth="1"/>
    <col min="1796" max="1796" width="8.625" style="1558" hidden="1" customWidth="1"/>
    <col min="1797" max="1797" width="9" style="1558" hidden="1" customWidth="1"/>
    <col min="1798" max="1798" width="1.625" style="1558" hidden="1" customWidth="1"/>
    <col min="1799" max="1800" width="7.25" style="1558" hidden="1" customWidth="1"/>
    <col min="1801" max="1801" width="8.625" style="1558" hidden="1" customWidth="1"/>
    <col min="1802" max="1802" width="9.125" style="1558" hidden="1" customWidth="1"/>
    <col min="1803" max="1803" width="8.5" style="1558" hidden="1" customWidth="1"/>
    <col min="1804" max="1804" width="8.875" style="1558" hidden="1" customWidth="1"/>
    <col min="1805" max="1805" width="2.25" style="1558" hidden="1" customWidth="1"/>
    <col min="1806" max="1806" width="8.5" style="1558" hidden="1" customWidth="1"/>
    <col min="1807" max="1807" width="8.875" style="1558" hidden="1" customWidth="1"/>
    <col min="1808" max="1808" width="2.625" style="1558" hidden="1" customWidth="1"/>
    <col min="1809" max="1809" width="9.625" style="1558" hidden="1" customWidth="1"/>
    <col min="1810" max="1810" width="31.625" style="1558" hidden="1" customWidth="1"/>
    <col min="1811" max="1821" width="7.375" style="1558" hidden="1" customWidth="1"/>
    <col min="1822" max="1822" width="7.625" style="1558" hidden="1" customWidth="1"/>
    <col min="1823" max="1823" width="1.625" style="1558" hidden="1" customWidth="1"/>
    <col min="1824" max="2048" width="0" style="1558" hidden="1"/>
    <col min="2049" max="2049" width="2.25" style="1558" hidden="1" customWidth="1"/>
    <col min="2050" max="2050" width="9.625" style="1558" hidden="1" customWidth="1"/>
    <col min="2051" max="2051" width="31.625" style="1558" hidden="1" customWidth="1"/>
    <col min="2052" max="2052" width="8.625" style="1558" hidden="1" customWidth="1"/>
    <col min="2053" max="2053" width="9" style="1558" hidden="1" customWidth="1"/>
    <col min="2054" max="2054" width="1.625" style="1558" hidden="1" customWidth="1"/>
    <col min="2055" max="2056" width="7.25" style="1558" hidden="1" customWidth="1"/>
    <col min="2057" max="2057" width="8.625" style="1558" hidden="1" customWidth="1"/>
    <col min="2058" max="2058" width="9.125" style="1558" hidden="1" customWidth="1"/>
    <col min="2059" max="2059" width="8.5" style="1558" hidden="1" customWidth="1"/>
    <col min="2060" max="2060" width="8.875" style="1558" hidden="1" customWidth="1"/>
    <col min="2061" max="2061" width="2.25" style="1558" hidden="1" customWidth="1"/>
    <col min="2062" max="2062" width="8.5" style="1558" hidden="1" customWidth="1"/>
    <col min="2063" max="2063" width="8.875" style="1558" hidden="1" customWidth="1"/>
    <col min="2064" max="2064" width="2.625" style="1558" hidden="1" customWidth="1"/>
    <col min="2065" max="2065" width="9.625" style="1558" hidden="1" customWidth="1"/>
    <col min="2066" max="2066" width="31.625" style="1558" hidden="1" customWidth="1"/>
    <col min="2067" max="2077" width="7.375" style="1558" hidden="1" customWidth="1"/>
    <col min="2078" max="2078" width="7.625" style="1558" hidden="1" customWidth="1"/>
    <col min="2079" max="2079" width="1.625" style="1558" hidden="1" customWidth="1"/>
    <col min="2080" max="2304" width="0" style="1558" hidden="1"/>
    <col min="2305" max="2305" width="2.25" style="1558" hidden="1" customWidth="1"/>
    <col min="2306" max="2306" width="9.625" style="1558" hidden="1" customWidth="1"/>
    <col min="2307" max="2307" width="31.625" style="1558" hidden="1" customWidth="1"/>
    <col min="2308" max="2308" width="8.625" style="1558" hidden="1" customWidth="1"/>
    <col min="2309" max="2309" width="9" style="1558" hidden="1" customWidth="1"/>
    <col min="2310" max="2310" width="1.625" style="1558" hidden="1" customWidth="1"/>
    <col min="2311" max="2312" width="7.25" style="1558" hidden="1" customWidth="1"/>
    <col min="2313" max="2313" width="8.625" style="1558" hidden="1" customWidth="1"/>
    <col min="2314" max="2314" width="9.125" style="1558" hidden="1" customWidth="1"/>
    <col min="2315" max="2315" width="8.5" style="1558" hidden="1" customWidth="1"/>
    <col min="2316" max="2316" width="8.875" style="1558" hidden="1" customWidth="1"/>
    <col min="2317" max="2317" width="2.25" style="1558" hidden="1" customWidth="1"/>
    <col min="2318" max="2318" width="8.5" style="1558" hidden="1" customWidth="1"/>
    <col min="2319" max="2319" width="8.875" style="1558" hidden="1" customWidth="1"/>
    <col min="2320" max="2320" width="2.625" style="1558" hidden="1" customWidth="1"/>
    <col min="2321" max="2321" width="9.625" style="1558" hidden="1" customWidth="1"/>
    <col min="2322" max="2322" width="31.625" style="1558" hidden="1" customWidth="1"/>
    <col min="2323" max="2333" width="7.375" style="1558" hidden="1" customWidth="1"/>
    <col min="2334" max="2334" width="7.625" style="1558" hidden="1" customWidth="1"/>
    <col min="2335" max="2335" width="1.625" style="1558" hidden="1" customWidth="1"/>
    <col min="2336" max="2560" width="0" style="1558" hidden="1"/>
    <col min="2561" max="2561" width="2.25" style="1558" hidden="1" customWidth="1"/>
    <col min="2562" max="2562" width="9.625" style="1558" hidden="1" customWidth="1"/>
    <col min="2563" max="2563" width="31.625" style="1558" hidden="1" customWidth="1"/>
    <col min="2564" max="2564" width="8.625" style="1558" hidden="1" customWidth="1"/>
    <col min="2565" max="2565" width="9" style="1558" hidden="1" customWidth="1"/>
    <col min="2566" max="2566" width="1.625" style="1558" hidden="1" customWidth="1"/>
    <col min="2567" max="2568" width="7.25" style="1558" hidden="1" customWidth="1"/>
    <col min="2569" max="2569" width="8.625" style="1558" hidden="1" customWidth="1"/>
    <col min="2570" max="2570" width="9.125" style="1558" hidden="1" customWidth="1"/>
    <col min="2571" max="2571" width="8.5" style="1558" hidden="1" customWidth="1"/>
    <col min="2572" max="2572" width="8.875" style="1558" hidden="1" customWidth="1"/>
    <col min="2573" max="2573" width="2.25" style="1558" hidden="1" customWidth="1"/>
    <col min="2574" max="2574" width="8.5" style="1558" hidden="1" customWidth="1"/>
    <col min="2575" max="2575" width="8.875" style="1558" hidden="1" customWidth="1"/>
    <col min="2576" max="2576" width="2.625" style="1558" hidden="1" customWidth="1"/>
    <col min="2577" max="2577" width="9.625" style="1558" hidden="1" customWidth="1"/>
    <col min="2578" max="2578" width="31.625" style="1558" hidden="1" customWidth="1"/>
    <col min="2579" max="2589" width="7.375" style="1558" hidden="1" customWidth="1"/>
    <col min="2590" max="2590" width="7.625" style="1558" hidden="1" customWidth="1"/>
    <col min="2591" max="2591" width="1.625" style="1558" hidden="1" customWidth="1"/>
    <col min="2592" max="2816" width="0" style="1558" hidden="1"/>
    <col min="2817" max="2817" width="2.25" style="1558" hidden="1" customWidth="1"/>
    <col min="2818" max="2818" width="9.625" style="1558" hidden="1" customWidth="1"/>
    <col min="2819" max="2819" width="31.625" style="1558" hidden="1" customWidth="1"/>
    <col min="2820" max="2820" width="8.625" style="1558" hidden="1" customWidth="1"/>
    <col min="2821" max="2821" width="9" style="1558" hidden="1" customWidth="1"/>
    <col min="2822" max="2822" width="1.625" style="1558" hidden="1" customWidth="1"/>
    <col min="2823" max="2824" width="7.25" style="1558" hidden="1" customWidth="1"/>
    <col min="2825" max="2825" width="8.625" style="1558" hidden="1" customWidth="1"/>
    <col min="2826" max="2826" width="9.125" style="1558" hidden="1" customWidth="1"/>
    <col min="2827" max="2827" width="8.5" style="1558" hidden="1" customWidth="1"/>
    <col min="2828" max="2828" width="8.875" style="1558" hidden="1" customWidth="1"/>
    <col min="2829" max="2829" width="2.25" style="1558" hidden="1" customWidth="1"/>
    <col min="2830" max="2830" width="8.5" style="1558" hidden="1" customWidth="1"/>
    <col min="2831" max="2831" width="8.875" style="1558" hidden="1" customWidth="1"/>
    <col min="2832" max="2832" width="2.625" style="1558" hidden="1" customWidth="1"/>
    <col min="2833" max="2833" width="9.625" style="1558" hidden="1" customWidth="1"/>
    <col min="2834" max="2834" width="31.625" style="1558" hidden="1" customWidth="1"/>
    <col min="2835" max="2845" width="7.375" style="1558" hidden="1" customWidth="1"/>
    <col min="2846" max="2846" width="7.625" style="1558" hidden="1" customWidth="1"/>
    <col min="2847" max="2847" width="1.625" style="1558" hidden="1" customWidth="1"/>
    <col min="2848" max="3072" width="0" style="1558" hidden="1"/>
    <col min="3073" max="3073" width="2.25" style="1558" hidden="1" customWidth="1"/>
    <col min="3074" max="3074" width="9.625" style="1558" hidden="1" customWidth="1"/>
    <col min="3075" max="3075" width="31.625" style="1558" hidden="1" customWidth="1"/>
    <col min="3076" max="3076" width="8.625" style="1558" hidden="1" customWidth="1"/>
    <col min="3077" max="3077" width="9" style="1558" hidden="1" customWidth="1"/>
    <col min="3078" max="3078" width="1.625" style="1558" hidden="1" customWidth="1"/>
    <col min="3079" max="3080" width="7.25" style="1558" hidden="1" customWidth="1"/>
    <col min="3081" max="3081" width="8.625" style="1558" hidden="1" customWidth="1"/>
    <col min="3082" max="3082" width="9.125" style="1558" hidden="1" customWidth="1"/>
    <col min="3083" max="3083" width="8.5" style="1558" hidden="1" customWidth="1"/>
    <col min="3084" max="3084" width="8.875" style="1558" hidden="1" customWidth="1"/>
    <col min="3085" max="3085" width="2.25" style="1558" hidden="1" customWidth="1"/>
    <col min="3086" max="3086" width="8.5" style="1558" hidden="1" customWidth="1"/>
    <col min="3087" max="3087" width="8.875" style="1558" hidden="1" customWidth="1"/>
    <col min="3088" max="3088" width="2.625" style="1558" hidden="1" customWidth="1"/>
    <col min="3089" max="3089" width="9.625" style="1558" hidden="1" customWidth="1"/>
    <col min="3090" max="3090" width="31.625" style="1558" hidden="1" customWidth="1"/>
    <col min="3091" max="3101" width="7.375" style="1558" hidden="1" customWidth="1"/>
    <col min="3102" max="3102" width="7.625" style="1558" hidden="1" customWidth="1"/>
    <col min="3103" max="3103" width="1.625" style="1558" hidden="1" customWidth="1"/>
    <col min="3104" max="3328" width="0" style="1558" hidden="1"/>
    <col min="3329" max="3329" width="2.25" style="1558" hidden="1" customWidth="1"/>
    <col min="3330" max="3330" width="9.625" style="1558" hidden="1" customWidth="1"/>
    <col min="3331" max="3331" width="31.625" style="1558" hidden="1" customWidth="1"/>
    <col min="3332" max="3332" width="8.625" style="1558" hidden="1" customWidth="1"/>
    <col min="3333" max="3333" width="9" style="1558" hidden="1" customWidth="1"/>
    <col min="3334" max="3334" width="1.625" style="1558" hidden="1" customWidth="1"/>
    <col min="3335" max="3336" width="7.25" style="1558" hidden="1" customWidth="1"/>
    <col min="3337" max="3337" width="8.625" style="1558" hidden="1" customWidth="1"/>
    <col min="3338" max="3338" width="9.125" style="1558" hidden="1" customWidth="1"/>
    <col min="3339" max="3339" width="8.5" style="1558" hidden="1" customWidth="1"/>
    <col min="3340" max="3340" width="8.875" style="1558" hidden="1" customWidth="1"/>
    <col min="3341" max="3341" width="2.25" style="1558" hidden="1" customWidth="1"/>
    <col min="3342" max="3342" width="8.5" style="1558" hidden="1" customWidth="1"/>
    <col min="3343" max="3343" width="8.875" style="1558" hidden="1" customWidth="1"/>
    <col min="3344" max="3344" width="2.625" style="1558" hidden="1" customWidth="1"/>
    <col min="3345" max="3345" width="9.625" style="1558" hidden="1" customWidth="1"/>
    <col min="3346" max="3346" width="31.625" style="1558" hidden="1" customWidth="1"/>
    <col min="3347" max="3357" width="7.375" style="1558" hidden="1" customWidth="1"/>
    <col min="3358" max="3358" width="7.625" style="1558" hidden="1" customWidth="1"/>
    <col min="3359" max="3359" width="1.625" style="1558" hidden="1" customWidth="1"/>
    <col min="3360" max="3584" width="0" style="1558" hidden="1"/>
    <col min="3585" max="3585" width="2.25" style="1558" hidden="1" customWidth="1"/>
    <col min="3586" max="3586" width="9.625" style="1558" hidden="1" customWidth="1"/>
    <col min="3587" max="3587" width="31.625" style="1558" hidden="1" customWidth="1"/>
    <col min="3588" max="3588" width="8.625" style="1558" hidden="1" customWidth="1"/>
    <col min="3589" max="3589" width="9" style="1558" hidden="1" customWidth="1"/>
    <col min="3590" max="3590" width="1.625" style="1558" hidden="1" customWidth="1"/>
    <col min="3591" max="3592" width="7.25" style="1558" hidden="1" customWidth="1"/>
    <col min="3593" max="3593" width="8.625" style="1558" hidden="1" customWidth="1"/>
    <col min="3594" max="3594" width="9.125" style="1558" hidden="1" customWidth="1"/>
    <col min="3595" max="3595" width="8.5" style="1558" hidden="1" customWidth="1"/>
    <col min="3596" max="3596" width="8.875" style="1558" hidden="1" customWidth="1"/>
    <col min="3597" max="3597" width="2.25" style="1558" hidden="1" customWidth="1"/>
    <col min="3598" max="3598" width="8.5" style="1558" hidden="1" customWidth="1"/>
    <col min="3599" max="3599" width="8.875" style="1558" hidden="1" customWidth="1"/>
    <col min="3600" max="3600" width="2.625" style="1558" hidden="1" customWidth="1"/>
    <col min="3601" max="3601" width="9.625" style="1558" hidden="1" customWidth="1"/>
    <col min="3602" max="3602" width="31.625" style="1558" hidden="1" customWidth="1"/>
    <col min="3603" max="3613" width="7.375" style="1558" hidden="1" customWidth="1"/>
    <col min="3614" max="3614" width="7.625" style="1558" hidden="1" customWidth="1"/>
    <col min="3615" max="3615" width="1.625" style="1558" hidden="1" customWidth="1"/>
    <col min="3616" max="3840" width="0" style="1558" hidden="1"/>
    <col min="3841" max="3841" width="2.25" style="1558" hidden="1" customWidth="1"/>
    <col min="3842" max="3842" width="9.625" style="1558" hidden="1" customWidth="1"/>
    <col min="3843" max="3843" width="31.625" style="1558" hidden="1" customWidth="1"/>
    <col min="3844" max="3844" width="8.625" style="1558" hidden="1" customWidth="1"/>
    <col min="3845" max="3845" width="9" style="1558" hidden="1" customWidth="1"/>
    <col min="3846" max="3846" width="1.625" style="1558" hidden="1" customWidth="1"/>
    <col min="3847" max="3848" width="7.25" style="1558" hidden="1" customWidth="1"/>
    <col min="3849" max="3849" width="8.625" style="1558" hidden="1" customWidth="1"/>
    <col min="3850" max="3850" width="9.125" style="1558" hidden="1" customWidth="1"/>
    <col min="3851" max="3851" width="8.5" style="1558" hidden="1" customWidth="1"/>
    <col min="3852" max="3852" width="8.875" style="1558" hidden="1" customWidth="1"/>
    <col min="3853" max="3853" width="2.25" style="1558" hidden="1" customWidth="1"/>
    <col min="3854" max="3854" width="8.5" style="1558" hidden="1" customWidth="1"/>
    <col min="3855" max="3855" width="8.875" style="1558" hidden="1" customWidth="1"/>
    <col min="3856" max="3856" width="2.625" style="1558" hidden="1" customWidth="1"/>
    <col min="3857" max="3857" width="9.625" style="1558" hidden="1" customWidth="1"/>
    <col min="3858" max="3858" width="31.625" style="1558" hidden="1" customWidth="1"/>
    <col min="3859" max="3869" width="7.375" style="1558" hidden="1" customWidth="1"/>
    <col min="3870" max="3870" width="7.625" style="1558" hidden="1" customWidth="1"/>
    <col min="3871" max="3871" width="1.625" style="1558" hidden="1" customWidth="1"/>
    <col min="3872" max="4096" width="0" style="1558" hidden="1"/>
    <col min="4097" max="4097" width="2.25" style="1558" hidden="1" customWidth="1"/>
    <col min="4098" max="4098" width="9.625" style="1558" hidden="1" customWidth="1"/>
    <col min="4099" max="4099" width="31.625" style="1558" hidden="1" customWidth="1"/>
    <col min="4100" max="4100" width="8.625" style="1558" hidden="1" customWidth="1"/>
    <col min="4101" max="4101" width="9" style="1558" hidden="1" customWidth="1"/>
    <col min="4102" max="4102" width="1.625" style="1558" hidden="1" customWidth="1"/>
    <col min="4103" max="4104" width="7.25" style="1558" hidden="1" customWidth="1"/>
    <col min="4105" max="4105" width="8.625" style="1558" hidden="1" customWidth="1"/>
    <col min="4106" max="4106" width="9.125" style="1558" hidden="1" customWidth="1"/>
    <col min="4107" max="4107" width="8.5" style="1558" hidden="1" customWidth="1"/>
    <col min="4108" max="4108" width="8.875" style="1558" hidden="1" customWidth="1"/>
    <col min="4109" max="4109" width="2.25" style="1558" hidden="1" customWidth="1"/>
    <col min="4110" max="4110" width="8.5" style="1558" hidden="1" customWidth="1"/>
    <col min="4111" max="4111" width="8.875" style="1558" hidden="1" customWidth="1"/>
    <col min="4112" max="4112" width="2.625" style="1558" hidden="1" customWidth="1"/>
    <col min="4113" max="4113" width="9.625" style="1558" hidden="1" customWidth="1"/>
    <col min="4114" max="4114" width="31.625" style="1558" hidden="1" customWidth="1"/>
    <col min="4115" max="4125" width="7.375" style="1558" hidden="1" customWidth="1"/>
    <col min="4126" max="4126" width="7.625" style="1558" hidden="1" customWidth="1"/>
    <col min="4127" max="4127" width="1.625" style="1558" hidden="1" customWidth="1"/>
    <col min="4128" max="4352" width="0" style="1558" hidden="1"/>
    <col min="4353" max="4353" width="2.25" style="1558" hidden="1" customWidth="1"/>
    <col min="4354" max="4354" width="9.625" style="1558" hidden="1" customWidth="1"/>
    <col min="4355" max="4355" width="31.625" style="1558" hidden="1" customWidth="1"/>
    <col min="4356" max="4356" width="8.625" style="1558" hidden="1" customWidth="1"/>
    <col min="4357" max="4357" width="9" style="1558" hidden="1" customWidth="1"/>
    <col min="4358" max="4358" width="1.625" style="1558" hidden="1" customWidth="1"/>
    <col min="4359" max="4360" width="7.25" style="1558" hidden="1" customWidth="1"/>
    <col min="4361" max="4361" width="8.625" style="1558" hidden="1" customWidth="1"/>
    <col min="4362" max="4362" width="9.125" style="1558" hidden="1" customWidth="1"/>
    <col min="4363" max="4363" width="8.5" style="1558" hidden="1" customWidth="1"/>
    <col min="4364" max="4364" width="8.875" style="1558" hidden="1" customWidth="1"/>
    <col min="4365" max="4365" width="2.25" style="1558" hidden="1" customWidth="1"/>
    <col min="4366" max="4366" width="8.5" style="1558" hidden="1" customWidth="1"/>
    <col min="4367" max="4367" width="8.875" style="1558" hidden="1" customWidth="1"/>
    <col min="4368" max="4368" width="2.625" style="1558" hidden="1" customWidth="1"/>
    <col min="4369" max="4369" width="9.625" style="1558" hidden="1" customWidth="1"/>
    <col min="4370" max="4370" width="31.625" style="1558" hidden="1" customWidth="1"/>
    <col min="4371" max="4381" width="7.375" style="1558" hidden="1" customWidth="1"/>
    <col min="4382" max="4382" width="7.625" style="1558" hidden="1" customWidth="1"/>
    <col min="4383" max="4383" width="1.625" style="1558" hidden="1" customWidth="1"/>
    <col min="4384" max="4608" width="0" style="1558" hidden="1"/>
    <col min="4609" max="4609" width="2.25" style="1558" hidden="1" customWidth="1"/>
    <col min="4610" max="4610" width="9.625" style="1558" hidden="1" customWidth="1"/>
    <col min="4611" max="4611" width="31.625" style="1558" hidden="1" customWidth="1"/>
    <col min="4612" max="4612" width="8.625" style="1558" hidden="1" customWidth="1"/>
    <col min="4613" max="4613" width="9" style="1558" hidden="1" customWidth="1"/>
    <col min="4614" max="4614" width="1.625" style="1558" hidden="1" customWidth="1"/>
    <col min="4615" max="4616" width="7.25" style="1558" hidden="1" customWidth="1"/>
    <col min="4617" max="4617" width="8.625" style="1558" hidden="1" customWidth="1"/>
    <col min="4618" max="4618" width="9.125" style="1558" hidden="1" customWidth="1"/>
    <col min="4619" max="4619" width="8.5" style="1558" hidden="1" customWidth="1"/>
    <col min="4620" max="4620" width="8.875" style="1558" hidden="1" customWidth="1"/>
    <col min="4621" max="4621" width="2.25" style="1558" hidden="1" customWidth="1"/>
    <col min="4622" max="4622" width="8.5" style="1558" hidden="1" customWidth="1"/>
    <col min="4623" max="4623" width="8.875" style="1558" hidden="1" customWidth="1"/>
    <col min="4624" max="4624" width="2.625" style="1558" hidden="1" customWidth="1"/>
    <col min="4625" max="4625" width="9.625" style="1558" hidden="1" customWidth="1"/>
    <col min="4626" max="4626" width="31.625" style="1558" hidden="1" customWidth="1"/>
    <col min="4627" max="4637" width="7.375" style="1558" hidden="1" customWidth="1"/>
    <col min="4638" max="4638" width="7.625" style="1558" hidden="1" customWidth="1"/>
    <col min="4639" max="4639" width="1.625" style="1558" hidden="1" customWidth="1"/>
    <col min="4640" max="4864" width="0" style="1558" hidden="1"/>
    <col min="4865" max="4865" width="2.25" style="1558" hidden="1" customWidth="1"/>
    <col min="4866" max="4866" width="9.625" style="1558" hidden="1" customWidth="1"/>
    <col min="4867" max="4867" width="31.625" style="1558" hidden="1" customWidth="1"/>
    <col min="4868" max="4868" width="8.625" style="1558" hidden="1" customWidth="1"/>
    <col min="4869" max="4869" width="9" style="1558" hidden="1" customWidth="1"/>
    <col min="4870" max="4870" width="1.625" style="1558" hidden="1" customWidth="1"/>
    <col min="4871" max="4872" width="7.25" style="1558" hidden="1" customWidth="1"/>
    <col min="4873" max="4873" width="8.625" style="1558" hidden="1" customWidth="1"/>
    <col min="4874" max="4874" width="9.125" style="1558" hidden="1" customWidth="1"/>
    <col min="4875" max="4875" width="8.5" style="1558" hidden="1" customWidth="1"/>
    <col min="4876" max="4876" width="8.875" style="1558" hidden="1" customWidth="1"/>
    <col min="4877" max="4877" width="2.25" style="1558" hidden="1" customWidth="1"/>
    <col min="4878" max="4878" width="8.5" style="1558" hidden="1" customWidth="1"/>
    <col min="4879" max="4879" width="8.875" style="1558" hidden="1" customWidth="1"/>
    <col min="4880" max="4880" width="2.625" style="1558" hidden="1" customWidth="1"/>
    <col min="4881" max="4881" width="9.625" style="1558" hidden="1" customWidth="1"/>
    <col min="4882" max="4882" width="31.625" style="1558" hidden="1" customWidth="1"/>
    <col min="4883" max="4893" width="7.375" style="1558" hidden="1" customWidth="1"/>
    <col min="4894" max="4894" width="7.625" style="1558" hidden="1" customWidth="1"/>
    <col min="4895" max="4895" width="1.625" style="1558" hidden="1" customWidth="1"/>
    <col min="4896" max="5120" width="0" style="1558" hidden="1"/>
    <col min="5121" max="5121" width="2.25" style="1558" hidden="1" customWidth="1"/>
    <col min="5122" max="5122" width="9.625" style="1558" hidden="1" customWidth="1"/>
    <col min="5123" max="5123" width="31.625" style="1558" hidden="1" customWidth="1"/>
    <col min="5124" max="5124" width="8.625" style="1558" hidden="1" customWidth="1"/>
    <col min="5125" max="5125" width="9" style="1558" hidden="1" customWidth="1"/>
    <col min="5126" max="5126" width="1.625" style="1558" hidden="1" customWidth="1"/>
    <col min="5127" max="5128" width="7.25" style="1558" hidden="1" customWidth="1"/>
    <col min="5129" max="5129" width="8.625" style="1558" hidden="1" customWidth="1"/>
    <col min="5130" max="5130" width="9.125" style="1558" hidden="1" customWidth="1"/>
    <col min="5131" max="5131" width="8.5" style="1558" hidden="1" customWidth="1"/>
    <col min="5132" max="5132" width="8.875" style="1558" hidden="1" customWidth="1"/>
    <col min="5133" max="5133" width="2.25" style="1558" hidden="1" customWidth="1"/>
    <col min="5134" max="5134" width="8.5" style="1558" hidden="1" customWidth="1"/>
    <col min="5135" max="5135" width="8.875" style="1558" hidden="1" customWidth="1"/>
    <col min="5136" max="5136" width="2.625" style="1558" hidden="1" customWidth="1"/>
    <col min="5137" max="5137" width="9.625" style="1558" hidden="1" customWidth="1"/>
    <col min="5138" max="5138" width="31.625" style="1558" hidden="1" customWidth="1"/>
    <col min="5139" max="5149" width="7.375" style="1558" hidden="1" customWidth="1"/>
    <col min="5150" max="5150" width="7.625" style="1558" hidden="1" customWidth="1"/>
    <col min="5151" max="5151" width="1.625" style="1558" hidden="1" customWidth="1"/>
    <col min="5152" max="5376" width="0" style="1558" hidden="1"/>
    <col min="5377" max="5377" width="2.25" style="1558" hidden="1" customWidth="1"/>
    <col min="5378" max="5378" width="9.625" style="1558" hidden="1" customWidth="1"/>
    <col min="5379" max="5379" width="31.625" style="1558" hidden="1" customWidth="1"/>
    <col min="5380" max="5380" width="8.625" style="1558" hidden="1" customWidth="1"/>
    <col min="5381" max="5381" width="9" style="1558" hidden="1" customWidth="1"/>
    <col min="5382" max="5382" width="1.625" style="1558" hidden="1" customWidth="1"/>
    <col min="5383" max="5384" width="7.25" style="1558" hidden="1" customWidth="1"/>
    <col min="5385" max="5385" width="8.625" style="1558" hidden="1" customWidth="1"/>
    <col min="5386" max="5386" width="9.125" style="1558" hidden="1" customWidth="1"/>
    <col min="5387" max="5387" width="8.5" style="1558" hidden="1" customWidth="1"/>
    <col min="5388" max="5388" width="8.875" style="1558" hidden="1" customWidth="1"/>
    <col min="5389" max="5389" width="2.25" style="1558" hidden="1" customWidth="1"/>
    <col min="5390" max="5390" width="8.5" style="1558" hidden="1" customWidth="1"/>
    <col min="5391" max="5391" width="8.875" style="1558" hidden="1" customWidth="1"/>
    <col min="5392" max="5392" width="2.625" style="1558" hidden="1" customWidth="1"/>
    <col min="5393" max="5393" width="9.625" style="1558" hidden="1" customWidth="1"/>
    <col min="5394" max="5394" width="31.625" style="1558" hidden="1" customWidth="1"/>
    <col min="5395" max="5405" width="7.375" style="1558" hidden="1" customWidth="1"/>
    <col min="5406" max="5406" width="7.625" style="1558" hidden="1" customWidth="1"/>
    <col min="5407" max="5407" width="1.625" style="1558" hidden="1" customWidth="1"/>
    <col min="5408" max="5632" width="0" style="1558" hidden="1"/>
    <col min="5633" max="5633" width="2.25" style="1558" hidden="1" customWidth="1"/>
    <col min="5634" max="5634" width="9.625" style="1558" hidden="1" customWidth="1"/>
    <col min="5635" max="5635" width="31.625" style="1558" hidden="1" customWidth="1"/>
    <col min="5636" max="5636" width="8.625" style="1558" hidden="1" customWidth="1"/>
    <col min="5637" max="5637" width="9" style="1558" hidden="1" customWidth="1"/>
    <col min="5638" max="5638" width="1.625" style="1558" hidden="1" customWidth="1"/>
    <col min="5639" max="5640" width="7.25" style="1558" hidden="1" customWidth="1"/>
    <col min="5641" max="5641" width="8.625" style="1558" hidden="1" customWidth="1"/>
    <col min="5642" max="5642" width="9.125" style="1558" hidden="1" customWidth="1"/>
    <col min="5643" max="5643" width="8.5" style="1558" hidden="1" customWidth="1"/>
    <col min="5644" max="5644" width="8.875" style="1558" hidden="1" customWidth="1"/>
    <col min="5645" max="5645" width="2.25" style="1558" hidden="1" customWidth="1"/>
    <col min="5646" max="5646" width="8.5" style="1558" hidden="1" customWidth="1"/>
    <col min="5647" max="5647" width="8.875" style="1558" hidden="1" customWidth="1"/>
    <col min="5648" max="5648" width="2.625" style="1558" hidden="1" customWidth="1"/>
    <col min="5649" max="5649" width="9.625" style="1558" hidden="1" customWidth="1"/>
    <col min="5650" max="5650" width="31.625" style="1558" hidden="1" customWidth="1"/>
    <col min="5651" max="5661" width="7.375" style="1558" hidden="1" customWidth="1"/>
    <col min="5662" max="5662" width="7.625" style="1558" hidden="1" customWidth="1"/>
    <col min="5663" max="5663" width="1.625" style="1558" hidden="1" customWidth="1"/>
    <col min="5664" max="5888" width="0" style="1558" hidden="1"/>
    <col min="5889" max="5889" width="2.25" style="1558" hidden="1" customWidth="1"/>
    <col min="5890" max="5890" width="9.625" style="1558" hidden="1" customWidth="1"/>
    <col min="5891" max="5891" width="31.625" style="1558" hidden="1" customWidth="1"/>
    <col min="5892" max="5892" width="8.625" style="1558" hidden="1" customWidth="1"/>
    <col min="5893" max="5893" width="9" style="1558" hidden="1" customWidth="1"/>
    <col min="5894" max="5894" width="1.625" style="1558" hidden="1" customWidth="1"/>
    <col min="5895" max="5896" width="7.25" style="1558" hidden="1" customWidth="1"/>
    <col min="5897" max="5897" width="8.625" style="1558" hidden="1" customWidth="1"/>
    <col min="5898" max="5898" width="9.125" style="1558" hidden="1" customWidth="1"/>
    <col min="5899" max="5899" width="8.5" style="1558" hidden="1" customWidth="1"/>
    <col min="5900" max="5900" width="8.875" style="1558" hidden="1" customWidth="1"/>
    <col min="5901" max="5901" width="2.25" style="1558" hidden="1" customWidth="1"/>
    <col min="5902" max="5902" width="8.5" style="1558" hidden="1" customWidth="1"/>
    <col min="5903" max="5903" width="8.875" style="1558" hidden="1" customWidth="1"/>
    <col min="5904" max="5904" width="2.625" style="1558" hidden="1" customWidth="1"/>
    <col min="5905" max="5905" width="9.625" style="1558" hidden="1" customWidth="1"/>
    <col min="5906" max="5906" width="31.625" style="1558" hidden="1" customWidth="1"/>
    <col min="5907" max="5917" width="7.375" style="1558" hidden="1" customWidth="1"/>
    <col min="5918" max="5918" width="7.625" style="1558" hidden="1" customWidth="1"/>
    <col min="5919" max="5919" width="1.625" style="1558" hidden="1" customWidth="1"/>
    <col min="5920" max="6144" width="0" style="1558" hidden="1"/>
    <col min="6145" max="6145" width="2.25" style="1558" hidden="1" customWidth="1"/>
    <col min="6146" max="6146" width="9.625" style="1558" hidden="1" customWidth="1"/>
    <col min="6147" max="6147" width="31.625" style="1558" hidden="1" customWidth="1"/>
    <col min="6148" max="6148" width="8.625" style="1558" hidden="1" customWidth="1"/>
    <col min="6149" max="6149" width="9" style="1558" hidden="1" customWidth="1"/>
    <col min="6150" max="6150" width="1.625" style="1558" hidden="1" customWidth="1"/>
    <col min="6151" max="6152" width="7.25" style="1558" hidden="1" customWidth="1"/>
    <col min="6153" max="6153" width="8.625" style="1558" hidden="1" customWidth="1"/>
    <col min="6154" max="6154" width="9.125" style="1558" hidden="1" customWidth="1"/>
    <col min="6155" max="6155" width="8.5" style="1558" hidden="1" customWidth="1"/>
    <col min="6156" max="6156" width="8.875" style="1558" hidden="1" customWidth="1"/>
    <col min="6157" max="6157" width="2.25" style="1558" hidden="1" customWidth="1"/>
    <col min="6158" max="6158" width="8.5" style="1558" hidden="1" customWidth="1"/>
    <col min="6159" max="6159" width="8.875" style="1558" hidden="1" customWidth="1"/>
    <col min="6160" max="6160" width="2.625" style="1558" hidden="1" customWidth="1"/>
    <col min="6161" max="6161" width="9.625" style="1558" hidden="1" customWidth="1"/>
    <col min="6162" max="6162" width="31.625" style="1558" hidden="1" customWidth="1"/>
    <col min="6163" max="6173" width="7.375" style="1558" hidden="1" customWidth="1"/>
    <col min="6174" max="6174" width="7.625" style="1558" hidden="1" customWidth="1"/>
    <col min="6175" max="6175" width="1.625" style="1558" hidden="1" customWidth="1"/>
    <col min="6176" max="6400" width="0" style="1558" hidden="1"/>
    <col min="6401" max="6401" width="2.25" style="1558" hidden="1" customWidth="1"/>
    <col min="6402" max="6402" width="9.625" style="1558" hidden="1" customWidth="1"/>
    <col min="6403" max="6403" width="31.625" style="1558" hidden="1" customWidth="1"/>
    <col min="6404" max="6404" width="8.625" style="1558" hidden="1" customWidth="1"/>
    <col min="6405" max="6405" width="9" style="1558" hidden="1" customWidth="1"/>
    <col min="6406" max="6406" width="1.625" style="1558" hidden="1" customWidth="1"/>
    <col min="6407" max="6408" width="7.25" style="1558" hidden="1" customWidth="1"/>
    <col min="6409" max="6409" width="8.625" style="1558" hidden="1" customWidth="1"/>
    <col min="6410" max="6410" width="9.125" style="1558" hidden="1" customWidth="1"/>
    <col min="6411" max="6411" width="8.5" style="1558" hidden="1" customWidth="1"/>
    <col min="6412" max="6412" width="8.875" style="1558" hidden="1" customWidth="1"/>
    <col min="6413" max="6413" width="2.25" style="1558" hidden="1" customWidth="1"/>
    <col min="6414" max="6414" width="8.5" style="1558" hidden="1" customWidth="1"/>
    <col min="6415" max="6415" width="8.875" style="1558" hidden="1" customWidth="1"/>
    <col min="6416" max="6416" width="2.625" style="1558" hidden="1" customWidth="1"/>
    <col min="6417" max="6417" width="9.625" style="1558" hidden="1" customWidth="1"/>
    <col min="6418" max="6418" width="31.625" style="1558" hidden="1" customWidth="1"/>
    <col min="6419" max="6429" width="7.375" style="1558" hidden="1" customWidth="1"/>
    <col min="6430" max="6430" width="7.625" style="1558" hidden="1" customWidth="1"/>
    <col min="6431" max="6431" width="1.625" style="1558" hidden="1" customWidth="1"/>
    <col min="6432" max="6656" width="0" style="1558" hidden="1"/>
    <col min="6657" max="6657" width="2.25" style="1558" hidden="1" customWidth="1"/>
    <col min="6658" max="6658" width="9.625" style="1558" hidden="1" customWidth="1"/>
    <col min="6659" max="6659" width="31.625" style="1558" hidden="1" customWidth="1"/>
    <col min="6660" max="6660" width="8.625" style="1558" hidden="1" customWidth="1"/>
    <col min="6661" max="6661" width="9" style="1558" hidden="1" customWidth="1"/>
    <col min="6662" max="6662" width="1.625" style="1558" hidden="1" customWidth="1"/>
    <col min="6663" max="6664" width="7.25" style="1558" hidden="1" customWidth="1"/>
    <col min="6665" max="6665" width="8.625" style="1558" hidden="1" customWidth="1"/>
    <col min="6666" max="6666" width="9.125" style="1558" hidden="1" customWidth="1"/>
    <col min="6667" max="6667" width="8.5" style="1558" hidden="1" customWidth="1"/>
    <col min="6668" max="6668" width="8.875" style="1558" hidden="1" customWidth="1"/>
    <col min="6669" max="6669" width="2.25" style="1558" hidden="1" customWidth="1"/>
    <col min="6670" max="6670" width="8.5" style="1558" hidden="1" customWidth="1"/>
    <col min="6671" max="6671" width="8.875" style="1558" hidden="1" customWidth="1"/>
    <col min="6672" max="6672" width="2.625" style="1558" hidden="1" customWidth="1"/>
    <col min="6673" max="6673" width="9.625" style="1558" hidden="1" customWidth="1"/>
    <col min="6674" max="6674" width="31.625" style="1558" hidden="1" customWidth="1"/>
    <col min="6675" max="6685" width="7.375" style="1558" hidden="1" customWidth="1"/>
    <col min="6686" max="6686" width="7.625" style="1558" hidden="1" customWidth="1"/>
    <col min="6687" max="6687" width="1.625" style="1558" hidden="1" customWidth="1"/>
    <col min="6688" max="6912" width="0" style="1558" hidden="1"/>
    <col min="6913" max="6913" width="2.25" style="1558" hidden="1" customWidth="1"/>
    <col min="6914" max="6914" width="9.625" style="1558" hidden="1" customWidth="1"/>
    <col min="6915" max="6915" width="31.625" style="1558" hidden="1" customWidth="1"/>
    <col min="6916" max="6916" width="8.625" style="1558" hidden="1" customWidth="1"/>
    <col min="6917" max="6917" width="9" style="1558" hidden="1" customWidth="1"/>
    <col min="6918" max="6918" width="1.625" style="1558" hidden="1" customWidth="1"/>
    <col min="6919" max="6920" width="7.25" style="1558" hidden="1" customWidth="1"/>
    <col min="6921" max="6921" width="8.625" style="1558" hidden="1" customWidth="1"/>
    <col min="6922" max="6922" width="9.125" style="1558" hidden="1" customWidth="1"/>
    <col min="6923" max="6923" width="8.5" style="1558" hidden="1" customWidth="1"/>
    <col min="6924" max="6924" width="8.875" style="1558" hidden="1" customWidth="1"/>
    <col min="6925" max="6925" width="2.25" style="1558" hidden="1" customWidth="1"/>
    <col min="6926" max="6926" width="8.5" style="1558" hidden="1" customWidth="1"/>
    <col min="6927" max="6927" width="8.875" style="1558" hidden="1" customWidth="1"/>
    <col min="6928" max="6928" width="2.625" style="1558" hidden="1" customWidth="1"/>
    <col min="6929" max="6929" width="9.625" style="1558" hidden="1" customWidth="1"/>
    <col min="6930" max="6930" width="31.625" style="1558" hidden="1" customWidth="1"/>
    <col min="6931" max="6941" width="7.375" style="1558" hidden="1" customWidth="1"/>
    <col min="6942" max="6942" width="7.625" style="1558" hidden="1" customWidth="1"/>
    <col min="6943" max="6943" width="1.625" style="1558" hidden="1" customWidth="1"/>
    <col min="6944" max="7168" width="0" style="1558" hidden="1"/>
    <col min="7169" max="7169" width="2.25" style="1558" hidden="1" customWidth="1"/>
    <col min="7170" max="7170" width="9.625" style="1558" hidden="1" customWidth="1"/>
    <col min="7171" max="7171" width="31.625" style="1558" hidden="1" customWidth="1"/>
    <col min="7172" max="7172" width="8.625" style="1558" hidden="1" customWidth="1"/>
    <col min="7173" max="7173" width="9" style="1558" hidden="1" customWidth="1"/>
    <col min="7174" max="7174" width="1.625" style="1558" hidden="1" customWidth="1"/>
    <col min="7175" max="7176" width="7.25" style="1558" hidden="1" customWidth="1"/>
    <col min="7177" max="7177" width="8.625" style="1558" hidden="1" customWidth="1"/>
    <col min="7178" max="7178" width="9.125" style="1558" hidden="1" customWidth="1"/>
    <col min="7179" max="7179" width="8.5" style="1558" hidden="1" customWidth="1"/>
    <col min="7180" max="7180" width="8.875" style="1558" hidden="1" customWidth="1"/>
    <col min="7181" max="7181" width="2.25" style="1558" hidden="1" customWidth="1"/>
    <col min="7182" max="7182" width="8.5" style="1558" hidden="1" customWidth="1"/>
    <col min="7183" max="7183" width="8.875" style="1558" hidden="1" customWidth="1"/>
    <col min="7184" max="7184" width="2.625" style="1558" hidden="1" customWidth="1"/>
    <col min="7185" max="7185" width="9.625" style="1558" hidden="1" customWidth="1"/>
    <col min="7186" max="7186" width="31.625" style="1558" hidden="1" customWidth="1"/>
    <col min="7187" max="7197" width="7.375" style="1558" hidden="1" customWidth="1"/>
    <col min="7198" max="7198" width="7.625" style="1558" hidden="1" customWidth="1"/>
    <col min="7199" max="7199" width="1.625" style="1558" hidden="1" customWidth="1"/>
    <col min="7200" max="7424" width="0" style="1558" hidden="1"/>
    <col min="7425" max="7425" width="2.25" style="1558" hidden="1" customWidth="1"/>
    <col min="7426" max="7426" width="9.625" style="1558" hidden="1" customWidth="1"/>
    <col min="7427" max="7427" width="31.625" style="1558" hidden="1" customWidth="1"/>
    <col min="7428" max="7428" width="8.625" style="1558" hidden="1" customWidth="1"/>
    <col min="7429" max="7429" width="9" style="1558" hidden="1" customWidth="1"/>
    <col min="7430" max="7430" width="1.625" style="1558" hidden="1" customWidth="1"/>
    <col min="7431" max="7432" width="7.25" style="1558" hidden="1" customWidth="1"/>
    <col min="7433" max="7433" width="8.625" style="1558" hidden="1" customWidth="1"/>
    <col min="7434" max="7434" width="9.125" style="1558" hidden="1" customWidth="1"/>
    <col min="7435" max="7435" width="8.5" style="1558" hidden="1" customWidth="1"/>
    <col min="7436" max="7436" width="8.875" style="1558" hidden="1" customWidth="1"/>
    <col min="7437" max="7437" width="2.25" style="1558" hidden="1" customWidth="1"/>
    <col min="7438" max="7438" width="8.5" style="1558" hidden="1" customWidth="1"/>
    <col min="7439" max="7439" width="8.875" style="1558" hidden="1" customWidth="1"/>
    <col min="7440" max="7440" width="2.625" style="1558" hidden="1" customWidth="1"/>
    <col min="7441" max="7441" width="9.625" style="1558" hidden="1" customWidth="1"/>
    <col min="7442" max="7442" width="31.625" style="1558" hidden="1" customWidth="1"/>
    <col min="7443" max="7453" width="7.375" style="1558" hidden="1" customWidth="1"/>
    <col min="7454" max="7454" width="7.625" style="1558" hidden="1" customWidth="1"/>
    <col min="7455" max="7455" width="1.625" style="1558" hidden="1" customWidth="1"/>
    <col min="7456" max="7680" width="0" style="1558" hidden="1"/>
    <col min="7681" max="7681" width="2.25" style="1558" hidden="1" customWidth="1"/>
    <col min="7682" max="7682" width="9.625" style="1558" hidden="1" customWidth="1"/>
    <col min="7683" max="7683" width="31.625" style="1558" hidden="1" customWidth="1"/>
    <col min="7684" max="7684" width="8.625" style="1558" hidden="1" customWidth="1"/>
    <col min="7685" max="7685" width="9" style="1558" hidden="1" customWidth="1"/>
    <col min="7686" max="7686" width="1.625" style="1558" hidden="1" customWidth="1"/>
    <col min="7687" max="7688" width="7.25" style="1558" hidden="1" customWidth="1"/>
    <col min="7689" max="7689" width="8.625" style="1558" hidden="1" customWidth="1"/>
    <col min="7690" max="7690" width="9.125" style="1558" hidden="1" customWidth="1"/>
    <col min="7691" max="7691" width="8.5" style="1558" hidden="1" customWidth="1"/>
    <col min="7692" max="7692" width="8.875" style="1558" hidden="1" customWidth="1"/>
    <col min="7693" max="7693" width="2.25" style="1558" hidden="1" customWidth="1"/>
    <col min="7694" max="7694" width="8.5" style="1558" hidden="1" customWidth="1"/>
    <col min="7695" max="7695" width="8.875" style="1558" hidden="1" customWidth="1"/>
    <col min="7696" max="7696" width="2.625" style="1558" hidden="1" customWidth="1"/>
    <col min="7697" max="7697" width="9.625" style="1558" hidden="1" customWidth="1"/>
    <col min="7698" max="7698" width="31.625" style="1558" hidden="1" customWidth="1"/>
    <col min="7699" max="7709" width="7.375" style="1558" hidden="1" customWidth="1"/>
    <col min="7710" max="7710" width="7.625" style="1558" hidden="1" customWidth="1"/>
    <col min="7711" max="7711" width="1.625" style="1558" hidden="1" customWidth="1"/>
    <col min="7712" max="7936" width="0" style="1558" hidden="1"/>
    <col min="7937" max="7937" width="2.25" style="1558" hidden="1" customWidth="1"/>
    <col min="7938" max="7938" width="9.625" style="1558" hidden="1" customWidth="1"/>
    <col min="7939" max="7939" width="31.625" style="1558" hidden="1" customWidth="1"/>
    <col min="7940" max="7940" width="8.625" style="1558" hidden="1" customWidth="1"/>
    <col min="7941" max="7941" width="9" style="1558" hidden="1" customWidth="1"/>
    <col min="7942" max="7942" width="1.625" style="1558" hidden="1" customWidth="1"/>
    <col min="7943" max="7944" width="7.25" style="1558" hidden="1" customWidth="1"/>
    <col min="7945" max="7945" width="8.625" style="1558" hidden="1" customWidth="1"/>
    <col min="7946" max="7946" width="9.125" style="1558" hidden="1" customWidth="1"/>
    <col min="7947" max="7947" width="8.5" style="1558" hidden="1" customWidth="1"/>
    <col min="7948" max="7948" width="8.875" style="1558" hidden="1" customWidth="1"/>
    <col min="7949" max="7949" width="2.25" style="1558" hidden="1" customWidth="1"/>
    <col min="7950" max="7950" width="8.5" style="1558" hidden="1" customWidth="1"/>
    <col min="7951" max="7951" width="8.875" style="1558" hidden="1" customWidth="1"/>
    <col min="7952" max="7952" width="2.625" style="1558" hidden="1" customWidth="1"/>
    <col min="7953" max="7953" width="9.625" style="1558" hidden="1" customWidth="1"/>
    <col min="7954" max="7954" width="31.625" style="1558" hidden="1" customWidth="1"/>
    <col min="7955" max="7965" width="7.375" style="1558" hidden="1" customWidth="1"/>
    <col min="7966" max="7966" width="7.625" style="1558" hidden="1" customWidth="1"/>
    <col min="7967" max="7967" width="1.625" style="1558" hidden="1" customWidth="1"/>
    <col min="7968" max="8192" width="0" style="1558" hidden="1"/>
    <col min="8193" max="8193" width="2.25" style="1558" hidden="1" customWidth="1"/>
    <col min="8194" max="8194" width="9.625" style="1558" hidden="1" customWidth="1"/>
    <col min="8195" max="8195" width="31.625" style="1558" hidden="1" customWidth="1"/>
    <col min="8196" max="8196" width="8.625" style="1558" hidden="1" customWidth="1"/>
    <col min="8197" max="8197" width="9" style="1558" hidden="1" customWidth="1"/>
    <col min="8198" max="8198" width="1.625" style="1558" hidden="1" customWidth="1"/>
    <col min="8199" max="8200" width="7.25" style="1558" hidden="1" customWidth="1"/>
    <col min="8201" max="8201" width="8.625" style="1558" hidden="1" customWidth="1"/>
    <col min="8202" max="8202" width="9.125" style="1558" hidden="1" customWidth="1"/>
    <col min="8203" max="8203" width="8.5" style="1558" hidden="1" customWidth="1"/>
    <col min="8204" max="8204" width="8.875" style="1558" hidden="1" customWidth="1"/>
    <col min="8205" max="8205" width="2.25" style="1558" hidden="1" customWidth="1"/>
    <col min="8206" max="8206" width="8.5" style="1558" hidden="1" customWidth="1"/>
    <col min="8207" max="8207" width="8.875" style="1558" hidden="1" customWidth="1"/>
    <col min="8208" max="8208" width="2.625" style="1558" hidden="1" customWidth="1"/>
    <col min="8209" max="8209" width="9.625" style="1558" hidden="1" customWidth="1"/>
    <col min="8210" max="8210" width="31.625" style="1558" hidden="1" customWidth="1"/>
    <col min="8211" max="8221" width="7.375" style="1558" hidden="1" customWidth="1"/>
    <col min="8222" max="8222" width="7.625" style="1558" hidden="1" customWidth="1"/>
    <col min="8223" max="8223" width="1.625" style="1558" hidden="1" customWidth="1"/>
    <col min="8224" max="8448" width="0" style="1558" hidden="1"/>
    <col min="8449" max="8449" width="2.25" style="1558" hidden="1" customWidth="1"/>
    <col min="8450" max="8450" width="9.625" style="1558" hidden="1" customWidth="1"/>
    <col min="8451" max="8451" width="31.625" style="1558" hidden="1" customWidth="1"/>
    <col min="8452" max="8452" width="8.625" style="1558" hidden="1" customWidth="1"/>
    <col min="8453" max="8453" width="9" style="1558" hidden="1" customWidth="1"/>
    <col min="8454" max="8454" width="1.625" style="1558" hidden="1" customWidth="1"/>
    <col min="8455" max="8456" width="7.25" style="1558" hidden="1" customWidth="1"/>
    <col min="8457" max="8457" width="8.625" style="1558" hidden="1" customWidth="1"/>
    <col min="8458" max="8458" width="9.125" style="1558" hidden="1" customWidth="1"/>
    <col min="8459" max="8459" width="8.5" style="1558" hidden="1" customWidth="1"/>
    <col min="8460" max="8460" width="8.875" style="1558" hidden="1" customWidth="1"/>
    <col min="8461" max="8461" width="2.25" style="1558" hidden="1" customWidth="1"/>
    <col min="8462" max="8462" width="8.5" style="1558" hidden="1" customWidth="1"/>
    <col min="8463" max="8463" width="8.875" style="1558" hidden="1" customWidth="1"/>
    <col min="8464" max="8464" width="2.625" style="1558" hidden="1" customWidth="1"/>
    <col min="8465" max="8465" width="9.625" style="1558" hidden="1" customWidth="1"/>
    <col min="8466" max="8466" width="31.625" style="1558" hidden="1" customWidth="1"/>
    <col min="8467" max="8477" width="7.375" style="1558" hidden="1" customWidth="1"/>
    <col min="8478" max="8478" width="7.625" style="1558" hidden="1" customWidth="1"/>
    <col min="8479" max="8479" width="1.625" style="1558" hidden="1" customWidth="1"/>
    <col min="8480" max="8704" width="0" style="1558" hidden="1"/>
    <col min="8705" max="8705" width="2.25" style="1558" hidden="1" customWidth="1"/>
    <col min="8706" max="8706" width="9.625" style="1558" hidden="1" customWidth="1"/>
    <col min="8707" max="8707" width="31.625" style="1558" hidden="1" customWidth="1"/>
    <col min="8708" max="8708" width="8.625" style="1558" hidden="1" customWidth="1"/>
    <col min="8709" max="8709" width="9" style="1558" hidden="1" customWidth="1"/>
    <col min="8710" max="8710" width="1.625" style="1558" hidden="1" customWidth="1"/>
    <col min="8711" max="8712" width="7.25" style="1558" hidden="1" customWidth="1"/>
    <col min="8713" max="8713" width="8.625" style="1558" hidden="1" customWidth="1"/>
    <col min="8714" max="8714" width="9.125" style="1558" hidden="1" customWidth="1"/>
    <col min="8715" max="8715" width="8.5" style="1558" hidden="1" customWidth="1"/>
    <col min="8716" max="8716" width="8.875" style="1558" hidden="1" customWidth="1"/>
    <col min="8717" max="8717" width="2.25" style="1558" hidden="1" customWidth="1"/>
    <col min="8718" max="8718" width="8.5" style="1558" hidden="1" customWidth="1"/>
    <col min="8719" max="8719" width="8.875" style="1558" hidden="1" customWidth="1"/>
    <col min="8720" max="8720" width="2.625" style="1558" hidden="1" customWidth="1"/>
    <col min="8721" max="8721" width="9.625" style="1558" hidden="1" customWidth="1"/>
    <col min="8722" max="8722" width="31.625" style="1558" hidden="1" customWidth="1"/>
    <col min="8723" max="8733" width="7.375" style="1558" hidden="1" customWidth="1"/>
    <col min="8734" max="8734" width="7.625" style="1558" hidden="1" customWidth="1"/>
    <col min="8735" max="8735" width="1.625" style="1558" hidden="1" customWidth="1"/>
    <col min="8736" max="8960" width="0" style="1558" hidden="1"/>
    <col min="8961" max="8961" width="2.25" style="1558" hidden="1" customWidth="1"/>
    <col min="8962" max="8962" width="9.625" style="1558" hidden="1" customWidth="1"/>
    <col min="8963" max="8963" width="31.625" style="1558" hidden="1" customWidth="1"/>
    <col min="8964" max="8964" width="8.625" style="1558" hidden="1" customWidth="1"/>
    <col min="8965" max="8965" width="9" style="1558" hidden="1" customWidth="1"/>
    <col min="8966" max="8966" width="1.625" style="1558" hidden="1" customWidth="1"/>
    <col min="8967" max="8968" width="7.25" style="1558" hidden="1" customWidth="1"/>
    <col min="8969" max="8969" width="8.625" style="1558" hidden="1" customWidth="1"/>
    <col min="8970" max="8970" width="9.125" style="1558" hidden="1" customWidth="1"/>
    <col min="8971" max="8971" width="8.5" style="1558" hidden="1" customWidth="1"/>
    <col min="8972" max="8972" width="8.875" style="1558" hidden="1" customWidth="1"/>
    <col min="8973" max="8973" width="2.25" style="1558" hidden="1" customWidth="1"/>
    <col min="8974" max="8974" width="8.5" style="1558" hidden="1" customWidth="1"/>
    <col min="8975" max="8975" width="8.875" style="1558" hidden="1" customWidth="1"/>
    <col min="8976" max="8976" width="2.625" style="1558" hidden="1" customWidth="1"/>
    <col min="8977" max="8977" width="9.625" style="1558" hidden="1" customWidth="1"/>
    <col min="8978" max="8978" width="31.625" style="1558" hidden="1" customWidth="1"/>
    <col min="8979" max="8989" width="7.375" style="1558" hidden="1" customWidth="1"/>
    <col min="8990" max="8990" width="7.625" style="1558" hidden="1" customWidth="1"/>
    <col min="8991" max="8991" width="1.625" style="1558" hidden="1" customWidth="1"/>
    <col min="8992" max="9216" width="0" style="1558" hidden="1"/>
    <col min="9217" max="9217" width="2.25" style="1558" hidden="1" customWidth="1"/>
    <col min="9218" max="9218" width="9.625" style="1558" hidden="1" customWidth="1"/>
    <col min="9219" max="9219" width="31.625" style="1558" hidden="1" customWidth="1"/>
    <col min="9220" max="9220" width="8.625" style="1558" hidden="1" customWidth="1"/>
    <col min="9221" max="9221" width="9" style="1558" hidden="1" customWidth="1"/>
    <col min="9222" max="9222" width="1.625" style="1558" hidden="1" customWidth="1"/>
    <col min="9223" max="9224" width="7.25" style="1558" hidden="1" customWidth="1"/>
    <col min="9225" max="9225" width="8.625" style="1558" hidden="1" customWidth="1"/>
    <col min="9226" max="9226" width="9.125" style="1558" hidden="1" customWidth="1"/>
    <col min="9227" max="9227" width="8.5" style="1558" hidden="1" customWidth="1"/>
    <col min="9228" max="9228" width="8.875" style="1558" hidden="1" customWidth="1"/>
    <col min="9229" max="9229" width="2.25" style="1558" hidden="1" customWidth="1"/>
    <col min="9230" max="9230" width="8.5" style="1558" hidden="1" customWidth="1"/>
    <col min="9231" max="9231" width="8.875" style="1558" hidden="1" customWidth="1"/>
    <col min="9232" max="9232" width="2.625" style="1558" hidden="1" customWidth="1"/>
    <col min="9233" max="9233" width="9.625" style="1558" hidden="1" customWidth="1"/>
    <col min="9234" max="9234" width="31.625" style="1558" hidden="1" customWidth="1"/>
    <col min="9235" max="9245" width="7.375" style="1558" hidden="1" customWidth="1"/>
    <col min="9246" max="9246" width="7.625" style="1558" hidden="1" customWidth="1"/>
    <col min="9247" max="9247" width="1.625" style="1558" hidden="1" customWidth="1"/>
    <col min="9248" max="9472" width="0" style="1558" hidden="1"/>
    <col min="9473" max="9473" width="2.25" style="1558" hidden="1" customWidth="1"/>
    <col min="9474" max="9474" width="9.625" style="1558" hidden="1" customWidth="1"/>
    <col min="9475" max="9475" width="31.625" style="1558" hidden="1" customWidth="1"/>
    <col min="9476" max="9476" width="8.625" style="1558" hidden="1" customWidth="1"/>
    <col min="9477" max="9477" width="9" style="1558" hidden="1" customWidth="1"/>
    <col min="9478" max="9478" width="1.625" style="1558" hidden="1" customWidth="1"/>
    <col min="9479" max="9480" width="7.25" style="1558" hidden="1" customWidth="1"/>
    <col min="9481" max="9481" width="8.625" style="1558" hidden="1" customWidth="1"/>
    <col min="9482" max="9482" width="9.125" style="1558" hidden="1" customWidth="1"/>
    <col min="9483" max="9483" width="8.5" style="1558" hidden="1" customWidth="1"/>
    <col min="9484" max="9484" width="8.875" style="1558" hidden="1" customWidth="1"/>
    <col min="9485" max="9485" width="2.25" style="1558" hidden="1" customWidth="1"/>
    <col min="9486" max="9486" width="8.5" style="1558" hidden="1" customWidth="1"/>
    <col min="9487" max="9487" width="8.875" style="1558" hidden="1" customWidth="1"/>
    <col min="9488" max="9488" width="2.625" style="1558" hidden="1" customWidth="1"/>
    <col min="9489" max="9489" width="9.625" style="1558" hidden="1" customWidth="1"/>
    <col min="9490" max="9490" width="31.625" style="1558" hidden="1" customWidth="1"/>
    <col min="9491" max="9501" width="7.375" style="1558" hidden="1" customWidth="1"/>
    <col min="9502" max="9502" width="7.625" style="1558" hidden="1" customWidth="1"/>
    <col min="9503" max="9503" width="1.625" style="1558" hidden="1" customWidth="1"/>
    <col min="9504" max="9728" width="0" style="1558" hidden="1"/>
    <col min="9729" max="9729" width="2.25" style="1558" hidden="1" customWidth="1"/>
    <col min="9730" max="9730" width="9.625" style="1558" hidden="1" customWidth="1"/>
    <col min="9731" max="9731" width="31.625" style="1558" hidden="1" customWidth="1"/>
    <col min="9732" max="9732" width="8.625" style="1558" hidden="1" customWidth="1"/>
    <col min="9733" max="9733" width="9" style="1558" hidden="1" customWidth="1"/>
    <col min="9734" max="9734" width="1.625" style="1558" hidden="1" customWidth="1"/>
    <col min="9735" max="9736" width="7.25" style="1558" hidden="1" customWidth="1"/>
    <col min="9737" max="9737" width="8.625" style="1558" hidden="1" customWidth="1"/>
    <col min="9738" max="9738" width="9.125" style="1558" hidden="1" customWidth="1"/>
    <col min="9739" max="9739" width="8.5" style="1558" hidden="1" customWidth="1"/>
    <col min="9740" max="9740" width="8.875" style="1558" hidden="1" customWidth="1"/>
    <col min="9741" max="9741" width="2.25" style="1558" hidden="1" customWidth="1"/>
    <col min="9742" max="9742" width="8.5" style="1558" hidden="1" customWidth="1"/>
    <col min="9743" max="9743" width="8.875" style="1558" hidden="1" customWidth="1"/>
    <col min="9744" max="9744" width="2.625" style="1558" hidden="1" customWidth="1"/>
    <col min="9745" max="9745" width="9.625" style="1558" hidden="1" customWidth="1"/>
    <col min="9746" max="9746" width="31.625" style="1558" hidden="1" customWidth="1"/>
    <col min="9747" max="9757" width="7.375" style="1558" hidden="1" customWidth="1"/>
    <col min="9758" max="9758" width="7.625" style="1558" hidden="1" customWidth="1"/>
    <col min="9759" max="9759" width="1.625" style="1558" hidden="1" customWidth="1"/>
    <col min="9760" max="9984" width="0" style="1558" hidden="1"/>
    <col min="9985" max="9985" width="2.25" style="1558" hidden="1" customWidth="1"/>
    <col min="9986" max="9986" width="9.625" style="1558" hidden="1" customWidth="1"/>
    <col min="9987" max="9987" width="31.625" style="1558" hidden="1" customWidth="1"/>
    <col min="9988" max="9988" width="8.625" style="1558" hidden="1" customWidth="1"/>
    <col min="9989" max="9989" width="9" style="1558" hidden="1" customWidth="1"/>
    <col min="9990" max="9990" width="1.625" style="1558" hidden="1" customWidth="1"/>
    <col min="9991" max="9992" width="7.25" style="1558" hidden="1" customWidth="1"/>
    <col min="9993" max="9993" width="8.625" style="1558" hidden="1" customWidth="1"/>
    <col min="9994" max="9994" width="9.125" style="1558" hidden="1" customWidth="1"/>
    <col min="9995" max="9995" width="8.5" style="1558" hidden="1" customWidth="1"/>
    <col min="9996" max="9996" width="8.875" style="1558" hidden="1" customWidth="1"/>
    <col min="9997" max="9997" width="2.25" style="1558" hidden="1" customWidth="1"/>
    <col min="9998" max="9998" width="8.5" style="1558" hidden="1" customWidth="1"/>
    <col min="9999" max="9999" width="8.875" style="1558" hidden="1" customWidth="1"/>
    <col min="10000" max="10000" width="2.625" style="1558" hidden="1" customWidth="1"/>
    <col min="10001" max="10001" width="9.625" style="1558" hidden="1" customWidth="1"/>
    <col min="10002" max="10002" width="31.625" style="1558" hidden="1" customWidth="1"/>
    <col min="10003" max="10013" width="7.375" style="1558" hidden="1" customWidth="1"/>
    <col min="10014" max="10014" width="7.625" style="1558" hidden="1" customWidth="1"/>
    <col min="10015" max="10015" width="1.625" style="1558" hidden="1" customWidth="1"/>
    <col min="10016" max="10240" width="0" style="1558" hidden="1"/>
    <col min="10241" max="10241" width="2.25" style="1558" hidden="1" customWidth="1"/>
    <col min="10242" max="10242" width="9.625" style="1558" hidden="1" customWidth="1"/>
    <col min="10243" max="10243" width="31.625" style="1558" hidden="1" customWidth="1"/>
    <col min="10244" max="10244" width="8.625" style="1558" hidden="1" customWidth="1"/>
    <col min="10245" max="10245" width="9" style="1558" hidden="1" customWidth="1"/>
    <col min="10246" max="10246" width="1.625" style="1558" hidden="1" customWidth="1"/>
    <col min="10247" max="10248" width="7.25" style="1558" hidden="1" customWidth="1"/>
    <col min="10249" max="10249" width="8.625" style="1558" hidden="1" customWidth="1"/>
    <col min="10250" max="10250" width="9.125" style="1558" hidden="1" customWidth="1"/>
    <col min="10251" max="10251" width="8.5" style="1558" hidden="1" customWidth="1"/>
    <col min="10252" max="10252" width="8.875" style="1558" hidden="1" customWidth="1"/>
    <col min="10253" max="10253" width="2.25" style="1558" hidden="1" customWidth="1"/>
    <col min="10254" max="10254" width="8.5" style="1558" hidden="1" customWidth="1"/>
    <col min="10255" max="10255" width="8.875" style="1558" hidden="1" customWidth="1"/>
    <col min="10256" max="10256" width="2.625" style="1558" hidden="1" customWidth="1"/>
    <col min="10257" max="10257" width="9.625" style="1558" hidden="1" customWidth="1"/>
    <col min="10258" max="10258" width="31.625" style="1558" hidden="1" customWidth="1"/>
    <col min="10259" max="10269" width="7.375" style="1558" hidden="1" customWidth="1"/>
    <col min="10270" max="10270" width="7.625" style="1558" hidden="1" customWidth="1"/>
    <col min="10271" max="10271" width="1.625" style="1558" hidden="1" customWidth="1"/>
    <col min="10272" max="10496" width="0" style="1558" hidden="1"/>
    <col min="10497" max="10497" width="2.25" style="1558" hidden="1" customWidth="1"/>
    <col min="10498" max="10498" width="9.625" style="1558" hidden="1" customWidth="1"/>
    <col min="10499" max="10499" width="31.625" style="1558" hidden="1" customWidth="1"/>
    <col min="10500" max="10500" width="8.625" style="1558" hidden="1" customWidth="1"/>
    <col min="10501" max="10501" width="9" style="1558" hidden="1" customWidth="1"/>
    <col min="10502" max="10502" width="1.625" style="1558" hidden="1" customWidth="1"/>
    <col min="10503" max="10504" width="7.25" style="1558" hidden="1" customWidth="1"/>
    <col min="10505" max="10505" width="8.625" style="1558" hidden="1" customWidth="1"/>
    <col min="10506" max="10506" width="9.125" style="1558" hidden="1" customWidth="1"/>
    <col min="10507" max="10507" width="8.5" style="1558" hidden="1" customWidth="1"/>
    <col min="10508" max="10508" width="8.875" style="1558" hidden="1" customWidth="1"/>
    <col min="10509" max="10509" width="2.25" style="1558" hidden="1" customWidth="1"/>
    <col min="10510" max="10510" width="8.5" style="1558" hidden="1" customWidth="1"/>
    <col min="10511" max="10511" width="8.875" style="1558" hidden="1" customWidth="1"/>
    <col min="10512" max="10512" width="2.625" style="1558" hidden="1" customWidth="1"/>
    <col min="10513" max="10513" width="9.625" style="1558" hidden="1" customWidth="1"/>
    <col min="10514" max="10514" width="31.625" style="1558" hidden="1" customWidth="1"/>
    <col min="10515" max="10525" width="7.375" style="1558" hidden="1" customWidth="1"/>
    <col min="10526" max="10526" width="7.625" style="1558" hidden="1" customWidth="1"/>
    <col min="10527" max="10527" width="1.625" style="1558" hidden="1" customWidth="1"/>
    <col min="10528" max="10752" width="0" style="1558" hidden="1"/>
    <col min="10753" max="10753" width="2.25" style="1558" hidden="1" customWidth="1"/>
    <col min="10754" max="10754" width="9.625" style="1558" hidden="1" customWidth="1"/>
    <col min="10755" max="10755" width="31.625" style="1558" hidden="1" customWidth="1"/>
    <col min="10756" max="10756" width="8.625" style="1558" hidden="1" customWidth="1"/>
    <col min="10757" max="10757" width="9" style="1558" hidden="1" customWidth="1"/>
    <col min="10758" max="10758" width="1.625" style="1558" hidden="1" customWidth="1"/>
    <col min="10759" max="10760" width="7.25" style="1558" hidden="1" customWidth="1"/>
    <col min="10761" max="10761" width="8.625" style="1558" hidden="1" customWidth="1"/>
    <col min="10762" max="10762" width="9.125" style="1558" hidden="1" customWidth="1"/>
    <col min="10763" max="10763" width="8.5" style="1558" hidden="1" customWidth="1"/>
    <col min="10764" max="10764" width="8.875" style="1558" hidden="1" customWidth="1"/>
    <col min="10765" max="10765" width="2.25" style="1558" hidden="1" customWidth="1"/>
    <col min="10766" max="10766" width="8.5" style="1558" hidden="1" customWidth="1"/>
    <col min="10767" max="10767" width="8.875" style="1558" hidden="1" customWidth="1"/>
    <col min="10768" max="10768" width="2.625" style="1558" hidden="1" customWidth="1"/>
    <col min="10769" max="10769" width="9.625" style="1558" hidden="1" customWidth="1"/>
    <col min="10770" max="10770" width="31.625" style="1558" hidden="1" customWidth="1"/>
    <col min="10771" max="10781" width="7.375" style="1558" hidden="1" customWidth="1"/>
    <col min="10782" max="10782" width="7.625" style="1558" hidden="1" customWidth="1"/>
    <col min="10783" max="10783" width="1.625" style="1558" hidden="1" customWidth="1"/>
    <col min="10784" max="11008" width="0" style="1558" hidden="1"/>
    <col min="11009" max="11009" width="2.25" style="1558" hidden="1" customWidth="1"/>
    <col min="11010" max="11010" width="9.625" style="1558" hidden="1" customWidth="1"/>
    <col min="11011" max="11011" width="31.625" style="1558" hidden="1" customWidth="1"/>
    <col min="11012" max="11012" width="8.625" style="1558" hidden="1" customWidth="1"/>
    <col min="11013" max="11013" width="9" style="1558" hidden="1" customWidth="1"/>
    <col min="11014" max="11014" width="1.625" style="1558" hidden="1" customWidth="1"/>
    <col min="11015" max="11016" width="7.25" style="1558" hidden="1" customWidth="1"/>
    <col min="11017" max="11017" width="8.625" style="1558" hidden="1" customWidth="1"/>
    <col min="11018" max="11018" width="9.125" style="1558" hidden="1" customWidth="1"/>
    <col min="11019" max="11019" width="8.5" style="1558" hidden="1" customWidth="1"/>
    <col min="11020" max="11020" width="8.875" style="1558" hidden="1" customWidth="1"/>
    <col min="11021" max="11021" width="2.25" style="1558" hidden="1" customWidth="1"/>
    <col min="11022" max="11022" width="8.5" style="1558" hidden="1" customWidth="1"/>
    <col min="11023" max="11023" width="8.875" style="1558" hidden="1" customWidth="1"/>
    <col min="11024" max="11024" width="2.625" style="1558" hidden="1" customWidth="1"/>
    <col min="11025" max="11025" width="9.625" style="1558" hidden="1" customWidth="1"/>
    <col min="11026" max="11026" width="31.625" style="1558" hidden="1" customWidth="1"/>
    <col min="11027" max="11037" width="7.375" style="1558" hidden="1" customWidth="1"/>
    <col min="11038" max="11038" width="7.625" style="1558" hidden="1" customWidth="1"/>
    <col min="11039" max="11039" width="1.625" style="1558" hidden="1" customWidth="1"/>
    <col min="11040" max="11264" width="0" style="1558" hidden="1"/>
    <col min="11265" max="11265" width="2.25" style="1558" hidden="1" customWidth="1"/>
    <col min="11266" max="11266" width="9.625" style="1558" hidden="1" customWidth="1"/>
    <col min="11267" max="11267" width="31.625" style="1558" hidden="1" customWidth="1"/>
    <col min="11268" max="11268" width="8.625" style="1558" hidden="1" customWidth="1"/>
    <col min="11269" max="11269" width="9" style="1558" hidden="1" customWidth="1"/>
    <col min="11270" max="11270" width="1.625" style="1558" hidden="1" customWidth="1"/>
    <col min="11271" max="11272" width="7.25" style="1558" hidden="1" customWidth="1"/>
    <col min="11273" max="11273" width="8.625" style="1558" hidden="1" customWidth="1"/>
    <col min="11274" max="11274" width="9.125" style="1558" hidden="1" customWidth="1"/>
    <col min="11275" max="11275" width="8.5" style="1558" hidden="1" customWidth="1"/>
    <col min="11276" max="11276" width="8.875" style="1558" hidden="1" customWidth="1"/>
    <col min="11277" max="11277" width="2.25" style="1558" hidden="1" customWidth="1"/>
    <col min="11278" max="11278" width="8.5" style="1558" hidden="1" customWidth="1"/>
    <col min="11279" max="11279" width="8.875" style="1558" hidden="1" customWidth="1"/>
    <col min="11280" max="11280" width="2.625" style="1558" hidden="1" customWidth="1"/>
    <col min="11281" max="11281" width="9.625" style="1558" hidden="1" customWidth="1"/>
    <col min="11282" max="11282" width="31.625" style="1558" hidden="1" customWidth="1"/>
    <col min="11283" max="11293" width="7.375" style="1558" hidden="1" customWidth="1"/>
    <col min="11294" max="11294" width="7.625" style="1558" hidden="1" customWidth="1"/>
    <col min="11295" max="11295" width="1.625" style="1558" hidden="1" customWidth="1"/>
    <col min="11296" max="11520" width="0" style="1558" hidden="1"/>
    <col min="11521" max="11521" width="2.25" style="1558" hidden="1" customWidth="1"/>
    <col min="11522" max="11522" width="9.625" style="1558" hidden="1" customWidth="1"/>
    <col min="11523" max="11523" width="31.625" style="1558" hidden="1" customWidth="1"/>
    <col min="11524" max="11524" width="8.625" style="1558" hidden="1" customWidth="1"/>
    <col min="11525" max="11525" width="9" style="1558" hidden="1" customWidth="1"/>
    <col min="11526" max="11526" width="1.625" style="1558" hidden="1" customWidth="1"/>
    <col min="11527" max="11528" width="7.25" style="1558" hidden="1" customWidth="1"/>
    <col min="11529" max="11529" width="8.625" style="1558" hidden="1" customWidth="1"/>
    <col min="11530" max="11530" width="9.125" style="1558" hidden="1" customWidth="1"/>
    <col min="11531" max="11531" width="8.5" style="1558" hidden="1" customWidth="1"/>
    <col min="11532" max="11532" width="8.875" style="1558" hidden="1" customWidth="1"/>
    <col min="11533" max="11533" width="2.25" style="1558" hidden="1" customWidth="1"/>
    <col min="11534" max="11534" width="8.5" style="1558" hidden="1" customWidth="1"/>
    <col min="11535" max="11535" width="8.875" style="1558" hidden="1" customWidth="1"/>
    <col min="11536" max="11536" width="2.625" style="1558" hidden="1" customWidth="1"/>
    <col min="11537" max="11537" width="9.625" style="1558" hidden="1" customWidth="1"/>
    <col min="11538" max="11538" width="31.625" style="1558" hidden="1" customWidth="1"/>
    <col min="11539" max="11549" width="7.375" style="1558" hidden="1" customWidth="1"/>
    <col min="11550" max="11550" width="7.625" style="1558" hidden="1" customWidth="1"/>
    <col min="11551" max="11551" width="1.625" style="1558" hidden="1" customWidth="1"/>
    <col min="11552" max="11776" width="0" style="1558" hidden="1"/>
    <col min="11777" max="11777" width="2.25" style="1558" hidden="1" customWidth="1"/>
    <col min="11778" max="11778" width="9.625" style="1558" hidden="1" customWidth="1"/>
    <col min="11779" max="11779" width="31.625" style="1558" hidden="1" customWidth="1"/>
    <col min="11780" max="11780" width="8.625" style="1558" hidden="1" customWidth="1"/>
    <col min="11781" max="11781" width="9" style="1558" hidden="1" customWidth="1"/>
    <col min="11782" max="11782" width="1.625" style="1558" hidden="1" customWidth="1"/>
    <col min="11783" max="11784" width="7.25" style="1558" hidden="1" customWidth="1"/>
    <col min="11785" max="11785" width="8.625" style="1558" hidden="1" customWidth="1"/>
    <col min="11786" max="11786" width="9.125" style="1558" hidden="1" customWidth="1"/>
    <col min="11787" max="11787" width="8.5" style="1558" hidden="1" customWidth="1"/>
    <col min="11788" max="11788" width="8.875" style="1558" hidden="1" customWidth="1"/>
    <col min="11789" max="11789" width="2.25" style="1558" hidden="1" customWidth="1"/>
    <col min="11790" max="11790" width="8.5" style="1558" hidden="1" customWidth="1"/>
    <col min="11791" max="11791" width="8.875" style="1558" hidden="1" customWidth="1"/>
    <col min="11792" max="11792" width="2.625" style="1558" hidden="1" customWidth="1"/>
    <col min="11793" max="11793" width="9.625" style="1558" hidden="1" customWidth="1"/>
    <col min="11794" max="11794" width="31.625" style="1558" hidden="1" customWidth="1"/>
    <col min="11795" max="11805" width="7.375" style="1558" hidden="1" customWidth="1"/>
    <col min="11806" max="11806" width="7.625" style="1558" hidden="1" customWidth="1"/>
    <col min="11807" max="11807" width="1.625" style="1558" hidden="1" customWidth="1"/>
    <col min="11808" max="12032" width="0" style="1558" hidden="1"/>
    <col min="12033" max="12033" width="2.25" style="1558" hidden="1" customWidth="1"/>
    <col min="12034" max="12034" width="9.625" style="1558" hidden="1" customWidth="1"/>
    <col min="12035" max="12035" width="31.625" style="1558" hidden="1" customWidth="1"/>
    <col min="12036" max="12036" width="8.625" style="1558" hidden="1" customWidth="1"/>
    <col min="12037" max="12037" width="9" style="1558" hidden="1" customWidth="1"/>
    <col min="12038" max="12038" width="1.625" style="1558" hidden="1" customWidth="1"/>
    <col min="12039" max="12040" width="7.25" style="1558" hidden="1" customWidth="1"/>
    <col min="12041" max="12041" width="8.625" style="1558" hidden="1" customWidth="1"/>
    <col min="12042" max="12042" width="9.125" style="1558" hidden="1" customWidth="1"/>
    <col min="12043" max="12043" width="8.5" style="1558" hidden="1" customWidth="1"/>
    <col min="12044" max="12044" width="8.875" style="1558" hidden="1" customWidth="1"/>
    <col min="12045" max="12045" width="2.25" style="1558" hidden="1" customWidth="1"/>
    <col min="12046" max="12046" width="8.5" style="1558" hidden="1" customWidth="1"/>
    <col min="12047" max="12047" width="8.875" style="1558" hidden="1" customWidth="1"/>
    <col min="12048" max="12048" width="2.625" style="1558" hidden="1" customWidth="1"/>
    <col min="12049" max="12049" width="9.625" style="1558" hidden="1" customWidth="1"/>
    <col min="12050" max="12050" width="31.625" style="1558" hidden="1" customWidth="1"/>
    <col min="12051" max="12061" width="7.375" style="1558" hidden="1" customWidth="1"/>
    <col min="12062" max="12062" width="7.625" style="1558" hidden="1" customWidth="1"/>
    <col min="12063" max="12063" width="1.625" style="1558" hidden="1" customWidth="1"/>
    <col min="12064" max="12288" width="0" style="1558" hidden="1"/>
    <col min="12289" max="12289" width="2.25" style="1558" hidden="1" customWidth="1"/>
    <col min="12290" max="12290" width="9.625" style="1558" hidden="1" customWidth="1"/>
    <col min="12291" max="12291" width="31.625" style="1558" hidden="1" customWidth="1"/>
    <col min="12292" max="12292" width="8.625" style="1558" hidden="1" customWidth="1"/>
    <col min="12293" max="12293" width="9" style="1558" hidden="1" customWidth="1"/>
    <col min="12294" max="12294" width="1.625" style="1558" hidden="1" customWidth="1"/>
    <col min="12295" max="12296" width="7.25" style="1558" hidden="1" customWidth="1"/>
    <col min="12297" max="12297" width="8.625" style="1558" hidden="1" customWidth="1"/>
    <col min="12298" max="12298" width="9.125" style="1558" hidden="1" customWidth="1"/>
    <col min="12299" max="12299" width="8.5" style="1558" hidden="1" customWidth="1"/>
    <col min="12300" max="12300" width="8.875" style="1558" hidden="1" customWidth="1"/>
    <col min="12301" max="12301" width="2.25" style="1558" hidden="1" customWidth="1"/>
    <col min="12302" max="12302" width="8.5" style="1558" hidden="1" customWidth="1"/>
    <col min="12303" max="12303" width="8.875" style="1558" hidden="1" customWidth="1"/>
    <col min="12304" max="12304" width="2.625" style="1558" hidden="1" customWidth="1"/>
    <col min="12305" max="12305" width="9.625" style="1558" hidden="1" customWidth="1"/>
    <col min="12306" max="12306" width="31.625" style="1558" hidden="1" customWidth="1"/>
    <col min="12307" max="12317" width="7.375" style="1558" hidden="1" customWidth="1"/>
    <col min="12318" max="12318" width="7.625" style="1558" hidden="1" customWidth="1"/>
    <col min="12319" max="12319" width="1.625" style="1558" hidden="1" customWidth="1"/>
    <col min="12320" max="12544" width="0" style="1558" hidden="1"/>
    <col min="12545" max="12545" width="2.25" style="1558" hidden="1" customWidth="1"/>
    <col min="12546" max="12546" width="9.625" style="1558" hidden="1" customWidth="1"/>
    <col min="12547" max="12547" width="31.625" style="1558" hidden="1" customWidth="1"/>
    <col min="12548" max="12548" width="8.625" style="1558" hidden="1" customWidth="1"/>
    <col min="12549" max="12549" width="9" style="1558" hidden="1" customWidth="1"/>
    <col min="12550" max="12550" width="1.625" style="1558" hidden="1" customWidth="1"/>
    <col min="12551" max="12552" width="7.25" style="1558" hidden="1" customWidth="1"/>
    <col min="12553" max="12553" width="8.625" style="1558" hidden="1" customWidth="1"/>
    <col min="12554" max="12554" width="9.125" style="1558" hidden="1" customWidth="1"/>
    <col min="12555" max="12555" width="8.5" style="1558" hidden="1" customWidth="1"/>
    <col min="12556" max="12556" width="8.875" style="1558" hidden="1" customWidth="1"/>
    <col min="12557" max="12557" width="2.25" style="1558" hidden="1" customWidth="1"/>
    <col min="12558" max="12558" width="8.5" style="1558" hidden="1" customWidth="1"/>
    <col min="12559" max="12559" width="8.875" style="1558" hidden="1" customWidth="1"/>
    <col min="12560" max="12560" width="2.625" style="1558" hidden="1" customWidth="1"/>
    <col min="12561" max="12561" width="9.625" style="1558" hidden="1" customWidth="1"/>
    <col min="12562" max="12562" width="31.625" style="1558" hidden="1" customWidth="1"/>
    <col min="12563" max="12573" width="7.375" style="1558" hidden="1" customWidth="1"/>
    <col min="12574" max="12574" width="7.625" style="1558" hidden="1" customWidth="1"/>
    <col min="12575" max="12575" width="1.625" style="1558" hidden="1" customWidth="1"/>
    <col min="12576" max="12800" width="0" style="1558" hidden="1"/>
    <col min="12801" max="12801" width="2.25" style="1558" hidden="1" customWidth="1"/>
    <col min="12802" max="12802" width="9.625" style="1558" hidden="1" customWidth="1"/>
    <col min="12803" max="12803" width="31.625" style="1558" hidden="1" customWidth="1"/>
    <col min="12804" max="12804" width="8.625" style="1558" hidden="1" customWidth="1"/>
    <col min="12805" max="12805" width="9" style="1558" hidden="1" customWidth="1"/>
    <col min="12806" max="12806" width="1.625" style="1558" hidden="1" customWidth="1"/>
    <col min="12807" max="12808" width="7.25" style="1558" hidden="1" customWidth="1"/>
    <col min="12809" max="12809" width="8.625" style="1558" hidden="1" customWidth="1"/>
    <col min="12810" max="12810" width="9.125" style="1558" hidden="1" customWidth="1"/>
    <col min="12811" max="12811" width="8.5" style="1558" hidden="1" customWidth="1"/>
    <col min="12812" max="12812" width="8.875" style="1558" hidden="1" customWidth="1"/>
    <col min="12813" max="12813" width="2.25" style="1558" hidden="1" customWidth="1"/>
    <col min="12814" max="12814" width="8.5" style="1558" hidden="1" customWidth="1"/>
    <col min="12815" max="12815" width="8.875" style="1558" hidden="1" customWidth="1"/>
    <col min="12816" max="12816" width="2.625" style="1558" hidden="1" customWidth="1"/>
    <col min="12817" max="12817" width="9.625" style="1558" hidden="1" customWidth="1"/>
    <col min="12818" max="12818" width="31.625" style="1558" hidden="1" customWidth="1"/>
    <col min="12819" max="12829" width="7.375" style="1558" hidden="1" customWidth="1"/>
    <col min="12830" max="12830" width="7.625" style="1558" hidden="1" customWidth="1"/>
    <col min="12831" max="12831" width="1.625" style="1558" hidden="1" customWidth="1"/>
    <col min="12832" max="13056" width="0" style="1558" hidden="1"/>
    <col min="13057" max="13057" width="2.25" style="1558" hidden="1" customWidth="1"/>
    <col min="13058" max="13058" width="9.625" style="1558" hidden="1" customWidth="1"/>
    <col min="13059" max="13059" width="31.625" style="1558" hidden="1" customWidth="1"/>
    <col min="13060" max="13060" width="8.625" style="1558" hidden="1" customWidth="1"/>
    <col min="13061" max="13061" width="9" style="1558" hidden="1" customWidth="1"/>
    <col min="13062" max="13062" width="1.625" style="1558" hidden="1" customWidth="1"/>
    <col min="13063" max="13064" width="7.25" style="1558" hidden="1" customWidth="1"/>
    <col min="13065" max="13065" width="8.625" style="1558" hidden="1" customWidth="1"/>
    <col min="13066" max="13066" width="9.125" style="1558" hidden="1" customWidth="1"/>
    <col min="13067" max="13067" width="8.5" style="1558" hidden="1" customWidth="1"/>
    <col min="13068" max="13068" width="8.875" style="1558" hidden="1" customWidth="1"/>
    <col min="13069" max="13069" width="2.25" style="1558" hidden="1" customWidth="1"/>
    <col min="13070" max="13070" width="8.5" style="1558" hidden="1" customWidth="1"/>
    <col min="13071" max="13071" width="8.875" style="1558" hidden="1" customWidth="1"/>
    <col min="13072" max="13072" width="2.625" style="1558" hidden="1" customWidth="1"/>
    <col min="13073" max="13073" width="9.625" style="1558" hidden="1" customWidth="1"/>
    <col min="13074" max="13074" width="31.625" style="1558" hidden="1" customWidth="1"/>
    <col min="13075" max="13085" width="7.375" style="1558" hidden="1" customWidth="1"/>
    <col min="13086" max="13086" width="7.625" style="1558" hidden="1" customWidth="1"/>
    <col min="13087" max="13087" width="1.625" style="1558" hidden="1" customWidth="1"/>
    <col min="13088" max="13312" width="0" style="1558" hidden="1"/>
    <col min="13313" max="13313" width="2.25" style="1558" hidden="1" customWidth="1"/>
    <col min="13314" max="13314" width="9.625" style="1558" hidden="1" customWidth="1"/>
    <col min="13315" max="13315" width="31.625" style="1558" hidden="1" customWidth="1"/>
    <col min="13316" max="13316" width="8.625" style="1558" hidden="1" customWidth="1"/>
    <col min="13317" max="13317" width="9" style="1558" hidden="1" customWidth="1"/>
    <col min="13318" max="13318" width="1.625" style="1558" hidden="1" customWidth="1"/>
    <col min="13319" max="13320" width="7.25" style="1558" hidden="1" customWidth="1"/>
    <col min="13321" max="13321" width="8.625" style="1558" hidden="1" customWidth="1"/>
    <col min="13322" max="13322" width="9.125" style="1558" hidden="1" customWidth="1"/>
    <col min="13323" max="13323" width="8.5" style="1558" hidden="1" customWidth="1"/>
    <col min="13324" max="13324" width="8.875" style="1558" hidden="1" customWidth="1"/>
    <col min="13325" max="13325" width="2.25" style="1558" hidden="1" customWidth="1"/>
    <col min="13326" max="13326" width="8.5" style="1558" hidden="1" customWidth="1"/>
    <col min="13327" max="13327" width="8.875" style="1558" hidden="1" customWidth="1"/>
    <col min="13328" max="13328" width="2.625" style="1558" hidden="1" customWidth="1"/>
    <col min="13329" max="13329" width="9.625" style="1558" hidden="1" customWidth="1"/>
    <col min="13330" max="13330" width="31.625" style="1558" hidden="1" customWidth="1"/>
    <col min="13331" max="13341" width="7.375" style="1558" hidden="1" customWidth="1"/>
    <col min="13342" max="13342" width="7.625" style="1558" hidden="1" customWidth="1"/>
    <col min="13343" max="13343" width="1.625" style="1558" hidden="1" customWidth="1"/>
    <col min="13344" max="13568" width="0" style="1558" hidden="1"/>
    <col min="13569" max="13569" width="2.25" style="1558" hidden="1" customWidth="1"/>
    <col min="13570" max="13570" width="9.625" style="1558" hidden="1" customWidth="1"/>
    <col min="13571" max="13571" width="31.625" style="1558" hidden="1" customWidth="1"/>
    <col min="13572" max="13572" width="8.625" style="1558" hidden="1" customWidth="1"/>
    <col min="13573" max="13573" width="9" style="1558" hidden="1" customWidth="1"/>
    <col min="13574" max="13574" width="1.625" style="1558" hidden="1" customWidth="1"/>
    <col min="13575" max="13576" width="7.25" style="1558" hidden="1" customWidth="1"/>
    <col min="13577" max="13577" width="8.625" style="1558" hidden="1" customWidth="1"/>
    <col min="13578" max="13578" width="9.125" style="1558" hidden="1" customWidth="1"/>
    <col min="13579" max="13579" width="8.5" style="1558" hidden="1" customWidth="1"/>
    <col min="13580" max="13580" width="8.875" style="1558" hidden="1" customWidth="1"/>
    <col min="13581" max="13581" width="2.25" style="1558" hidden="1" customWidth="1"/>
    <col min="13582" max="13582" width="8.5" style="1558" hidden="1" customWidth="1"/>
    <col min="13583" max="13583" width="8.875" style="1558" hidden="1" customWidth="1"/>
    <col min="13584" max="13584" width="2.625" style="1558" hidden="1" customWidth="1"/>
    <col min="13585" max="13585" width="9.625" style="1558" hidden="1" customWidth="1"/>
    <col min="13586" max="13586" width="31.625" style="1558" hidden="1" customWidth="1"/>
    <col min="13587" max="13597" width="7.375" style="1558" hidden="1" customWidth="1"/>
    <col min="13598" max="13598" width="7.625" style="1558" hidden="1" customWidth="1"/>
    <col min="13599" max="13599" width="1.625" style="1558" hidden="1" customWidth="1"/>
    <col min="13600" max="13824" width="0" style="1558" hidden="1"/>
    <col min="13825" max="13825" width="2.25" style="1558" hidden="1" customWidth="1"/>
    <col min="13826" max="13826" width="9.625" style="1558" hidden="1" customWidth="1"/>
    <col min="13827" max="13827" width="31.625" style="1558" hidden="1" customWidth="1"/>
    <col min="13828" max="13828" width="8.625" style="1558" hidden="1" customWidth="1"/>
    <col min="13829" max="13829" width="9" style="1558" hidden="1" customWidth="1"/>
    <col min="13830" max="13830" width="1.625" style="1558" hidden="1" customWidth="1"/>
    <col min="13831" max="13832" width="7.25" style="1558" hidden="1" customWidth="1"/>
    <col min="13833" max="13833" width="8.625" style="1558" hidden="1" customWidth="1"/>
    <col min="13834" max="13834" width="9.125" style="1558" hidden="1" customWidth="1"/>
    <col min="13835" max="13835" width="8.5" style="1558" hidden="1" customWidth="1"/>
    <col min="13836" max="13836" width="8.875" style="1558" hidden="1" customWidth="1"/>
    <col min="13837" max="13837" width="2.25" style="1558" hidden="1" customWidth="1"/>
    <col min="13838" max="13838" width="8.5" style="1558" hidden="1" customWidth="1"/>
    <col min="13839" max="13839" width="8.875" style="1558" hidden="1" customWidth="1"/>
    <col min="13840" max="13840" width="2.625" style="1558" hidden="1" customWidth="1"/>
    <col min="13841" max="13841" width="9.625" style="1558" hidden="1" customWidth="1"/>
    <col min="13842" max="13842" width="31.625" style="1558" hidden="1" customWidth="1"/>
    <col min="13843" max="13853" width="7.375" style="1558" hidden="1" customWidth="1"/>
    <col min="13854" max="13854" width="7.625" style="1558" hidden="1" customWidth="1"/>
    <col min="13855" max="13855" width="1.625" style="1558" hidden="1" customWidth="1"/>
    <col min="13856" max="14080" width="0" style="1558" hidden="1"/>
    <col min="14081" max="14081" width="2.25" style="1558" hidden="1" customWidth="1"/>
    <col min="14082" max="14082" width="9.625" style="1558" hidden="1" customWidth="1"/>
    <col min="14083" max="14083" width="31.625" style="1558" hidden="1" customWidth="1"/>
    <col min="14084" max="14084" width="8.625" style="1558" hidden="1" customWidth="1"/>
    <col min="14085" max="14085" width="9" style="1558" hidden="1" customWidth="1"/>
    <col min="14086" max="14086" width="1.625" style="1558" hidden="1" customWidth="1"/>
    <col min="14087" max="14088" width="7.25" style="1558" hidden="1" customWidth="1"/>
    <col min="14089" max="14089" width="8.625" style="1558" hidden="1" customWidth="1"/>
    <col min="14090" max="14090" width="9.125" style="1558" hidden="1" customWidth="1"/>
    <col min="14091" max="14091" width="8.5" style="1558" hidden="1" customWidth="1"/>
    <col min="14092" max="14092" width="8.875" style="1558" hidden="1" customWidth="1"/>
    <col min="14093" max="14093" width="2.25" style="1558" hidden="1" customWidth="1"/>
    <col min="14094" max="14094" width="8.5" style="1558" hidden="1" customWidth="1"/>
    <col min="14095" max="14095" width="8.875" style="1558" hidden="1" customWidth="1"/>
    <col min="14096" max="14096" width="2.625" style="1558" hidden="1" customWidth="1"/>
    <col min="14097" max="14097" width="9.625" style="1558" hidden="1" customWidth="1"/>
    <col min="14098" max="14098" width="31.625" style="1558" hidden="1" customWidth="1"/>
    <col min="14099" max="14109" width="7.375" style="1558" hidden="1" customWidth="1"/>
    <col min="14110" max="14110" width="7.625" style="1558" hidden="1" customWidth="1"/>
    <col min="14111" max="14111" width="1.625" style="1558" hidden="1" customWidth="1"/>
    <col min="14112" max="14336" width="0" style="1558" hidden="1"/>
    <col min="14337" max="14337" width="2.25" style="1558" hidden="1" customWidth="1"/>
    <col min="14338" max="14338" width="9.625" style="1558" hidden="1" customWidth="1"/>
    <col min="14339" max="14339" width="31.625" style="1558" hidden="1" customWidth="1"/>
    <col min="14340" max="14340" width="8.625" style="1558" hidden="1" customWidth="1"/>
    <col min="14341" max="14341" width="9" style="1558" hidden="1" customWidth="1"/>
    <col min="14342" max="14342" width="1.625" style="1558" hidden="1" customWidth="1"/>
    <col min="14343" max="14344" width="7.25" style="1558" hidden="1" customWidth="1"/>
    <col min="14345" max="14345" width="8.625" style="1558" hidden="1" customWidth="1"/>
    <col min="14346" max="14346" width="9.125" style="1558" hidden="1" customWidth="1"/>
    <col min="14347" max="14347" width="8.5" style="1558" hidden="1" customWidth="1"/>
    <col min="14348" max="14348" width="8.875" style="1558" hidden="1" customWidth="1"/>
    <col min="14349" max="14349" width="2.25" style="1558" hidden="1" customWidth="1"/>
    <col min="14350" max="14350" width="8.5" style="1558" hidden="1" customWidth="1"/>
    <col min="14351" max="14351" width="8.875" style="1558" hidden="1" customWidth="1"/>
    <col min="14352" max="14352" width="2.625" style="1558" hidden="1" customWidth="1"/>
    <col min="14353" max="14353" width="9.625" style="1558" hidden="1" customWidth="1"/>
    <col min="14354" max="14354" width="31.625" style="1558" hidden="1" customWidth="1"/>
    <col min="14355" max="14365" width="7.375" style="1558" hidden="1" customWidth="1"/>
    <col min="14366" max="14366" width="7.625" style="1558" hidden="1" customWidth="1"/>
    <col min="14367" max="14367" width="1.625" style="1558" hidden="1" customWidth="1"/>
    <col min="14368" max="14592" width="0" style="1558" hidden="1"/>
    <col min="14593" max="14593" width="2.25" style="1558" hidden="1" customWidth="1"/>
    <col min="14594" max="14594" width="9.625" style="1558" hidden="1" customWidth="1"/>
    <col min="14595" max="14595" width="31.625" style="1558" hidden="1" customWidth="1"/>
    <col min="14596" max="14596" width="8.625" style="1558" hidden="1" customWidth="1"/>
    <col min="14597" max="14597" width="9" style="1558" hidden="1" customWidth="1"/>
    <col min="14598" max="14598" width="1.625" style="1558" hidden="1" customWidth="1"/>
    <col min="14599" max="14600" width="7.25" style="1558" hidden="1" customWidth="1"/>
    <col min="14601" max="14601" width="8.625" style="1558" hidden="1" customWidth="1"/>
    <col min="14602" max="14602" width="9.125" style="1558" hidden="1" customWidth="1"/>
    <col min="14603" max="14603" width="8.5" style="1558" hidden="1" customWidth="1"/>
    <col min="14604" max="14604" width="8.875" style="1558" hidden="1" customWidth="1"/>
    <col min="14605" max="14605" width="2.25" style="1558" hidden="1" customWidth="1"/>
    <col min="14606" max="14606" width="8.5" style="1558" hidden="1" customWidth="1"/>
    <col min="14607" max="14607" width="8.875" style="1558" hidden="1" customWidth="1"/>
    <col min="14608" max="14608" width="2.625" style="1558" hidden="1" customWidth="1"/>
    <col min="14609" max="14609" width="9.625" style="1558" hidden="1" customWidth="1"/>
    <col min="14610" max="14610" width="31.625" style="1558" hidden="1" customWidth="1"/>
    <col min="14611" max="14621" width="7.375" style="1558" hidden="1" customWidth="1"/>
    <col min="14622" max="14622" width="7.625" style="1558" hidden="1" customWidth="1"/>
    <col min="14623" max="14623" width="1.625" style="1558" hidden="1" customWidth="1"/>
    <col min="14624" max="14848" width="0" style="1558" hidden="1"/>
    <col min="14849" max="14849" width="2.25" style="1558" hidden="1" customWidth="1"/>
    <col min="14850" max="14850" width="9.625" style="1558" hidden="1" customWidth="1"/>
    <col min="14851" max="14851" width="31.625" style="1558" hidden="1" customWidth="1"/>
    <col min="14852" max="14852" width="8.625" style="1558" hidden="1" customWidth="1"/>
    <col min="14853" max="14853" width="9" style="1558" hidden="1" customWidth="1"/>
    <col min="14854" max="14854" width="1.625" style="1558" hidden="1" customWidth="1"/>
    <col min="14855" max="14856" width="7.25" style="1558" hidden="1" customWidth="1"/>
    <col min="14857" max="14857" width="8.625" style="1558" hidden="1" customWidth="1"/>
    <col min="14858" max="14858" width="9.125" style="1558" hidden="1" customWidth="1"/>
    <col min="14859" max="14859" width="8.5" style="1558" hidden="1" customWidth="1"/>
    <col min="14860" max="14860" width="8.875" style="1558" hidden="1" customWidth="1"/>
    <col min="14861" max="14861" width="2.25" style="1558" hidden="1" customWidth="1"/>
    <col min="14862" max="14862" width="8.5" style="1558" hidden="1" customWidth="1"/>
    <col min="14863" max="14863" width="8.875" style="1558" hidden="1" customWidth="1"/>
    <col min="14864" max="14864" width="2.625" style="1558" hidden="1" customWidth="1"/>
    <col min="14865" max="14865" width="9.625" style="1558" hidden="1" customWidth="1"/>
    <col min="14866" max="14866" width="31.625" style="1558" hidden="1" customWidth="1"/>
    <col min="14867" max="14877" width="7.375" style="1558" hidden="1" customWidth="1"/>
    <col min="14878" max="14878" width="7.625" style="1558" hidden="1" customWidth="1"/>
    <col min="14879" max="14879" width="1.625" style="1558" hidden="1" customWidth="1"/>
    <col min="14880" max="15104" width="0" style="1558" hidden="1"/>
    <col min="15105" max="15105" width="2.25" style="1558" hidden="1" customWidth="1"/>
    <col min="15106" max="15106" width="9.625" style="1558" hidden="1" customWidth="1"/>
    <col min="15107" max="15107" width="31.625" style="1558" hidden="1" customWidth="1"/>
    <col min="15108" max="15108" width="8.625" style="1558" hidden="1" customWidth="1"/>
    <col min="15109" max="15109" width="9" style="1558" hidden="1" customWidth="1"/>
    <col min="15110" max="15110" width="1.625" style="1558" hidden="1" customWidth="1"/>
    <col min="15111" max="15112" width="7.25" style="1558" hidden="1" customWidth="1"/>
    <col min="15113" max="15113" width="8.625" style="1558" hidden="1" customWidth="1"/>
    <col min="15114" max="15114" width="9.125" style="1558" hidden="1" customWidth="1"/>
    <col min="15115" max="15115" width="8.5" style="1558" hidden="1" customWidth="1"/>
    <col min="15116" max="15116" width="8.875" style="1558" hidden="1" customWidth="1"/>
    <col min="15117" max="15117" width="2.25" style="1558" hidden="1" customWidth="1"/>
    <col min="15118" max="15118" width="8.5" style="1558" hidden="1" customWidth="1"/>
    <col min="15119" max="15119" width="8.875" style="1558" hidden="1" customWidth="1"/>
    <col min="15120" max="15120" width="2.625" style="1558" hidden="1" customWidth="1"/>
    <col min="15121" max="15121" width="9.625" style="1558" hidden="1" customWidth="1"/>
    <col min="15122" max="15122" width="31.625" style="1558" hidden="1" customWidth="1"/>
    <col min="15123" max="15133" width="7.375" style="1558" hidden="1" customWidth="1"/>
    <col min="15134" max="15134" width="7.625" style="1558" hidden="1" customWidth="1"/>
    <col min="15135" max="15135" width="1.625" style="1558" hidden="1" customWidth="1"/>
    <col min="15136" max="15360" width="0" style="1558" hidden="1"/>
    <col min="15361" max="15361" width="2.25" style="1558" hidden="1" customWidth="1"/>
    <col min="15362" max="15362" width="9.625" style="1558" hidden="1" customWidth="1"/>
    <col min="15363" max="15363" width="31.625" style="1558" hidden="1" customWidth="1"/>
    <col min="15364" max="15364" width="8.625" style="1558" hidden="1" customWidth="1"/>
    <col min="15365" max="15365" width="9" style="1558" hidden="1" customWidth="1"/>
    <col min="15366" max="15366" width="1.625" style="1558" hidden="1" customWidth="1"/>
    <col min="15367" max="15368" width="7.25" style="1558" hidden="1" customWidth="1"/>
    <col min="15369" max="15369" width="8.625" style="1558" hidden="1" customWidth="1"/>
    <col min="15370" max="15370" width="9.125" style="1558" hidden="1" customWidth="1"/>
    <col min="15371" max="15371" width="8.5" style="1558" hidden="1" customWidth="1"/>
    <col min="15372" max="15372" width="8.875" style="1558" hidden="1" customWidth="1"/>
    <col min="15373" max="15373" width="2.25" style="1558" hidden="1" customWidth="1"/>
    <col min="15374" max="15374" width="8.5" style="1558" hidden="1" customWidth="1"/>
    <col min="15375" max="15375" width="8.875" style="1558" hidden="1" customWidth="1"/>
    <col min="15376" max="15376" width="2.625" style="1558" hidden="1" customWidth="1"/>
    <col min="15377" max="15377" width="9.625" style="1558" hidden="1" customWidth="1"/>
    <col min="15378" max="15378" width="31.625" style="1558" hidden="1" customWidth="1"/>
    <col min="15379" max="15389" width="7.375" style="1558" hidden="1" customWidth="1"/>
    <col min="15390" max="15390" width="7.625" style="1558" hidden="1" customWidth="1"/>
    <col min="15391" max="15391" width="1.625" style="1558" hidden="1" customWidth="1"/>
    <col min="15392" max="15616" width="0" style="1558" hidden="1"/>
    <col min="15617" max="15617" width="2.25" style="1558" hidden="1" customWidth="1"/>
    <col min="15618" max="15618" width="9.625" style="1558" hidden="1" customWidth="1"/>
    <col min="15619" max="15619" width="31.625" style="1558" hidden="1" customWidth="1"/>
    <col min="15620" max="15620" width="8.625" style="1558" hidden="1" customWidth="1"/>
    <col min="15621" max="15621" width="9" style="1558" hidden="1" customWidth="1"/>
    <col min="15622" max="15622" width="1.625" style="1558" hidden="1" customWidth="1"/>
    <col min="15623" max="15624" width="7.25" style="1558" hidden="1" customWidth="1"/>
    <col min="15625" max="15625" width="8.625" style="1558" hidden="1" customWidth="1"/>
    <col min="15626" max="15626" width="9.125" style="1558" hidden="1" customWidth="1"/>
    <col min="15627" max="15627" width="8.5" style="1558" hidden="1" customWidth="1"/>
    <col min="15628" max="15628" width="8.875" style="1558" hidden="1" customWidth="1"/>
    <col min="15629" max="15629" width="2.25" style="1558" hidden="1" customWidth="1"/>
    <col min="15630" max="15630" width="8.5" style="1558" hidden="1" customWidth="1"/>
    <col min="15631" max="15631" width="8.875" style="1558" hidden="1" customWidth="1"/>
    <col min="15632" max="15632" width="2.625" style="1558" hidden="1" customWidth="1"/>
    <col min="15633" max="15633" width="9.625" style="1558" hidden="1" customWidth="1"/>
    <col min="15634" max="15634" width="31.625" style="1558" hidden="1" customWidth="1"/>
    <col min="15635" max="15645" width="7.375" style="1558" hidden="1" customWidth="1"/>
    <col min="15646" max="15646" width="7.625" style="1558" hidden="1" customWidth="1"/>
    <col min="15647" max="15647" width="1.625" style="1558" hidden="1" customWidth="1"/>
    <col min="15648" max="15872" width="0" style="1558" hidden="1"/>
    <col min="15873" max="15873" width="2.25" style="1558" hidden="1" customWidth="1"/>
    <col min="15874" max="15874" width="9.625" style="1558" hidden="1" customWidth="1"/>
    <col min="15875" max="15875" width="31.625" style="1558" hidden="1" customWidth="1"/>
    <col min="15876" max="15876" width="8.625" style="1558" hidden="1" customWidth="1"/>
    <col min="15877" max="15877" width="9" style="1558" hidden="1" customWidth="1"/>
    <col min="15878" max="15878" width="1.625" style="1558" hidden="1" customWidth="1"/>
    <col min="15879" max="15880" width="7.25" style="1558" hidden="1" customWidth="1"/>
    <col min="15881" max="15881" width="8.625" style="1558" hidden="1" customWidth="1"/>
    <col min="15882" max="15882" width="9.125" style="1558" hidden="1" customWidth="1"/>
    <col min="15883" max="15883" width="8.5" style="1558" hidden="1" customWidth="1"/>
    <col min="15884" max="15884" width="8.875" style="1558" hidden="1" customWidth="1"/>
    <col min="15885" max="15885" width="2.25" style="1558" hidden="1" customWidth="1"/>
    <col min="15886" max="15886" width="8.5" style="1558" hidden="1" customWidth="1"/>
    <col min="15887" max="15887" width="8.875" style="1558" hidden="1" customWidth="1"/>
    <col min="15888" max="15888" width="2.625" style="1558" hidden="1" customWidth="1"/>
    <col min="15889" max="15889" width="9.625" style="1558" hidden="1" customWidth="1"/>
    <col min="15890" max="15890" width="31.625" style="1558" hidden="1" customWidth="1"/>
    <col min="15891" max="15901" width="7.375" style="1558" hidden="1" customWidth="1"/>
    <col min="15902" max="15902" width="7.625" style="1558" hidden="1" customWidth="1"/>
    <col min="15903" max="15903" width="1.625" style="1558" hidden="1" customWidth="1"/>
    <col min="15904" max="16128" width="0" style="1558" hidden="1"/>
    <col min="16129" max="16129" width="2.25" style="1558" hidden="1" customWidth="1"/>
    <col min="16130" max="16130" width="9.625" style="1558" hidden="1" customWidth="1"/>
    <col min="16131" max="16131" width="31.625" style="1558" hidden="1" customWidth="1"/>
    <col min="16132" max="16132" width="8.625" style="1558" hidden="1" customWidth="1"/>
    <col min="16133" max="16133" width="9" style="1558" hidden="1" customWidth="1"/>
    <col min="16134" max="16134" width="1.625" style="1558" hidden="1" customWidth="1"/>
    <col min="16135" max="16136" width="7.25" style="1558" hidden="1" customWidth="1"/>
    <col min="16137" max="16137" width="8.625" style="1558" hidden="1" customWidth="1"/>
    <col min="16138" max="16138" width="9.125" style="1558" hidden="1" customWidth="1"/>
    <col min="16139" max="16139" width="8.5" style="1558" hidden="1" customWidth="1"/>
    <col min="16140" max="16140" width="8.875" style="1558" hidden="1" customWidth="1"/>
    <col min="16141" max="16141" width="2.25" style="1558" hidden="1" customWidth="1"/>
    <col min="16142" max="16142" width="8.5" style="1558" hidden="1" customWidth="1"/>
    <col min="16143" max="16143" width="8.875" style="1558" hidden="1" customWidth="1"/>
    <col min="16144" max="16144" width="2.625" style="1558" hidden="1" customWidth="1"/>
    <col min="16145" max="16145" width="9.625" style="1558" hidden="1" customWidth="1"/>
    <col min="16146" max="16146" width="31.625" style="1558" hidden="1" customWidth="1"/>
    <col min="16147" max="16157" width="7.375" style="1558" hidden="1" customWidth="1"/>
    <col min="16158" max="16158" width="7.625" style="1558" hidden="1" customWidth="1"/>
    <col min="16159" max="16159" width="1.625" style="1558" hidden="1" customWidth="1"/>
    <col min="16160" max="16384" width="0" style="1558" hidden="1"/>
  </cols>
  <sheetData>
    <row r="1" spans="1:31" ht="6" customHeight="1"/>
    <row r="2" spans="1:31" ht="6" customHeight="1">
      <c r="B2" s="2606"/>
      <c r="C2" s="2607"/>
      <c r="D2" s="2608"/>
      <c r="E2" s="2609"/>
      <c r="F2" s="2610"/>
      <c r="G2" s="2609"/>
      <c r="H2" s="2609"/>
      <c r="I2" s="2609"/>
      <c r="J2" s="2609"/>
      <c r="K2" s="2609"/>
      <c r="L2" s="2609"/>
      <c r="M2" s="2609"/>
      <c r="N2" s="2609"/>
      <c r="O2" s="2609"/>
      <c r="P2" s="2610"/>
      <c r="Q2" s="2611"/>
      <c r="R2" s="2612"/>
      <c r="S2" s="2613"/>
      <c r="T2" s="2613"/>
      <c r="U2" s="2613"/>
      <c r="V2" s="2613"/>
      <c r="W2" s="2613"/>
      <c r="X2" s="2613"/>
      <c r="Y2" s="2613"/>
      <c r="Z2" s="2613"/>
      <c r="AA2" s="2613"/>
      <c r="AB2" s="2613"/>
      <c r="AC2" s="2613"/>
      <c r="AD2" s="2613"/>
      <c r="AE2" s="2614"/>
    </row>
    <row r="3" spans="1:31" s="1567" customFormat="1" ht="17.25">
      <c r="A3" s="2662"/>
      <c r="B3" s="2615" t="s">
        <v>262</v>
      </c>
      <c r="C3" s="2616"/>
      <c r="D3" s="2617"/>
      <c r="E3" s="2618"/>
      <c r="F3" s="2619"/>
      <c r="G3" s="2620"/>
      <c r="H3" s="2620"/>
      <c r="I3" s="2618"/>
      <c r="J3" s="2618"/>
      <c r="K3" s="2618"/>
      <c r="L3" s="2618"/>
      <c r="M3" s="2618"/>
      <c r="N3" s="2618"/>
      <c r="O3" s="2618"/>
      <c r="P3" s="2619"/>
      <c r="Q3" s="2621" t="s">
        <v>263</v>
      </c>
      <c r="R3" s="1564"/>
      <c r="S3" s="1564"/>
      <c r="T3" s="2622"/>
      <c r="U3" s="2622"/>
      <c r="V3" s="2622"/>
      <c r="W3" s="2622"/>
      <c r="X3" s="2622"/>
      <c r="Y3" s="2622"/>
      <c r="Z3" s="2622"/>
      <c r="AA3" s="2622"/>
      <c r="AB3" s="2622"/>
      <c r="AC3" s="2622"/>
      <c r="AD3" s="2622"/>
      <c r="AE3" s="2623"/>
    </row>
    <row r="4" spans="1:31" s="1567" customFormat="1" ht="17.25">
      <c r="A4" s="2662"/>
      <c r="B4" s="2615"/>
      <c r="C4" s="2616"/>
      <c r="D4" s="2617"/>
      <c r="E4" s="2618"/>
      <c r="F4" s="2619"/>
      <c r="G4" s="2620"/>
      <c r="H4" s="2620"/>
      <c r="I4" s="2618"/>
      <c r="J4" s="2618"/>
      <c r="K4" s="2618"/>
      <c r="L4" s="2618"/>
      <c r="M4" s="2618"/>
      <c r="N4" s="2618"/>
      <c r="O4" s="2618"/>
      <c r="P4" s="2619"/>
      <c r="Q4" s="2624" t="s">
        <v>264</v>
      </c>
      <c r="R4" s="2625"/>
      <c r="S4" s="2622"/>
      <c r="T4" s="2622"/>
      <c r="U4" s="2622"/>
      <c r="V4" s="2622"/>
      <c r="W4" s="2622"/>
      <c r="X4" s="2622"/>
      <c r="Y4" s="2622"/>
      <c r="Z4" s="2622"/>
      <c r="AA4" s="2622"/>
      <c r="AB4" s="2622"/>
      <c r="AC4" s="2622"/>
      <c r="AD4" s="2622"/>
      <c r="AE4" s="2623"/>
    </row>
    <row r="5" spans="1:31" s="1567" customFormat="1" ht="4.5" customHeight="1">
      <c r="A5" s="2662"/>
      <c r="B5" s="2615"/>
      <c r="C5" s="2616"/>
      <c r="D5" s="2617"/>
      <c r="E5" s="2618"/>
      <c r="F5" s="2619"/>
      <c r="G5" s="2620"/>
      <c r="H5" s="2620"/>
      <c r="I5" s="2618"/>
      <c r="J5" s="2618"/>
      <c r="K5" s="2618"/>
      <c r="L5" s="2618"/>
      <c r="M5" s="2618"/>
      <c r="N5" s="2618"/>
      <c r="O5" s="2618"/>
      <c r="P5" s="2619"/>
      <c r="Q5" s="2624"/>
      <c r="R5" s="2625"/>
      <c r="S5" s="2622"/>
      <c r="T5" s="2622"/>
      <c r="U5" s="2622"/>
      <c r="V5" s="2622"/>
      <c r="W5" s="2622"/>
      <c r="X5" s="2622"/>
      <c r="Y5" s="2622"/>
      <c r="Z5" s="2622"/>
      <c r="AA5" s="2622"/>
      <c r="AB5" s="2622"/>
      <c r="AC5" s="2622"/>
      <c r="AD5" s="2622"/>
      <c r="AE5" s="2623"/>
    </row>
    <row r="6" spans="1:31" ht="13.5" customHeight="1">
      <c r="B6" s="2932"/>
      <c r="C6" s="2933"/>
      <c r="D6" s="1700" t="s">
        <v>388</v>
      </c>
      <c r="E6" s="2023"/>
      <c r="F6" s="2626"/>
      <c r="G6" s="1701" t="s">
        <v>389</v>
      </c>
      <c r="H6" s="1702"/>
      <c r="I6" s="1569" t="s">
        <v>390</v>
      </c>
      <c r="J6" s="1570"/>
      <c r="K6" s="1569" t="s">
        <v>391</v>
      </c>
      <c r="L6" s="1570"/>
      <c r="M6" s="2618"/>
      <c r="N6" s="1569" t="s">
        <v>265</v>
      </c>
      <c r="O6" s="1570"/>
      <c r="P6" s="2626"/>
      <c r="Q6" s="1572"/>
      <c r="R6" s="1572"/>
      <c r="S6" s="1573" t="s">
        <v>266</v>
      </c>
      <c r="T6" s="1574"/>
      <c r="U6" s="1574"/>
      <c r="V6" s="1574"/>
      <c r="W6" s="1574"/>
      <c r="X6" s="1574"/>
      <c r="Y6" s="1574"/>
      <c r="Z6" s="1574"/>
      <c r="AA6" s="1574"/>
      <c r="AB6" s="1573" t="s">
        <v>267</v>
      </c>
      <c r="AC6" s="1574"/>
      <c r="AD6" s="1575"/>
      <c r="AE6" s="2627"/>
    </row>
    <row r="7" spans="1:31" ht="13.5" customHeight="1">
      <c r="B7" s="2934"/>
      <c r="C7" s="2935"/>
      <c r="D7" s="1578" t="s">
        <v>268</v>
      </c>
      <c r="E7" s="1578" t="s">
        <v>269</v>
      </c>
      <c r="F7" s="2626"/>
      <c r="G7" s="1578" t="s">
        <v>268</v>
      </c>
      <c r="H7" s="1578" t="s">
        <v>269</v>
      </c>
      <c r="I7" s="1578" t="s">
        <v>268</v>
      </c>
      <c r="J7" s="1578" t="s">
        <v>269</v>
      </c>
      <c r="K7" s="1578" t="s">
        <v>268</v>
      </c>
      <c r="L7" s="1578" t="s">
        <v>269</v>
      </c>
      <c r="M7" s="2618"/>
      <c r="N7" s="1578" t="s">
        <v>268</v>
      </c>
      <c r="O7" s="1578" t="s">
        <v>269</v>
      </c>
      <c r="P7" s="2628"/>
      <c r="Q7" s="1572"/>
      <c r="R7" s="1572" t="s">
        <v>462</v>
      </c>
      <c r="S7" s="1580" t="s">
        <v>539</v>
      </c>
      <c r="T7" s="1580" t="s">
        <v>541</v>
      </c>
      <c r="U7" s="1580" t="s">
        <v>543</v>
      </c>
      <c r="V7" s="1580" t="s">
        <v>545</v>
      </c>
      <c r="W7" s="1580" t="s">
        <v>549</v>
      </c>
      <c r="X7" s="1580" t="s">
        <v>862</v>
      </c>
      <c r="Y7" s="1580" t="s">
        <v>553</v>
      </c>
      <c r="Z7" s="1581" t="s">
        <v>861</v>
      </c>
      <c r="AA7" s="1580" t="s">
        <v>555</v>
      </c>
      <c r="AB7" s="1582" t="s">
        <v>270</v>
      </c>
      <c r="AC7" s="1580" t="s">
        <v>271</v>
      </c>
      <c r="AD7" s="1580" t="s">
        <v>272</v>
      </c>
      <c r="AE7" s="2629"/>
    </row>
    <row r="8" spans="1:31" ht="13.5" customHeight="1">
      <c r="B8" s="1703"/>
      <c r="C8" s="1584" t="s">
        <v>2002</v>
      </c>
      <c r="D8" s="1704">
        <f>1-E8</f>
        <v>1</v>
      </c>
      <c r="E8" s="2630">
        <f>メイン!Q67/メイン!O67</f>
        <v>0</v>
      </c>
      <c r="F8" s="2626"/>
      <c r="G8" s="1578"/>
      <c r="H8" s="1578"/>
      <c r="I8" s="1578"/>
      <c r="J8" s="1578"/>
      <c r="K8" s="1578"/>
      <c r="L8" s="1578"/>
      <c r="M8" s="2618"/>
      <c r="N8" s="1578"/>
      <c r="O8" s="1578"/>
      <c r="P8" s="2628"/>
      <c r="Q8" s="1572"/>
      <c r="R8" s="1572" t="s">
        <v>1139</v>
      </c>
      <c r="S8" s="1585">
        <f>メイン!$O$47/メイン!$O$67</f>
        <v>1</v>
      </c>
      <c r="T8" s="1585">
        <f>メイン!$O$48/メイン!$O$67</f>
        <v>0</v>
      </c>
      <c r="U8" s="1585">
        <f>メイン!$O$49/メイン!$O$67</f>
        <v>0</v>
      </c>
      <c r="V8" s="1585">
        <f>メイン!$O$50/メイン!$O$67</f>
        <v>0</v>
      </c>
      <c r="W8" s="1585">
        <f>メイン!$O$52/メイン!$O$67</f>
        <v>0</v>
      </c>
      <c r="X8" s="1585">
        <f>メイン!$O$53/メイン!$O$67</f>
        <v>0</v>
      </c>
      <c r="Y8" s="1585">
        <f>メイン!$O$54/メイン!$O$67</f>
        <v>0</v>
      </c>
      <c r="Z8" s="1585">
        <f>メイン!$O$51/メイン!$O$67</f>
        <v>0</v>
      </c>
      <c r="AA8" s="1585">
        <f>メイン!$O$55/メイン!$O$67</f>
        <v>0</v>
      </c>
      <c r="AB8" s="1585">
        <f>W8</f>
        <v>0</v>
      </c>
      <c r="AC8" s="1585">
        <f>X8</f>
        <v>0</v>
      </c>
      <c r="AD8" s="1585">
        <f>Y8</f>
        <v>0</v>
      </c>
      <c r="AE8" s="2629"/>
    </row>
    <row r="9" spans="1:31" s="1596" customFormat="1" ht="13.5" customHeight="1">
      <c r="A9" s="2662"/>
      <c r="B9" s="1586">
        <f t="shared" ref="B9:C35" si="0">Q9</f>
        <v>0</v>
      </c>
      <c r="C9" s="1588" t="s">
        <v>1910</v>
      </c>
      <c r="D9" s="1705"/>
      <c r="E9" s="1589"/>
      <c r="F9" s="2631"/>
      <c r="G9" s="1589">
        <f>SUM(I10,I19,I25,I30)</f>
        <v>1</v>
      </c>
      <c r="H9" s="1589">
        <f>SUM(J10,J19,J25,J30)</f>
        <v>0</v>
      </c>
      <c r="I9" s="1589"/>
      <c r="J9" s="1589"/>
      <c r="K9" s="1589"/>
      <c r="L9" s="1589"/>
      <c r="M9" s="2618"/>
      <c r="N9" s="1589"/>
      <c r="O9" s="1589"/>
      <c r="P9" s="2632"/>
      <c r="Q9" s="1591"/>
      <c r="R9" s="1588" t="s">
        <v>1141</v>
      </c>
      <c r="S9" s="1592"/>
      <c r="T9" s="1592"/>
      <c r="U9" s="1592"/>
      <c r="V9" s="1592"/>
      <c r="W9" s="1592">
        <f>1-AB9</f>
        <v>1</v>
      </c>
      <c r="X9" s="1592">
        <f>1-AC9</f>
        <v>1</v>
      </c>
      <c r="Y9" s="1592">
        <f>1-AD9</f>
        <v>1</v>
      </c>
      <c r="Z9" s="1593"/>
      <c r="AA9" s="1592"/>
      <c r="AB9" s="1594">
        <f>メイン!$E$57</f>
        <v>0</v>
      </c>
      <c r="AC9" s="1594">
        <f>メイン!$E$58</f>
        <v>0</v>
      </c>
      <c r="AD9" s="1594">
        <f>メイン!$E$59</f>
        <v>0</v>
      </c>
      <c r="AE9" s="2633"/>
    </row>
    <row r="10" spans="1:31" s="1605" customFormat="1" ht="13.5" customHeight="1">
      <c r="A10" s="2662"/>
      <c r="B10" s="1597" t="str">
        <f t="shared" si="0"/>
        <v>①</v>
      </c>
      <c r="C10" s="1598" t="str">
        <f t="shared" si="0"/>
        <v>温室効果ガス排出量削減の推進</v>
      </c>
      <c r="D10" s="1706">
        <f>IF(G$9=0,0,I10/G$9)</f>
        <v>0.4</v>
      </c>
      <c r="E10" s="1600">
        <f>IF(H$9=0,0,J10/H$9)</f>
        <v>0</v>
      </c>
      <c r="F10" s="2634"/>
      <c r="G10" s="1600">
        <f>SUM(I11:I18)</f>
        <v>0.7</v>
      </c>
      <c r="H10" s="1600">
        <f>SUM(J11:J18)</f>
        <v>0</v>
      </c>
      <c r="I10" s="1600">
        <f t="shared" ref="I10:J35" si="1">K10*N10</f>
        <v>0.4</v>
      </c>
      <c r="J10" s="1600">
        <f t="shared" si="1"/>
        <v>0</v>
      </c>
      <c r="K10" s="1600">
        <f>IF(N10=0,0,1)</f>
        <v>1</v>
      </c>
      <c r="L10" s="1600">
        <f>IF(O10=0,0,1)</f>
        <v>0</v>
      </c>
      <c r="M10" s="2618"/>
      <c r="N10" s="1600">
        <f t="shared" ref="N10:N35" si="2">(S$8*S10)+(T$8*T10)+(U$8*U10)+(V$8*V10)+(W$8*W10)+(X$8*X10)+(Y$8*Y10)+(Z$8*Z10)+(AA$8*AA10)</f>
        <v>0.4</v>
      </c>
      <c r="O10" s="1600">
        <f t="shared" ref="O10:O35" si="3">(AB$8*AB10)+(AC$8*AC10)+(AD$8*AD10)</f>
        <v>0</v>
      </c>
      <c r="P10" s="2634"/>
      <c r="Q10" s="1597" t="s">
        <v>2003</v>
      </c>
      <c r="R10" s="1598" t="s">
        <v>1878</v>
      </c>
      <c r="S10" s="2635">
        <v>0.4</v>
      </c>
      <c r="T10" s="2635">
        <v>0.4</v>
      </c>
      <c r="U10" s="2635">
        <v>0.4</v>
      </c>
      <c r="V10" s="2635">
        <v>0.4</v>
      </c>
      <c r="W10" s="2635">
        <v>0.4</v>
      </c>
      <c r="X10" s="2635">
        <v>0.4</v>
      </c>
      <c r="Y10" s="2635">
        <v>0.4</v>
      </c>
      <c r="Z10" s="2635">
        <v>0.4</v>
      </c>
      <c r="AA10" s="2635">
        <v>0.4</v>
      </c>
      <c r="AB10" s="2636">
        <v>0</v>
      </c>
      <c r="AC10" s="2635">
        <v>0</v>
      </c>
      <c r="AD10" s="2635">
        <v>0</v>
      </c>
      <c r="AE10" s="2637"/>
    </row>
    <row r="11" spans="1:31" ht="13.5" customHeight="1">
      <c r="B11" s="1621" t="str">
        <f t="shared" si="0"/>
        <v>Q1-2.1.2</v>
      </c>
      <c r="C11" s="1614" t="str">
        <f t="shared" si="0"/>
        <v>外皮性能</v>
      </c>
      <c r="D11" s="1708">
        <f>IF(G$10&gt;0,I11/G$10,0)</f>
        <v>7.1428571428571438E-2</v>
      </c>
      <c r="E11" s="1616">
        <f t="shared" ref="E11:E18" si="4">IF(H$10&gt;0,J11/H$10,0)</f>
        <v>0</v>
      </c>
      <c r="F11" s="2626"/>
      <c r="G11" s="1616"/>
      <c r="H11" s="1616"/>
      <c r="I11" s="1616">
        <f t="shared" si="1"/>
        <v>0.05</v>
      </c>
      <c r="J11" s="1616">
        <f t="shared" si="1"/>
        <v>0</v>
      </c>
      <c r="K11" s="1616">
        <f>IF(スコア表示!W24=0,0,1)</f>
        <v>1</v>
      </c>
      <c r="L11" s="1616">
        <f>IF(スコア表示!AA24=0,0,1)</f>
        <v>1</v>
      </c>
      <c r="M11" s="2618"/>
      <c r="N11" s="1616">
        <f t="shared" si="2"/>
        <v>0.05</v>
      </c>
      <c r="O11" s="1616">
        <f t="shared" si="3"/>
        <v>0</v>
      </c>
      <c r="P11" s="2626"/>
      <c r="Q11" s="1647" t="s">
        <v>2034</v>
      </c>
      <c r="R11" s="1614" t="s">
        <v>288</v>
      </c>
      <c r="S11" s="1623">
        <v>0.05</v>
      </c>
      <c r="T11" s="1623">
        <v>0.05</v>
      </c>
      <c r="U11" s="1623">
        <v>0.08</v>
      </c>
      <c r="V11" s="1623">
        <v>0.08</v>
      </c>
      <c r="W11" s="1623">
        <v>0.05</v>
      </c>
      <c r="X11" s="1623">
        <v>0.05</v>
      </c>
      <c r="Y11" s="1623">
        <v>0.05</v>
      </c>
      <c r="Z11" s="1714">
        <v>0.15</v>
      </c>
      <c r="AA11" s="1623">
        <v>0.1</v>
      </c>
      <c r="AB11" s="1625">
        <v>0.4</v>
      </c>
      <c r="AC11" s="1623">
        <v>0.4</v>
      </c>
      <c r="AD11" s="1623">
        <v>0.4</v>
      </c>
      <c r="AE11" s="2638"/>
    </row>
    <row r="12" spans="1:31" ht="13.5" customHeight="1">
      <c r="B12" s="1621" t="str">
        <f t="shared" si="0"/>
        <v>Q1-3.1.3</v>
      </c>
      <c r="C12" s="1614" t="str">
        <f t="shared" si="0"/>
        <v>昼光利用設備</v>
      </c>
      <c r="D12" s="1708">
        <f t="shared" ref="D12:D18" si="5">IF(G$10&gt;0,I12/G$10,0)</f>
        <v>7.1428571428571438E-2</v>
      </c>
      <c r="E12" s="1616">
        <f t="shared" si="4"/>
        <v>0</v>
      </c>
      <c r="F12" s="2626"/>
      <c r="G12" s="1616"/>
      <c r="H12" s="1616"/>
      <c r="I12" s="1616">
        <f t="shared" si="1"/>
        <v>0.05</v>
      </c>
      <c r="J12" s="1616">
        <f t="shared" si="1"/>
        <v>0</v>
      </c>
      <c r="K12" s="1616">
        <f>IF(スコア表示!W38=0,0,1)</f>
        <v>1</v>
      </c>
      <c r="L12" s="1616">
        <f>IF(スコア表示!AA38=0,0,1)</f>
        <v>1</v>
      </c>
      <c r="M12" s="2618"/>
      <c r="N12" s="1616">
        <f t="shared" si="2"/>
        <v>0.05</v>
      </c>
      <c r="O12" s="1616">
        <f t="shared" si="3"/>
        <v>0</v>
      </c>
      <c r="P12" s="2626"/>
      <c r="Q12" s="1647" t="s">
        <v>2004</v>
      </c>
      <c r="R12" s="1614" t="s">
        <v>303</v>
      </c>
      <c r="S12" s="1623">
        <v>0.05</v>
      </c>
      <c r="T12" s="1623">
        <v>0.05</v>
      </c>
      <c r="U12" s="1623">
        <v>7.0000000000000007E-2</v>
      </c>
      <c r="V12" s="1623">
        <v>7.0000000000000007E-2</v>
      </c>
      <c r="W12" s="1623">
        <v>0.05</v>
      </c>
      <c r="X12" s="1623">
        <v>0.05</v>
      </c>
      <c r="Y12" s="1623">
        <v>0.05</v>
      </c>
      <c r="Z12" s="1714"/>
      <c r="AA12" s="1623">
        <v>0.1</v>
      </c>
      <c r="AB12" s="1625">
        <v>0.3</v>
      </c>
      <c r="AC12" s="1623">
        <v>0.3</v>
      </c>
      <c r="AD12" s="1623">
        <v>0.3</v>
      </c>
      <c r="AE12" s="2639"/>
    </row>
    <row r="13" spans="1:31" ht="13.5" customHeight="1">
      <c r="B13" s="1621" t="str">
        <f t="shared" si="0"/>
        <v>Q1-3.2.1</v>
      </c>
      <c r="C13" s="1614" t="str">
        <f t="shared" si="0"/>
        <v>昼光制御</v>
      </c>
      <c r="D13" s="1708">
        <f t="shared" si="5"/>
        <v>7.1428571428571438E-2</v>
      </c>
      <c r="E13" s="1616">
        <f t="shared" si="4"/>
        <v>0</v>
      </c>
      <c r="F13" s="2626"/>
      <c r="G13" s="1616"/>
      <c r="H13" s="1616"/>
      <c r="I13" s="1616">
        <f t="shared" si="1"/>
        <v>0.05</v>
      </c>
      <c r="J13" s="1616">
        <f t="shared" si="1"/>
        <v>0</v>
      </c>
      <c r="K13" s="1616">
        <f>IF(スコア表示!W41=0,0,1)</f>
        <v>1</v>
      </c>
      <c r="L13" s="1616">
        <f>IF(スコア表示!AA41=0,0,1)</f>
        <v>1</v>
      </c>
      <c r="M13" s="2618"/>
      <c r="N13" s="1616">
        <f t="shared" si="2"/>
        <v>0.05</v>
      </c>
      <c r="O13" s="1616">
        <f t="shared" si="3"/>
        <v>0</v>
      </c>
      <c r="P13" s="2626"/>
      <c r="Q13" s="1647" t="s">
        <v>2035</v>
      </c>
      <c r="R13" s="1614" t="s">
        <v>306</v>
      </c>
      <c r="S13" s="1623">
        <v>0.05</v>
      </c>
      <c r="T13" s="1623">
        <v>0.05</v>
      </c>
      <c r="U13" s="1623"/>
      <c r="V13" s="1623"/>
      <c r="W13" s="1623">
        <v>0.05</v>
      </c>
      <c r="X13" s="1623">
        <v>0.05</v>
      </c>
      <c r="Y13" s="1623">
        <v>0.05</v>
      </c>
      <c r="Z13" s="1714"/>
      <c r="AA13" s="1623">
        <v>0.1</v>
      </c>
      <c r="AB13" s="1625">
        <v>0.3</v>
      </c>
      <c r="AC13" s="1623">
        <v>0.3</v>
      </c>
      <c r="AD13" s="1623">
        <v>0.3</v>
      </c>
      <c r="AE13" s="2638"/>
    </row>
    <row r="14" spans="1:31" s="1605" customFormat="1" ht="13.5" customHeight="1">
      <c r="A14" s="2662"/>
      <c r="B14" s="1673" t="str">
        <f t="shared" si="0"/>
        <v>LR1-1</v>
      </c>
      <c r="C14" s="1641" t="str">
        <f t="shared" si="0"/>
        <v>建物外皮の熱負荷抑制</v>
      </c>
      <c r="D14" s="1707">
        <f t="shared" si="5"/>
        <v>0.2142857142857143</v>
      </c>
      <c r="E14" s="1707">
        <f t="shared" si="4"/>
        <v>0</v>
      </c>
      <c r="F14" s="2640"/>
      <c r="G14" s="1609"/>
      <c r="H14" s="1609"/>
      <c r="I14" s="1609">
        <f t="shared" si="1"/>
        <v>0.15</v>
      </c>
      <c r="J14" s="1609">
        <f t="shared" si="1"/>
        <v>0</v>
      </c>
      <c r="K14" s="1609">
        <f>IF(スコア表示!W117=0,0,1)</f>
        <v>1</v>
      </c>
      <c r="L14" s="1609">
        <f>IF(スコア表示!AA117=0,0,1)</f>
        <v>0</v>
      </c>
      <c r="M14" s="2618"/>
      <c r="N14" s="1609">
        <f t="shared" si="2"/>
        <v>0.15</v>
      </c>
      <c r="O14" s="1609">
        <f t="shared" si="3"/>
        <v>0</v>
      </c>
      <c r="P14" s="2640"/>
      <c r="Q14" s="1641" t="s">
        <v>2005</v>
      </c>
      <c r="R14" s="1641" t="s">
        <v>2036</v>
      </c>
      <c r="S14" s="1675">
        <v>0.15</v>
      </c>
      <c r="T14" s="1675">
        <v>0.15</v>
      </c>
      <c r="U14" s="1675">
        <v>0.15</v>
      </c>
      <c r="V14" s="1675">
        <v>0.15</v>
      </c>
      <c r="W14" s="1675">
        <v>0.15</v>
      </c>
      <c r="X14" s="1675">
        <v>0.15</v>
      </c>
      <c r="Y14" s="1675">
        <v>0.15</v>
      </c>
      <c r="Z14" s="2641">
        <v>0.15</v>
      </c>
      <c r="AA14" s="1675"/>
      <c r="AB14" s="2642"/>
      <c r="AC14" s="2643"/>
      <c r="AD14" s="2643"/>
      <c r="AE14" s="2644"/>
    </row>
    <row r="15" spans="1:31" s="1605" customFormat="1" ht="13.5" customHeight="1">
      <c r="A15" s="2662"/>
      <c r="B15" s="1641" t="str">
        <f t="shared" si="0"/>
        <v>LR1-2</v>
      </c>
      <c r="C15" s="1641" t="str">
        <f t="shared" si="0"/>
        <v>自然エネルギー利用</v>
      </c>
      <c r="D15" s="1707">
        <f t="shared" si="5"/>
        <v>0.28571428571428575</v>
      </c>
      <c r="E15" s="1707">
        <f t="shared" si="4"/>
        <v>0</v>
      </c>
      <c r="F15" s="2640"/>
      <c r="G15" s="1609"/>
      <c r="H15" s="1609"/>
      <c r="I15" s="1609">
        <f t="shared" si="1"/>
        <v>0.2</v>
      </c>
      <c r="J15" s="1609">
        <f t="shared" si="1"/>
        <v>0</v>
      </c>
      <c r="K15" s="1609">
        <f>IF(スコア表示!W118=0,0,1)</f>
        <v>1</v>
      </c>
      <c r="L15" s="1609">
        <f>IF(スコア表示!AA118=0,0,1)</f>
        <v>0</v>
      </c>
      <c r="M15" s="2618"/>
      <c r="N15" s="1609">
        <f t="shared" si="2"/>
        <v>0.2</v>
      </c>
      <c r="O15" s="1609">
        <f t="shared" si="3"/>
        <v>0</v>
      </c>
      <c r="P15" s="2640"/>
      <c r="Q15" s="1641" t="s">
        <v>2006</v>
      </c>
      <c r="R15" s="1641" t="s">
        <v>1811</v>
      </c>
      <c r="S15" s="1675">
        <v>0.2</v>
      </c>
      <c r="T15" s="1675">
        <v>0.2</v>
      </c>
      <c r="U15" s="1675">
        <v>0.2</v>
      </c>
      <c r="V15" s="1675">
        <v>0.2</v>
      </c>
      <c r="W15" s="1675">
        <v>0.2</v>
      </c>
      <c r="X15" s="1675">
        <v>0.2</v>
      </c>
      <c r="Y15" s="1675">
        <v>0.2</v>
      </c>
      <c r="Z15" s="2641">
        <v>0.2</v>
      </c>
      <c r="AA15" s="1675">
        <v>0.2</v>
      </c>
      <c r="AB15" s="2642"/>
      <c r="AC15" s="2643"/>
      <c r="AD15" s="2643"/>
      <c r="AE15" s="2644"/>
    </row>
    <row r="16" spans="1:31" s="1605" customFormat="1" ht="13.5" customHeight="1">
      <c r="A16" s="2662"/>
      <c r="B16" s="1641" t="str">
        <f t="shared" si="0"/>
        <v>LR1-3</v>
      </c>
      <c r="C16" s="1641" t="str">
        <f t="shared" si="0"/>
        <v>設備システムの高効率化</v>
      </c>
      <c r="D16" s="1707">
        <f t="shared" si="5"/>
        <v>0</v>
      </c>
      <c r="E16" s="1707">
        <f t="shared" si="4"/>
        <v>0</v>
      </c>
      <c r="F16" s="2640"/>
      <c r="G16" s="1724"/>
      <c r="H16" s="1724"/>
      <c r="I16" s="1609">
        <f t="shared" si="1"/>
        <v>0</v>
      </c>
      <c r="J16" s="1609">
        <f t="shared" si="1"/>
        <v>0</v>
      </c>
      <c r="K16" s="1724">
        <f>IF(スコア表示!W123=0,0,1)</f>
        <v>0</v>
      </c>
      <c r="L16" s="1724">
        <f>IF(スコア表示!AA123=0,0,1)</f>
        <v>0</v>
      </c>
      <c r="M16" s="2618"/>
      <c r="N16" s="1609">
        <f t="shared" si="2"/>
        <v>0.3</v>
      </c>
      <c r="O16" s="1609">
        <f t="shared" si="3"/>
        <v>0</v>
      </c>
      <c r="P16" s="2640"/>
      <c r="Q16" s="1641" t="s">
        <v>2007</v>
      </c>
      <c r="R16" s="1641" t="s">
        <v>1814</v>
      </c>
      <c r="S16" s="1675">
        <v>0.3</v>
      </c>
      <c r="T16" s="1675">
        <v>0.3</v>
      </c>
      <c r="U16" s="1675">
        <v>0.3</v>
      </c>
      <c r="V16" s="1675">
        <v>0.3</v>
      </c>
      <c r="W16" s="1675">
        <v>0.3</v>
      </c>
      <c r="X16" s="1675">
        <v>0.3</v>
      </c>
      <c r="Y16" s="1675">
        <v>0.3</v>
      </c>
      <c r="Z16" s="2641">
        <v>0.3</v>
      </c>
      <c r="AA16" s="1675">
        <v>0.3</v>
      </c>
      <c r="AB16" s="2642"/>
      <c r="AC16" s="2643"/>
      <c r="AD16" s="2643"/>
      <c r="AE16" s="2644"/>
    </row>
    <row r="17" spans="1:31" ht="13.5" customHeight="1">
      <c r="B17" s="1621" t="str">
        <f t="shared" si="0"/>
        <v>LR2-2.1</v>
      </c>
      <c r="C17" s="1647" t="str">
        <f t="shared" si="0"/>
        <v>材料使用量の削減</v>
      </c>
      <c r="D17" s="1713">
        <f t="shared" si="5"/>
        <v>0.14285714285714288</v>
      </c>
      <c r="E17" s="1713">
        <f t="shared" si="4"/>
        <v>0</v>
      </c>
      <c r="F17" s="2626"/>
      <c r="G17" s="1616"/>
      <c r="H17" s="1616"/>
      <c r="I17" s="1616">
        <f t="shared" si="1"/>
        <v>0.1</v>
      </c>
      <c r="J17" s="1616">
        <f t="shared" si="1"/>
        <v>0</v>
      </c>
      <c r="K17" s="1616">
        <f>IF(スコア表示!W142=0,0,1)</f>
        <v>1</v>
      </c>
      <c r="L17" s="1616">
        <f>IF(スコア表示!AA142=0,0,1)</f>
        <v>0</v>
      </c>
      <c r="M17" s="2618"/>
      <c r="N17" s="1616">
        <f t="shared" si="2"/>
        <v>0.1</v>
      </c>
      <c r="O17" s="1616">
        <f t="shared" si="3"/>
        <v>0</v>
      </c>
      <c r="P17" s="2626"/>
      <c r="Q17" s="1647" t="s">
        <v>1888</v>
      </c>
      <c r="R17" s="1647" t="s">
        <v>1911</v>
      </c>
      <c r="S17" s="2645">
        <v>0.1</v>
      </c>
      <c r="T17" s="2645">
        <v>0.1</v>
      </c>
      <c r="U17" s="2645">
        <v>0.1</v>
      </c>
      <c r="V17" s="2645">
        <v>0.1</v>
      </c>
      <c r="W17" s="2645">
        <v>0.1</v>
      </c>
      <c r="X17" s="2645">
        <v>0.1</v>
      </c>
      <c r="Y17" s="2645">
        <v>0.1</v>
      </c>
      <c r="Z17" s="2646">
        <v>0.1</v>
      </c>
      <c r="AA17" s="2645">
        <v>0.1</v>
      </c>
      <c r="AB17" s="2647"/>
      <c r="AC17" s="2648"/>
      <c r="AD17" s="2648"/>
      <c r="AE17" s="2614"/>
    </row>
    <row r="18" spans="1:31" ht="13.5" customHeight="1">
      <c r="B18" s="1613" t="str">
        <f t="shared" si="0"/>
        <v>LR3-2.3.3</v>
      </c>
      <c r="C18" s="1647" t="str">
        <f t="shared" si="0"/>
        <v>交通負荷抑制</v>
      </c>
      <c r="D18" s="1713">
        <f t="shared" si="5"/>
        <v>0.14285714285714288</v>
      </c>
      <c r="E18" s="1713">
        <f t="shared" si="4"/>
        <v>0</v>
      </c>
      <c r="F18" s="2649"/>
      <c r="G18" s="1616"/>
      <c r="H18" s="1616"/>
      <c r="I18" s="1616">
        <f t="shared" si="1"/>
        <v>0.1</v>
      </c>
      <c r="J18" s="1616">
        <f t="shared" si="1"/>
        <v>0</v>
      </c>
      <c r="K18" s="1616">
        <f>IF(スコア表示!W162=0,0,1)</f>
        <v>1</v>
      </c>
      <c r="L18" s="1616">
        <f>IF(スコア表示!AA162=0,0,1)</f>
        <v>0</v>
      </c>
      <c r="M18" s="2618"/>
      <c r="N18" s="1616">
        <f t="shared" si="2"/>
        <v>0.1</v>
      </c>
      <c r="O18" s="1616">
        <f t="shared" si="3"/>
        <v>0</v>
      </c>
      <c r="P18" s="2626"/>
      <c r="Q18" s="1630" t="s">
        <v>2008</v>
      </c>
      <c r="R18" s="1647" t="s">
        <v>1912</v>
      </c>
      <c r="S18" s="2645">
        <v>0.1</v>
      </c>
      <c r="T18" s="2645">
        <v>0.1</v>
      </c>
      <c r="U18" s="2645">
        <v>0.1</v>
      </c>
      <c r="V18" s="2645">
        <v>0.1</v>
      </c>
      <c r="W18" s="2645">
        <v>0.1</v>
      </c>
      <c r="X18" s="2645">
        <v>0.1</v>
      </c>
      <c r="Y18" s="2645">
        <v>0.1</v>
      </c>
      <c r="Z18" s="2645">
        <v>0.1</v>
      </c>
      <c r="AA18" s="2645">
        <v>0.1</v>
      </c>
      <c r="AB18" s="2650"/>
      <c r="AC18" s="2645"/>
      <c r="AD18" s="2645"/>
      <c r="AE18" s="2614"/>
    </row>
    <row r="19" spans="1:31" s="1605" customFormat="1" ht="13.5" customHeight="1">
      <c r="A19" s="2662"/>
      <c r="B19" s="1597" t="str">
        <f t="shared" si="0"/>
        <v>②</v>
      </c>
      <c r="C19" s="1598" t="str">
        <f t="shared" si="0"/>
        <v>安全安心で暮らしやすい社会の実現</v>
      </c>
      <c r="D19" s="1706">
        <f>IF(G$9=0,0,I19/G$9)</f>
        <v>0.2</v>
      </c>
      <c r="E19" s="1600">
        <f>IF(H$9=0,0,J19/H$9)</f>
        <v>0</v>
      </c>
      <c r="F19" s="2634"/>
      <c r="G19" s="1600">
        <f>SUM(I20:I24)</f>
        <v>1</v>
      </c>
      <c r="H19" s="1600">
        <f>SUM(J20:J24)</f>
        <v>0</v>
      </c>
      <c r="I19" s="1600">
        <f t="shared" si="1"/>
        <v>0.2</v>
      </c>
      <c r="J19" s="1600">
        <f t="shared" si="1"/>
        <v>0</v>
      </c>
      <c r="K19" s="1600">
        <f>IF(N19=0,0,1)</f>
        <v>1</v>
      </c>
      <c r="L19" s="1600">
        <f>IF(O19=0,0,1)</f>
        <v>0</v>
      </c>
      <c r="M19" s="2618"/>
      <c r="N19" s="1600">
        <f t="shared" si="2"/>
        <v>0.2</v>
      </c>
      <c r="O19" s="1600">
        <f t="shared" si="3"/>
        <v>0</v>
      </c>
      <c r="P19" s="2634"/>
      <c r="Q19" s="1597" t="s">
        <v>2009</v>
      </c>
      <c r="R19" s="1598" t="s">
        <v>1891</v>
      </c>
      <c r="S19" s="2635">
        <v>0.2</v>
      </c>
      <c r="T19" s="2635">
        <v>0.2</v>
      </c>
      <c r="U19" s="2635">
        <v>0.2</v>
      </c>
      <c r="V19" s="2635">
        <v>0.2</v>
      </c>
      <c r="W19" s="2635">
        <v>0.2</v>
      </c>
      <c r="X19" s="2635">
        <v>0.2</v>
      </c>
      <c r="Y19" s="2635">
        <v>0.2</v>
      </c>
      <c r="Z19" s="2635">
        <v>0.2</v>
      </c>
      <c r="AA19" s="2635">
        <v>0.2</v>
      </c>
      <c r="AB19" s="2636">
        <v>0</v>
      </c>
      <c r="AC19" s="2635">
        <v>0</v>
      </c>
      <c r="AD19" s="2635">
        <v>0</v>
      </c>
      <c r="AE19" s="2637"/>
    </row>
    <row r="20" spans="1:31" ht="13.5" customHeight="1">
      <c r="B20" s="1621" t="str">
        <f t="shared" si="0"/>
        <v>Q2-1.1.3</v>
      </c>
      <c r="C20" s="1614" t="str">
        <f t="shared" si="0"/>
        <v>バリアフリー計画</v>
      </c>
      <c r="D20" s="1708">
        <f t="shared" ref="D20:E24" si="6">IF(G$19&gt;0,I20/G$19,0)</f>
        <v>0.25</v>
      </c>
      <c r="E20" s="1616">
        <f t="shared" si="6"/>
        <v>0</v>
      </c>
      <c r="F20" s="2626"/>
      <c r="G20" s="1616"/>
      <c r="H20" s="1616"/>
      <c r="I20" s="1616">
        <f t="shared" si="1"/>
        <v>0.25</v>
      </c>
      <c r="J20" s="1616">
        <f t="shared" si="1"/>
        <v>0</v>
      </c>
      <c r="K20" s="1616">
        <f>IF(スコア表示!W65=0,0,1)</f>
        <v>1</v>
      </c>
      <c r="L20" s="1616">
        <f>IF(スコア表示!AA65=0,0,1)</f>
        <v>0</v>
      </c>
      <c r="M20" s="2618"/>
      <c r="N20" s="1616">
        <f t="shared" si="2"/>
        <v>0.25</v>
      </c>
      <c r="O20" s="1616">
        <f t="shared" si="3"/>
        <v>0</v>
      </c>
      <c r="P20" s="2651"/>
      <c r="Q20" s="1647" t="s">
        <v>2010</v>
      </c>
      <c r="R20" s="1614" t="s">
        <v>323</v>
      </c>
      <c r="S20" s="2645">
        <v>0.25</v>
      </c>
      <c r="T20" s="1618">
        <v>0.25</v>
      </c>
      <c r="U20" s="1618">
        <v>0.25</v>
      </c>
      <c r="V20" s="1618">
        <v>0.25</v>
      </c>
      <c r="W20" s="1618">
        <v>0.25</v>
      </c>
      <c r="X20" s="1618">
        <v>0.25</v>
      </c>
      <c r="Y20" s="1618">
        <v>0.25</v>
      </c>
      <c r="Z20" s="1631">
        <v>0.25</v>
      </c>
      <c r="AA20" s="1618">
        <v>0.25</v>
      </c>
      <c r="AB20" s="1619"/>
      <c r="AC20" s="1618"/>
      <c r="AD20" s="1618"/>
      <c r="AE20" s="2638"/>
    </row>
    <row r="21" spans="1:31" ht="13.5" customHeight="1">
      <c r="B21" s="1621" t="str">
        <f t="shared" si="0"/>
        <v>Q2-2.1.1</v>
      </c>
      <c r="C21" s="1614" t="str">
        <f t="shared" si="0"/>
        <v>耐震性</v>
      </c>
      <c r="D21" s="1708">
        <f t="shared" si="6"/>
        <v>0.25</v>
      </c>
      <c r="E21" s="1708">
        <f t="shared" si="6"/>
        <v>0</v>
      </c>
      <c r="F21" s="2626"/>
      <c r="G21" s="1616"/>
      <c r="H21" s="1616"/>
      <c r="I21" s="1616">
        <f t="shared" si="1"/>
        <v>0.25</v>
      </c>
      <c r="J21" s="1616">
        <f t="shared" si="1"/>
        <v>0</v>
      </c>
      <c r="K21" s="1616">
        <f>IF(スコア表示!W76=0,0,1)</f>
        <v>1</v>
      </c>
      <c r="L21" s="1616">
        <f>IF(スコア表示!AA76=0,0,1)</f>
        <v>0</v>
      </c>
      <c r="M21" s="2618"/>
      <c r="N21" s="1616">
        <f t="shared" si="2"/>
        <v>0.25</v>
      </c>
      <c r="O21" s="1616">
        <f t="shared" si="3"/>
        <v>0</v>
      </c>
      <c r="P21" s="2651"/>
      <c r="Q21" s="1647" t="s">
        <v>2011</v>
      </c>
      <c r="R21" s="1614" t="s">
        <v>335</v>
      </c>
      <c r="S21" s="2645">
        <v>0.25</v>
      </c>
      <c r="T21" s="2645">
        <v>0.25</v>
      </c>
      <c r="U21" s="2645">
        <v>0.25</v>
      </c>
      <c r="V21" s="2645">
        <v>0.25</v>
      </c>
      <c r="W21" s="2645">
        <v>0.25</v>
      </c>
      <c r="X21" s="2645">
        <v>0.25</v>
      </c>
      <c r="Y21" s="2645">
        <v>0.25</v>
      </c>
      <c r="Z21" s="2646">
        <v>0.25</v>
      </c>
      <c r="AA21" s="2645">
        <v>0.25</v>
      </c>
      <c r="AB21" s="2650"/>
      <c r="AC21" s="2645"/>
      <c r="AD21" s="2645"/>
      <c r="AE21" s="2638"/>
    </row>
    <row r="22" spans="1:31" s="1605" customFormat="1" ht="13.5" customHeight="1">
      <c r="A22" s="2662"/>
      <c r="B22" s="1627" t="str">
        <f t="shared" si="0"/>
        <v>Q3-1</v>
      </c>
      <c r="C22" s="1628" t="str">
        <f t="shared" si="0"/>
        <v>生物環境の保全</v>
      </c>
      <c r="D22" s="1707">
        <f t="shared" si="6"/>
        <v>0.15</v>
      </c>
      <c r="E22" s="1707">
        <f t="shared" si="6"/>
        <v>0</v>
      </c>
      <c r="F22" s="2634"/>
      <c r="G22" s="1609"/>
      <c r="H22" s="1609"/>
      <c r="I22" s="1609">
        <f t="shared" si="1"/>
        <v>0.15</v>
      </c>
      <c r="J22" s="1609">
        <f t="shared" si="1"/>
        <v>0</v>
      </c>
      <c r="K22" s="1609">
        <f>IF(スコア表示!W109=0,0,1)</f>
        <v>1</v>
      </c>
      <c r="L22" s="1609">
        <f>IF(スコア表示!AA109=0,0,1)</f>
        <v>0</v>
      </c>
      <c r="M22" s="2618"/>
      <c r="N22" s="1609">
        <f t="shared" si="2"/>
        <v>0.15</v>
      </c>
      <c r="O22" s="1609">
        <f t="shared" si="3"/>
        <v>0</v>
      </c>
      <c r="P22" s="2640"/>
      <c r="Q22" s="1641" t="s">
        <v>2012</v>
      </c>
      <c r="R22" s="1628" t="s">
        <v>2013</v>
      </c>
      <c r="S22" s="2643">
        <v>0.15</v>
      </c>
      <c r="T22" s="2643">
        <v>0.15</v>
      </c>
      <c r="U22" s="2643">
        <v>0.15</v>
      </c>
      <c r="V22" s="2643">
        <v>0.15</v>
      </c>
      <c r="W22" s="2643">
        <v>0.15</v>
      </c>
      <c r="X22" s="2643">
        <v>0.15</v>
      </c>
      <c r="Y22" s="2643">
        <v>0.15</v>
      </c>
      <c r="Z22" s="2652">
        <v>0.15</v>
      </c>
      <c r="AA22" s="2643">
        <v>0.15</v>
      </c>
      <c r="AB22" s="2642"/>
      <c r="AC22" s="2643"/>
      <c r="AD22" s="2643"/>
      <c r="AE22" s="2644"/>
    </row>
    <row r="23" spans="1:31" s="1605" customFormat="1" ht="13.5" customHeight="1">
      <c r="A23" s="2662"/>
      <c r="B23" s="1627" t="str">
        <f t="shared" si="0"/>
        <v>Q3-3</v>
      </c>
      <c r="C23" s="1628" t="str">
        <f t="shared" si="0"/>
        <v>地域性・アメニティへの配慮</v>
      </c>
      <c r="D23" s="1707">
        <f t="shared" si="6"/>
        <v>0.2</v>
      </c>
      <c r="E23" s="1707">
        <f t="shared" si="6"/>
        <v>0</v>
      </c>
      <c r="F23" s="2634"/>
      <c r="G23" s="1725"/>
      <c r="H23" s="1725"/>
      <c r="I23" s="1609">
        <f t="shared" si="1"/>
        <v>0.2</v>
      </c>
      <c r="J23" s="1609">
        <f t="shared" si="1"/>
        <v>0</v>
      </c>
      <c r="K23" s="1725">
        <f>IF(スコア表示!W111=0,0,1)</f>
        <v>1</v>
      </c>
      <c r="L23" s="1725">
        <f>IF(スコア表示!AA111=0,0,1)</f>
        <v>0</v>
      </c>
      <c r="M23" s="2618"/>
      <c r="N23" s="1609">
        <f t="shared" si="2"/>
        <v>0.2</v>
      </c>
      <c r="O23" s="1609">
        <f t="shared" si="3"/>
        <v>0</v>
      </c>
      <c r="P23" s="2640"/>
      <c r="Q23" s="1641" t="s">
        <v>2014</v>
      </c>
      <c r="R23" s="1628" t="s">
        <v>1915</v>
      </c>
      <c r="S23" s="2643">
        <v>0.2</v>
      </c>
      <c r="T23" s="2643">
        <v>0.2</v>
      </c>
      <c r="U23" s="2643">
        <v>0.2</v>
      </c>
      <c r="V23" s="2643">
        <v>0.2</v>
      </c>
      <c r="W23" s="2643">
        <v>0.2</v>
      </c>
      <c r="X23" s="2643">
        <v>0.2</v>
      </c>
      <c r="Y23" s="2643">
        <v>0.2</v>
      </c>
      <c r="Z23" s="2652">
        <v>0.2</v>
      </c>
      <c r="AA23" s="2643">
        <v>0.2</v>
      </c>
      <c r="AB23" s="2642"/>
      <c r="AC23" s="2643"/>
      <c r="AD23" s="2643"/>
      <c r="AE23" s="2644"/>
    </row>
    <row r="24" spans="1:31" ht="13.5" customHeight="1">
      <c r="B24" s="1617" t="str">
        <f t="shared" si="0"/>
        <v>LR3-2.2</v>
      </c>
      <c r="C24" s="1647" t="str">
        <f t="shared" si="0"/>
        <v>温熱環境悪化の改善</v>
      </c>
      <c r="D24" s="1713">
        <f t="shared" si="6"/>
        <v>0.15</v>
      </c>
      <c r="E24" s="1713">
        <f t="shared" si="6"/>
        <v>0</v>
      </c>
      <c r="F24" s="2626"/>
      <c r="G24" s="1616"/>
      <c r="H24" s="1616"/>
      <c r="I24" s="1616">
        <f t="shared" si="1"/>
        <v>0.15</v>
      </c>
      <c r="J24" s="1616">
        <f t="shared" si="1"/>
        <v>0</v>
      </c>
      <c r="K24" s="1616">
        <f>IF(スコア表示!W158=0,0,1)</f>
        <v>1</v>
      </c>
      <c r="L24" s="1616">
        <f>IF(スコア表示!AA158=0,0,1)</f>
        <v>0</v>
      </c>
      <c r="M24" s="2618"/>
      <c r="N24" s="1616">
        <f t="shared" si="2"/>
        <v>0.15</v>
      </c>
      <c r="O24" s="1616">
        <f t="shared" si="3"/>
        <v>0</v>
      </c>
      <c r="P24" s="2626"/>
      <c r="Q24" s="2102" t="s">
        <v>2015</v>
      </c>
      <c r="R24" s="1647" t="s">
        <v>1916</v>
      </c>
      <c r="S24" s="2653">
        <v>0.15</v>
      </c>
      <c r="T24" s="2653">
        <v>0.15</v>
      </c>
      <c r="U24" s="2653">
        <v>0.15</v>
      </c>
      <c r="V24" s="2653">
        <v>0.15</v>
      </c>
      <c r="W24" s="2653">
        <v>0.15</v>
      </c>
      <c r="X24" s="2653">
        <v>0.15</v>
      </c>
      <c r="Y24" s="2653">
        <v>0.15</v>
      </c>
      <c r="Z24" s="2654">
        <v>0.15</v>
      </c>
      <c r="AA24" s="2653">
        <v>0.15</v>
      </c>
      <c r="AB24" s="2655"/>
      <c r="AC24" s="2653"/>
      <c r="AD24" s="2653"/>
      <c r="AE24" s="2614"/>
    </row>
    <row r="25" spans="1:31" s="1605" customFormat="1" ht="13.5" customHeight="1">
      <c r="A25" s="2662"/>
      <c r="B25" s="1597" t="str">
        <f t="shared" si="0"/>
        <v>③</v>
      </c>
      <c r="C25" s="1598" t="str">
        <f t="shared" si="0"/>
        <v>県の地域資源の有効活用と保全</v>
      </c>
      <c r="D25" s="1706">
        <f>IF(G$9=0,0,I25/G$9)</f>
        <v>0.2</v>
      </c>
      <c r="E25" s="1600">
        <f>IF(H$9=0,0,J25/H$9)</f>
        <v>0</v>
      </c>
      <c r="F25" s="2634"/>
      <c r="G25" s="1600">
        <f>SUM(I26:I29)</f>
        <v>0.4</v>
      </c>
      <c r="H25" s="1600">
        <f>SUM(J26:J29)</f>
        <v>0</v>
      </c>
      <c r="I25" s="1600">
        <f t="shared" si="1"/>
        <v>0.2</v>
      </c>
      <c r="J25" s="1600">
        <f t="shared" si="1"/>
        <v>0</v>
      </c>
      <c r="K25" s="1600">
        <f>IF(N25=0,0,1)</f>
        <v>1</v>
      </c>
      <c r="L25" s="1600">
        <f>IF(O25=0,0,1)</f>
        <v>0</v>
      </c>
      <c r="M25" s="2618"/>
      <c r="N25" s="1600">
        <f t="shared" si="2"/>
        <v>0.2</v>
      </c>
      <c r="O25" s="1600">
        <f t="shared" si="3"/>
        <v>0</v>
      </c>
      <c r="P25" s="2634"/>
      <c r="Q25" s="1597" t="s">
        <v>2016</v>
      </c>
      <c r="R25" s="1598" t="s">
        <v>1895</v>
      </c>
      <c r="S25" s="2635">
        <v>0.2</v>
      </c>
      <c r="T25" s="2635">
        <v>0.2</v>
      </c>
      <c r="U25" s="2635">
        <v>0.2</v>
      </c>
      <c r="V25" s="2635">
        <v>0.2</v>
      </c>
      <c r="W25" s="2635">
        <v>0.2</v>
      </c>
      <c r="X25" s="2635">
        <v>0.2</v>
      </c>
      <c r="Y25" s="2635">
        <v>0.2</v>
      </c>
      <c r="Z25" s="2635">
        <v>0.2</v>
      </c>
      <c r="AA25" s="2635">
        <v>0.2</v>
      </c>
      <c r="AB25" s="2636">
        <v>0</v>
      </c>
      <c r="AC25" s="2635">
        <v>0</v>
      </c>
      <c r="AD25" s="2635">
        <v>0</v>
      </c>
      <c r="AE25" s="2637"/>
    </row>
    <row r="26" spans="1:31" s="1605" customFormat="1" ht="13.5" customHeight="1">
      <c r="A26" s="2662"/>
      <c r="B26" s="1627" t="str">
        <f t="shared" si="0"/>
        <v>Q3-2</v>
      </c>
      <c r="C26" s="1628" t="str">
        <f t="shared" si="0"/>
        <v>まちなみ・景観への配慮</v>
      </c>
      <c r="D26" s="1707">
        <f t="shared" ref="D26:E29" si="7">IF(G$25&gt;0,I26/G$25,0)</f>
        <v>0.5</v>
      </c>
      <c r="E26" s="1707">
        <f t="shared" si="7"/>
        <v>0</v>
      </c>
      <c r="F26" s="2634"/>
      <c r="G26" s="1609"/>
      <c r="H26" s="1609"/>
      <c r="I26" s="1609">
        <f t="shared" si="1"/>
        <v>0.2</v>
      </c>
      <c r="J26" s="1609">
        <f t="shared" si="1"/>
        <v>0</v>
      </c>
      <c r="K26" s="1609">
        <f>IF(スコア表示!W110=0,0,1)</f>
        <v>1</v>
      </c>
      <c r="L26" s="1609">
        <f>IF(スコア表示!AA110=0,0,1)</f>
        <v>0</v>
      </c>
      <c r="M26" s="2618"/>
      <c r="N26" s="1609">
        <f t="shared" si="2"/>
        <v>0.2</v>
      </c>
      <c r="O26" s="1609">
        <f t="shared" si="3"/>
        <v>0</v>
      </c>
      <c r="P26" s="2640"/>
      <c r="Q26" s="1641" t="s">
        <v>2017</v>
      </c>
      <c r="R26" s="1628" t="s">
        <v>1897</v>
      </c>
      <c r="S26" s="2643">
        <v>0.2</v>
      </c>
      <c r="T26" s="2643">
        <v>0.2</v>
      </c>
      <c r="U26" s="2643">
        <v>0.2</v>
      </c>
      <c r="V26" s="2643">
        <v>0.2</v>
      </c>
      <c r="W26" s="2643">
        <v>0.2</v>
      </c>
      <c r="X26" s="2643">
        <v>0.2</v>
      </c>
      <c r="Y26" s="2643">
        <v>0.2</v>
      </c>
      <c r="Z26" s="2652">
        <v>0.2</v>
      </c>
      <c r="AA26" s="2643">
        <v>0.2</v>
      </c>
      <c r="AB26" s="2642"/>
      <c r="AC26" s="2643"/>
      <c r="AD26" s="2643"/>
      <c r="AE26" s="2644"/>
    </row>
    <row r="27" spans="1:31" ht="13.5" customHeight="1">
      <c r="B27" s="1613" t="str">
        <f t="shared" si="0"/>
        <v>LR2-1.1</v>
      </c>
      <c r="C27" s="1614" t="str">
        <f t="shared" si="0"/>
        <v>節水</v>
      </c>
      <c r="D27" s="1713">
        <f t="shared" si="7"/>
        <v>0</v>
      </c>
      <c r="E27" s="1713">
        <f t="shared" si="7"/>
        <v>0</v>
      </c>
      <c r="F27" s="2626"/>
      <c r="G27" s="1616"/>
      <c r="H27" s="1616"/>
      <c r="I27" s="1616">
        <f t="shared" si="1"/>
        <v>0</v>
      </c>
      <c r="J27" s="1616">
        <f t="shared" si="1"/>
        <v>0</v>
      </c>
      <c r="K27" s="1616">
        <f>IF(スコア表示!W137=0,0,1)</f>
        <v>0</v>
      </c>
      <c r="L27" s="1616">
        <f>IF(スコア表示!AA137=0,0,1)</f>
        <v>0</v>
      </c>
      <c r="M27" s="2618"/>
      <c r="N27" s="1616">
        <f t="shared" si="2"/>
        <v>0.3</v>
      </c>
      <c r="O27" s="1616">
        <f t="shared" si="3"/>
        <v>0</v>
      </c>
      <c r="P27" s="2626"/>
      <c r="Q27" s="1647" t="s">
        <v>2018</v>
      </c>
      <c r="R27" s="1614" t="s">
        <v>1917</v>
      </c>
      <c r="S27" s="2645">
        <v>0.3</v>
      </c>
      <c r="T27" s="2645">
        <v>0.3</v>
      </c>
      <c r="U27" s="2645">
        <v>0.3</v>
      </c>
      <c r="V27" s="2645">
        <v>0.3</v>
      </c>
      <c r="W27" s="2645">
        <v>0.3</v>
      </c>
      <c r="X27" s="2645">
        <v>0.3</v>
      </c>
      <c r="Y27" s="2645">
        <v>0.3</v>
      </c>
      <c r="Z27" s="2646">
        <v>0.3</v>
      </c>
      <c r="AA27" s="2645">
        <v>0.3</v>
      </c>
      <c r="AB27" s="2647"/>
      <c r="AC27" s="2648"/>
      <c r="AD27" s="2648"/>
      <c r="AE27" s="2614"/>
    </row>
    <row r="28" spans="1:31" ht="13.5" customHeight="1">
      <c r="B28" s="1621" t="str">
        <f t="shared" si="0"/>
        <v>LR2-1.2.1</v>
      </c>
      <c r="C28" s="1614" t="str">
        <f t="shared" si="0"/>
        <v>雨水利用率</v>
      </c>
      <c r="D28" s="1708">
        <f t="shared" si="7"/>
        <v>0</v>
      </c>
      <c r="E28" s="1708">
        <f t="shared" si="7"/>
        <v>0</v>
      </c>
      <c r="F28" s="2626"/>
      <c r="G28" s="1616"/>
      <c r="H28" s="1616"/>
      <c r="I28" s="1616">
        <f t="shared" si="1"/>
        <v>0</v>
      </c>
      <c r="J28" s="1616">
        <f t="shared" si="1"/>
        <v>0</v>
      </c>
      <c r="K28" s="1616">
        <f>IF(スコア表示!W139=0,0,1)</f>
        <v>0</v>
      </c>
      <c r="L28" s="1616">
        <f>IF(スコア表示!AA139=0,0,1)</f>
        <v>0</v>
      </c>
      <c r="M28" s="2618"/>
      <c r="N28" s="1616">
        <f t="shared" si="2"/>
        <v>0.3</v>
      </c>
      <c r="O28" s="1616">
        <f t="shared" si="3"/>
        <v>0</v>
      </c>
      <c r="P28" s="2626"/>
      <c r="Q28" s="1647" t="s">
        <v>2019</v>
      </c>
      <c r="R28" s="1614" t="s">
        <v>1923</v>
      </c>
      <c r="S28" s="2645">
        <v>0.3</v>
      </c>
      <c r="T28" s="2645">
        <v>0.3</v>
      </c>
      <c r="U28" s="2645">
        <v>0.3</v>
      </c>
      <c r="V28" s="2645">
        <v>0.3</v>
      </c>
      <c r="W28" s="2645">
        <v>0.3</v>
      </c>
      <c r="X28" s="2645">
        <v>0.3</v>
      </c>
      <c r="Y28" s="2645">
        <v>0.3</v>
      </c>
      <c r="Z28" s="2646">
        <v>0.3</v>
      </c>
      <c r="AA28" s="2645">
        <v>0.3</v>
      </c>
      <c r="AB28" s="2647"/>
      <c r="AC28" s="2648"/>
      <c r="AD28" s="2648"/>
      <c r="AE28" s="2614"/>
    </row>
    <row r="29" spans="1:31" ht="13.5" customHeight="1">
      <c r="B29" s="1621" t="str">
        <f t="shared" si="0"/>
        <v>LR2-2.5</v>
      </c>
      <c r="C29" s="1614" t="str">
        <f t="shared" si="0"/>
        <v>持続可能な森林から産出された木材</v>
      </c>
      <c r="D29" s="1713">
        <f t="shared" si="7"/>
        <v>0.5</v>
      </c>
      <c r="E29" s="1713">
        <f t="shared" si="7"/>
        <v>0</v>
      </c>
      <c r="F29" s="2656"/>
      <c r="G29" s="1616"/>
      <c r="H29" s="1616"/>
      <c r="I29" s="1616">
        <f t="shared" si="1"/>
        <v>0.2</v>
      </c>
      <c r="J29" s="1616">
        <f t="shared" si="1"/>
        <v>0</v>
      </c>
      <c r="K29" s="1616">
        <f>IF(スコア表示!W146=0,0,1)</f>
        <v>1</v>
      </c>
      <c r="L29" s="1616">
        <f>IF(スコア表示!AA146=0,0,1)</f>
        <v>0</v>
      </c>
      <c r="M29" s="2618"/>
      <c r="N29" s="1616">
        <f t="shared" si="2"/>
        <v>0.2</v>
      </c>
      <c r="O29" s="1616">
        <f t="shared" si="3"/>
        <v>0</v>
      </c>
      <c r="P29" s="2626"/>
      <c r="Q29" s="1647" t="s">
        <v>2020</v>
      </c>
      <c r="R29" s="1614" t="s">
        <v>1919</v>
      </c>
      <c r="S29" s="2645">
        <v>0.2</v>
      </c>
      <c r="T29" s="2645">
        <v>0.2</v>
      </c>
      <c r="U29" s="2645">
        <v>0.2</v>
      </c>
      <c r="V29" s="2645">
        <v>0.2</v>
      </c>
      <c r="W29" s="2645">
        <v>0.2</v>
      </c>
      <c r="X29" s="2645">
        <v>0.2</v>
      </c>
      <c r="Y29" s="2645">
        <v>0.2</v>
      </c>
      <c r="Z29" s="2646">
        <v>0.2</v>
      </c>
      <c r="AA29" s="2645">
        <v>0.2</v>
      </c>
      <c r="AB29" s="2647"/>
      <c r="AC29" s="2648"/>
      <c r="AD29" s="2648"/>
      <c r="AE29" s="2614"/>
    </row>
    <row r="30" spans="1:31" s="1605" customFormat="1" ht="13.5" customHeight="1">
      <c r="A30" s="2662"/>
      <c r="B30" s="1597" t="str">
        <f t="shared" si="0"/>
        <v>④</v>
      </c>
      <c r="C30" s="1598" t="str">
        <f t="shared" si="0"/>
        <v>循環型社会の実現</v>
      </c>
      <c r="D30" s="1706">
        <f>IF(G$9=0,0,I30/G$9)</f>
        <v>0.2</v>
      </c>
      <c r="E30" s="1600">
        <f>IF(H$9=0,0,J30/H$9)</f>
        <v>0</v>
      </c>
      <c r="F30" s="2634"/>
      <c r="G30" s="1600">
        <f>SUM(I31:I35)</f>
        <v>0.70000000000000007</v>
      </c>
      <c r="H30" s="1600">
        <f>SUM(J31:J35)</f>
        <v>0</v>
      </c>
      <c r="I30" s="1600">
        <f t="shared" si="1"/>
        <v>0.2</v>
      </c>
      <c r="J30" s="1600">
        <f t="shared" si="1"/>
        <v>0</v>
      </c>
      <c r="K30" s="1600">
        <f>IF(N30=0,0,1)</f>
        <v>1</v>
      </c>
      <c r="L30" s="1600">
        <f>IF(O30=0,0,1)</f>
        <v>0</v>
      </c>
      <c r="M30" s="2618"/>
      <c r="N30" s="1600">
        <f t="shared" si="2"/>
        <v>0.2</v>
      </c>
      <c r="O30" s="1600">
        <f t="shared" si="3"/>
        <v>0</v>
      </c>
      <c r="P30" s="2634"/>
      <c r="Q30" s="1597" t="s">
        <v>2021</v>
      </c>
      <c r="R30" s="1598" t="s">
        <v>1901</v>
      </c>
      <c r="S30" s="2635">
        <v>0.2</v>
      </c>
      <c r="T30" s="2635">
        <v>0.2</v>
      </c>
      <c r="U30" s="2635">
        <v>0.2</v>
      </c>
      <c r="V30" s="2635">
        <v>0.2</v>
      </c>
      <c r="W30" s="2635">
        <v>0.2</v>
      </c>
      <c r="X30" s="2635">
        <v>0.2</v>
      </c>
      <c r="Y30" s="2635">
        <v>0.2</v>
      </c>
      <c r="Z30" s="2635">
        <v>0.2</v>
      </c>
      <c r="AA30" s="2635">
        <v>0.2</v>
      </c>
      <c r="AB30" s="2636">
        <v>0</v>
      </c>
      <c r="AC30" s="2635">
        <v>0</v>
      </c>
      <c r="AD30" s="2635">
        <v>0</v>
      </c>
      <c r="AE30" s="2637"/>
    </row>
    <row r="31" spans="1:31" ht="13.5" customHeight="1">
      <c r="B31" s="1647" t="str">
        <f t="shared" si="0"/>
        <v>Q2-2.2</v>
      </c>
      <c r="C31" s="1647" t="str">
        <f t="shared" si="0"/>
        <v>部品・部材の耐用年数</v>
      </c>
      <c r="D31" s="1716">
        <f t="shared" ref="D31:E35" si="8">IF(G$30&gt;0,I31/G$30,0)</f>
        <v>0.42857142857142849</v>
      </c>
      <c r="E31" s="1716">
        <f t="shared" si="8"/>
        <v>0</v>
      </c>
      <c r="F31" s="2657"/>
      <c r="G31" s="1691"/>
      <c r="H31" s="1691"/>
      <c r="I31" s="1691">
        <f t="shared" si="1"/>
        <v>0.3</v>
      </c>
      <c r="J31" s="1691">
        <f t="shared" si="1"/>
        <v>0</v>
      </c>
      <c r="K31" s="1616">
        <f>IF(スコア表示!W78=0,0,1)</f>
        <v>1</v>
      </c>
      <c r="L31" s="1616">
        <f>IF(スコア表示!AA78=0,0,1)</f>
        <v>0</v>
      </c>
      <c r="M31" s="2618"/>
      <c r="N31" s="1691">
        <f t="shared" si="2"/>
        <v>0.3</v>
      </c>
      <c r="O31" s="1691">
        <f t="shared" si="3"/>
        <v>0</v>
      </c>
      <c r="P31" s="2658"/>
      <c r="Q31" s="1647" t="s">
        <v>2022</v>
      </c>
      <c r="R31" s="1647" t="s">
        <v>1920</v>
      </c>
      <c r="S31" s="1623">
        <v>0.3</v>
      </c>
      <c r="T31" s="1623">
        <v>0.3</v>
      </c>
      <c r="U31" s="1623">
        <v>0.3</v>
      </c>
      <c r="V31" s="1623">
        <v>0.3</v>
      </c>
      <c r="W31" s="1623">
        <v>0.3</v>
      </c>
      <c r="X31" s="1623">
        <v>0.3</v>
      </c>
      <c r="Y31" s="1623">
        <v>0.3</v>
      </c>
      <c r="Z31" s="1623">
        <v>0.3</v>
      </c>
      <c r="AA31" s="1623">
        <v>0.3</v>
      </c>
      <c r="AB31" s="1625"/>
      <c r="AC31" s="1623"/>
      <c r="AD31" s="1623"/>
      <c r="AE31" s="2659"/>
    </row>
    <row r="32" spans="1:31" s="1605" customFormat="1" ht="13.5" customHeight="1">
      <c r="A32" s="2662"/>
      <c r="B32" s="1606" t="str">
        <f t="shared" si="0"/>
        <v>Q2-3</v>
      </c>
      <c r="C32" s="1657" t="str">
        <f t="shared" si="0"/>
        <v>対応性・更新性</v>
      </c>
      <c r="D32" s="1707">
        <f t="shared" si="8"/>
        <v>0</v>
      </c>
      <c r="E32" s="1707">
        <f t="shared" si="8"/>
        <v>0</v>
      </c>
      <c r="F32" s="2634"/>
      <c r="G32" s="1609"/>
      <c r="H32" s="1609"/>
      <c r="I32" s="1609">
        <f t="shared" si="1"/>
        <v>0</v>
      </c>
      <c r="J32" s="1609">
        <f t="shared" si="1"/>
        <v>0</v>
      </c>
      <c r="K32" s="1609">
        <f>IF(スコア表示!W96=0,0,1)</f>
        <v>0</v>
      </c>
      <c r="L32" s="1609">
        <f>IF(スコア表示!AA96=0,0,1)</f>
        <v>0</v>
      </c>
      <c r="M32" s="2618"/>
      <c r="N32" s="1609">
        <f t="shared" si="2"/>
        <v>0.3</v>
      </c>
      <c r="O32" s="1609">
        <f t="shared" si="3"/>
        <v>0</v>
      </c>
      <c r="P32" s="2640"/>
      <c r="Q32" s="1641" t="s">
        <v>2023</v>
      </c>
      <c r="R32" s="1657" t="s">
        <v>355</v>
      </c>
      <c r="S32" s="2643">
        <v>0.3</v>
      </c>
      <c r="T32" s="2643">
        <v>0.3</v>
      </c>
      <c r="U32" s="2643">
        <v>0.3</v>
      </c>
      <c r="V32" s="2643">
        <v>0.3</v>
      </c>
      <c r="W32" s="2643">
        <v>0.3</v>
      </c>
      <c r="X32" s="2643">
        <v>0.3</v>
      </c>
      <c r="Y32" s="2643">
        <v>0.3</v>
      </c>
      <c r="Z32" s="2652">
        <v>0.3</v>
      </c>
      <c r="AA32" s="2643">
        <v>0.3</v>
      </c>
      <c r="AB32" s="2660">
        <v>1</v>
      </c>
      <c r="AC32" s="2660">
        <v>1</v>
      </c>
      <c r="AD32" s="2660">
        <v>1</v>
      </c>
      <c r="AE32" s="2644"/>
    </row>
    <row r="33" spans="2:31" ht="13.5" customHeight="1">
      <c r="B33" s="1621" t="str">
        <f t="shared" si="0"/>
        <v>LR2-2.2</v>
      </c>
      <c r="C33" s="1647" t="str">
        <f t="shared" si="0"/>
        <v>既存建築躯体等の継続使用</v>
      </c>
      <c r="D33" s="1708">
        <f t="shared" si="8"/>
        <v>0.14285714285714285</v>
      </c>
      <c r="E33" s="1708">
        <f t="shared" si="8"/>
        <v>0</v>
      </c>
      <c r="F33" s="2626"/>
      <c r="G33" s="1616"/>
      <c r="H33" s="1616"/>
      <c r="I33" s="1616">
        <f t="shared" si="1"/>
        <v>0.1</v>
      </c>
      <c r="J33" s="1616">
        <f t="shared" si="1"/>
        <v>0</v>
      </c>
      <c r="K33" s="1616">
        <f>IF(スコア表示!W143=0,0,1)</f>
        <v>1</v>
      </c>
      <c r="L33" s="1616">
        <f>IF(スコア表示!AA143=0,0,1)</f>
        <v>0</v>
      </c>
      <c r="M33" s="2618"/>
      <c r="N33" s="1616">
        <f t="shared" si="2"/>
        <v>0.1</v>
      </c>
      <c r="O33" s="1616">
        <f t="shared" si="3"/>
        <v>0</v>
      </c>
      <c r="P33" s="2626"/>
      <c r="Q33" s="1647" t="s">
        <v>2024</v>
      </c>
      <c r="R33" s="1647" t="s">
        <v>1921</v>
      </c>
      <c r="S33" s="2645">
        <v>0.1</v>
      </c>
      <c r="T33" s="2645">
        <v>0.1</v>
      </c>
      <c r="U33" s="2645">
        <v>0.1</v>
      </c>
      <c r="V33" s="2645">
        <v>0.1</v>
      </c>
      <c r="W33" s="2645">
        <v>0.1</v>
      </c>
      <c r="X33" s="2645">
        <v>0.1</v>
      </c>
      <c r="Y33" s="2645">
        <v>0.1</v>
      </c>
      <c r="Z33" s="2646">
        <v>0.1</v>
      </c>
      <c r="AA33" s="2645">
        <v>0.1</v>
      </c>
      <c r="AB33" s="2647"/>
      <c r="AC33" s="2648"/>
      <c r="AD33" s="2648"/>
      <c r="AE33" s="2614"/>
    </row>
    <row r="34" spans="2:31" ht="13.5" customHeight="1">
      <c r="B34" s="1621" t="str">
        <f t="shared" si="0"/>
        <v>LR2-2.3</v>
      </c>
      <c r="C34" s="1647" t="str">
        <f t="shared" si="0"/>
        <v>躯体材料におけるリサイクル材の使用</v>
      </c>
      <c r="D34" s="1708">
        <f t="shared" si="8"/>
        <v>0.21428571428571425</v>
      </c>
      <c r="E34" s="1708">
        <f t="shared" si="8"/>
        <v>0</v>
      </c>
      <c r="F34" s="2626"/>
      <c r="G34" s="1616"/>
      <c r="H34" s="1616"/>
      <c r="I34" s="1616">
        <f t="shared" si="1"/>
        <v>0.15</v>
      </c>
      <c r="J34" s="1616">
        <f t="shared" si="1"/>
        <v>0</v>
      </c>
      <c r="K34" s="1616">
        <f>IF(スコア表示!W144=0,0,1)</f>
        <v>1</v>
      </c>
      <c r="L34" s="1616">
        <f>IF(スコア表示!AA144=0,0,1)</f>
        <v>0</v>
      </c>
      <c r="M34" s="2618"/>
      <c r="N34" s="1616">
        <f t="shared" si="2"/>
        <v>0.15</v>
      </c>
      <c r="O34" s="1616">
        <f t="shared" si="3"/>
        <v>0</v>
      </c>
      <c r="P34" s="2626"/>
      <c r="Q34" s="1647" t="s">
        <v>2025</v>
      </c>
      <c r="R34" s="1647" t="s">
        <v>2037</v>
      </c>
      <c r="S34" s="2645">
        <v>0.15</v>
      </c>
      <c r="T34" s="2645">
        <v>0.15</v>
      </c>
      <c r="U34" s="2645">
        <v>0.15</v>
      </c>
      <c r="V34" s="2645">
        <v>0.15</v>
      </c>
      <c r="W34" s="2645">
        <v>0.15</v>
      </c>
      <c r="X34" s="2645">
        <v>0.15</v>
      </c>
      <c r="Y34" s="2645">
        <v>0.15</v>
      </c>
      <c r="Z34" s="2646">
        <v>0.15</v>
      </c>
      <c r="AA34" s="2645">
        <v>0.15</v>
      </c>
      <c r="AB34" s="2647"/>
      <c r="AC34" s="2648"/>
      <c r="AD34" s="2648"/>
      <c r="AE34" s="2614"/>
    </row>
    <row r="35" spans="2:31" ht="13.5" customHeight="1">
      <c r="B35" s="1621" t="str">
        <f t="shared" si="0"/>
        <v>LR2-2.4</v>
      </c>
      <c r="C35" s="2661" t="str">
        <f t="shared" si="0"/>
        <v>躯体材料以外におけるリサイクル材の使用</v>
      </c>
      <c r="D35" s="1713">
        <f t="shared" si="8"/>
        <v>0.21428571428571425</v>
      </c>
      <c r="E35" s="1713">
        <f t="shared" si="8"/>
        <v>0</v>
      </c>
      <c r="F35" s="2656"/>
      <c r="G35" s="1616"/>
      <c r="H35" s="1616"/>
      <c r="I35" s="1616">
        <f t="shared" si="1"/>
        <v>0.15</v>
      </c>
      <c r="J35" s="1616">
        <f t="shared" si="1"/>
        <v>0</v>
      </c>
      <c r="K35" s="1616">
        <f>IF(スコア表示!W145=0,0,1)</f>
        <v>1</v>
      </c>
      <c r="L35" s="1616">
        <f>IF(スコア表示!AA145=0,0,1)</f>
        <v>0</v>
      </c>
      <c r="M35" s="2618"/>
      <c r="N35" s="1616">
        <f t="shared" si="2"/>
        <v>0.15</v>
      </c>
      <c r="O35" s="1616">
        <f t="shared" si="3"/>
        <v>0</v>
      </c>
      <c r="P35" s="2626"/>
      <c r="Q35" s="1647" t="s">
        <v>2026</v>
      </c>
      <c r="R35" s="1614" t="s">
        <v>2038</v>
      </c>
      <c r="S35" s="2645">
        <v>0.15</v>
      </c>
      <c r="T35" s="2645">
        <v>0.15</v>
      </c>
      <c r="U35" s="2645">
        <v>0.15</v>
      </c>
      <c r="V35" s="2645">
        <v>0.15</v>
      </c>
      <c r="W35" s="2645">
        <v>0.15</v>
      </c>
      <c r="X35" s="2645">
        <v>0.15</v>
      </c>
      <c r="Y35" s="2645">
        <v>0.15</v>
      </c>
      <c r="Z35" s="2646">
        <v>0.15</v>
      </c>
      <c r="AA35" s="2645">
        <v>0.15</v>
      </c>
      <c r="AB35" s="2647"/>
      <c r="AC35" s="2648"/>
      <c r="AD35" s="2648"/>
      <c r="AE35" s="2614"/>
    </row>
    <row r="36" spans="2:31"/>
    <row r="37" spans="2:31">
      <c r="R37" s="2005" t="s">
        <v>2003</v>
      </c>
      <c r="S37" s="2006">
        <f t="shared" ref="S37:AD37" si="9">SUM(S11:S18)</f>
        <v>1</v>
      </c>
      <c r="T37" s="2006">
        <f t="shared" si="9"/>
        <v>1</v>
      </c>
      <c r="U37" s="2006">
        <f t="shared" si="9"/>
        <v>1</v>
      </c>
      <c r="V37" s="2006">
        <f t="shared" si="9"/>
        <v>1</v>
      </c>
      <c r="W37" s="2006">
        <f t="shared" si="9"/>
        <v>1</v>
      </c>
      <c r="X37" s="2006">
        <f t="shared" si="9"/>
        <v>1</v>
      </c>
      <c r="Y37" s="2006">
        <f t="shared" si="9"/>
        <v>1</v>
      </c>
      <c r="Z37" s="2006">
        <f t="shared" si="9"/>
        <v>1</v>
      </c>
      <c r="AA37" s="2006">
        <f t="shared" si="9"/>
        <v>1</v>
      </c>
      <c r="AB37" s="2006">
        <f t="shared" si="9"/>
        <v>1</v>
      </c>
      <c r="AC37" s="2006">
        <f t="shared" si="9"/>
        <v>1</v>
      </c>
      <c r="AD37" s="2006">
        <f t="shared" si="9"/>
        <v>1</v>
      </c>
    </row>
    <row r="38" spans="2:31">
      <c r="R38" s="2005" t="s">
        <v>2009</v>
      </c>
      <c r="S38" s="2006">
        <f t="shared" ref="S38:AD38" si="10">SUM(S20:S24)</f>
        <v>1</v>
      </c>
      <c r="T38" s="2006">
        <f t="shared" si="10"/>
        <v>1</v>
      </c>
      <c r="U38" s="2006">
        <f t="shared" si="10"/>
        <v>1</v>
      </c>
      <c r="V38" s="2006">
        <f t="shared" si="10"/>
        <v>1</v>
      </c>
      <c r="W38" s="2006">
        <f t="shared" si="10"/>
        <v>1</v>
      </c>
      <c r="X38" s="2006">
        <f t="shared" si="10"/>
        <v>1</v>
      </c>
      <c r="Y38" s="2006">
        <f t="shared" si="10"/>
        <v>1</v>
      </c>
      <c r="Z38" s="2006">
        <f t="shared" si="10"/>
        <v>1</v>
      </c>
      <c r="AA38" s="2006">
        <f t="shared" si="10"/>
        <v>1</v>
      </c>
      <c r="AB38" s="2006">
        <f t="shared" si="10"/>
        <v>0</v>
      </c>
      <c r="AC38" s="2006">
        <f t="shared" si="10"/>
        <v>0</v>
      </c>
      <c r="AD38" s="2006">
        <f t="shared" si="10"/>
        <v>0</v>
      </c>
    </row>
    <row r="39" spans="2:31">
      <c r="R39" s="2005" t="s">
        <v>2016</v>
      </c>
      <c r="S39" s="2006">
        <f t="shared" ref="S39:AD39" si="11">SUM(S26:S29)</f>
        <v>1</v>
      </c>
      <c r="T39" s="2006">
        <f t="shared" si="11"/>
        <v>1</v>
      </c>
      <c r="U39" s="2006">
        <f t="shared" si="11"/>
        <v>1</v>
      </c>
      <c r="V39" s="2006">
        <f t="shared" si="11"/>
        <v>1</v>
      </c>
      <c r="W39" s="2006">
        <f t="shared" si="11"/>
        <v>1</v>
      </c>
      <c r="X39" s="2006">
        <f t="shared" si="11"/>
        <v>1</v>
      </c>
      <c r="Y39" s="2006">
        <f t="shared" si="11"/>
        <v>1</v>
      </c>
      <c r="Z39" s="2006">
        <f t="shared" si="11"/>
        <v>1</v>
      </c>
      <c r="AA39" s="2006">
        <f t="shared" si="11"/>
        <v>1</v>
      </c>
      <c r="AB39" s="2006">
        <f t="shared" si="11"/>
        <v>0</v>
      </c>
      <c r="AC39" s="2006">
        <f t="shared" si="11"/>
        <v>0</v>
      </c>
      <c r="AD39" s="2006">
        <f t="shared" si="11"/>
        <v>0</v>
      </c>
    </row>
    <row r="40" spans="2:31">
      <c r="R40" s="2005" t="s">
        <v>2027</v>
      </c>
      <c r="S40" s="2006">
        <f t="shared" ref="S40:AD40" si="12">SUM(S31:S35)</f>
        <v>1</v>
      </c>
      <c r="T40" s="2006">
        <f t="shared" si="12"/>
        <v>1</v>
      </c>
      <c r="U40" s="2006">
        <f t="shared" si="12"/>
        <v>1</v>
      </c>
      <c r="V40" s="2006">
        <f t="shared" si="12"/>
        <v>1</v>
      </c>
      <c r="W40" s="2006">
        <f t="shared" si="12"/>
        <v>1</v>
      </c>
      <c r="X40" s="2006">
        <f t="shared" si="12"/>
        <v>1</v>
      </c>
      <c r="Y40" s="2006">
        <f t="shared" si="12"/>
        <v>1</v>
      </c>
      <c r="Z40" s="2006">
        <f t="shared" si="12"/>
        <v>1</v>
      </c>
      <c r="AA40" s="2006">
        <f t="shared" si="12"/>
        <v>1</v>
      </c>
      <c r="AB40" s="2006">
        <f t="shared" si="12"/>
        <v>1</v>
      </c>
      <c r="AC40" s="2006">
        <f t="shared" si="12"/>
        <v>1</v>
      </c>
      <c r="AD40" s="2006">
        <f t="shared" si="12"/>
        <v>1</v>
      </c>
    </row>
    <row r="41" spans="2:31"/>
    <row r="42" spans="2:31"/>
    <row r="43" spans="2:31"/>
    <row r="44" spans="2:31"/>
    <row r="45" spans="2:31"/>
    <row r="46" spans="2:31"/>
    <row r="47" spans="2:31"/>
    <row r="48" spans="2:31"/>
    <row r="49"/>
    <row r="50"/>
    <row r="51"/>
    <row r="52"/>
    <row r="53"/>
    <row r="54"/>
    <row r="55"/>
    <row r="56"/>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sheetData>
  <sheetProtection password="8D30" sheet="1" objects="1" scenarios="1"/>
  <mergeCells count="1">
    <mergeCell ref="B6:C7"/>
  </mergeCells>
  <phoneticPr fontId="20"/>
  <printOptions horizontalCentered="1"/>
  <pageMargins left="0.59055118110236227" right="0.59055118110236227" top="0.78740157480314965" bottom="0.59055118110236227" header="0.51181102362204722" footer="0.51181102362204722"/>
  <pageSetup paperSize="8" scale="74" orientation="landscape" verticalDpi="4294967293" r:id="rId1"/>
  <headerFooter alignWithMargins="0">
    <oddHeader>&amp;L&amp;F&amp;R&amp;A</oddHeader>
    <oddFooter>&amp;C&amp;P/&amp;N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C88"/>
  <sheetViews>
    <sheetView showGridLines="0" zoomScaleNormal="100" workbookViewId="0">
      <selection activeCell="D19" sqref="D19"/>
    </sheetView>
  </sheetViews>
  <sheetFormatPr defaultColWidth="0" defaultRowHeight="13.5" customHeight="1" zeroHeight="1"/>
  <cols>
    <col min="1" max="1" width="1.25" customWidth="1"/>
    <col min="2" max="2" width="5.875" style="1747" customWidth="1"/>
    <col min="3" max="3" width="28.125" style="1747" customWidth="1"/>
    <col min="4" max="4" width="15" style="1747" customWidth="1"/>
    <col min="5" max="5" width="13.125" style="1747"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63" customFormat="1" ht="9.75" customHeight="1" thickBot="1"/>
    <row r="2" spans="2:29" s="1880" customFormat="1" ht="18.75">
      <c r="B2" s="1876" t="s">
        <v>1070</v>
      </c>
      <c r="C2" s="1877"/>
      <c r="D2" s="1878"/>
      <c r="E2" s="1877"/>
      <c r="F2" s="1879"/>
      <c r="G2" s="63"/>
      <c r="M2" s="63"/>
      <c r="N2" s="63"/>
      <c r="O2" s="63"/>
      <c r="P2" s="63"/>
      <c r="Q2" s="63"/>
      <c r="R2" s="63"/>
      <c r="S2" s="63"/>
      <c r="T2" s="63"/>
      <c r="U2" s="63"/>
      <c r="V2" s="63"/>
      <c r="W2" s="63"/>
      <c r="X2" s="63"/>
      <c r="Y2" s="63"/>
      <c r="Z2" s="63"/>
      <c r="AA2" s="63"/>
      <c r="AB2" s="63"/>
      <c r="AC2" s="63"/>
    </row>
    <row r="3" spans="2:29" s="1880" customFormat="1" ht="21" customHeight="1">
      <c r="B3" s="1881" t="s">
        <v>1071</v>
      </c>
      <c r="C3" s="1882"/>
      <c r="D3" s="1883"/>
      <c r="E3" s="1884"/>
      <c r="F3" s="1885"/>
      <c r="G3" s="63"/>
      <c r="H3" s="1886" t="s">
        <v>1326</v>
      </c>
      <c r="I3" s="1887"/>
      <c r="J3" s="1887"/>
      <c r="K3" s="1887"/>
      <c r="L3" s="1888"/>
      <c r="M3" s="63"/>
      <c r="O3" s="1889">
        <v>2</v>
      </c>
      <c r="P3" s="63" t="s">
        <v>1072</v>
      </c>
      <c r="Q3" s="63"/>
      <c r="R3" s="63"/>
      <c r="S3" s="63"/>
      <c r="T3" s="63"/>
      <c r="U3" s="63"/>
      <c r="V3" s="63"/>
      <c r="W3" s="63"/>
      <c r="X3" s="63"/>
      <c r="Y3" s="63"/>
      <c r="Z3" s="63"/>
      <c r="AA3" s="63"/>
      <c r="AB3" s="63"/>
      <c r="AC3" s="63"/>
    </row>
    <row r="4" spans="2:29">
      <c r="B4" s="1890"/>
      <c r="C4" s="1891" t="s">
        <v>1073</v>
      </c>
      <c r="D4" s="1891" t="s">
        <v>234</v>
      </c>
      <c r="E4" s="1892"/>
      <c r="F4" s="1893"/>
      <c r="H4" s="1894" t="s">
        <v>1327</v>
      </c>
      <c r="I4" s="1892"/>
      <c r="J4" s="1892"/>
      <c r="K4" s="1892"/>
      <c r="L4" s="1895"/>
    </row>
    <row r="5" spans="2:29">
      <c r="B5" s="1890"/>
      <c r="C5" s="1896" t="str">
        <f>IF($O$7=0,"根拠を記入してください",$O$7)</f>
        <v>九州電力株式会社</v>
      </c>
      <c r="D5" s="1897">
        <f>IF($P$7=0,O9,$P$7)</f>
        <v>6.1200000000000002E-4</v>
      </c>
      <c r="E5" s="1892" t="s">
        <v>1328</v>
      </c>
      <c r="F5" s="1893"/>
      <c r="H5" s="1894" t="s">
        <v>1329</v>
      </c>
      <c r="I5" s="1892"/>
      <c r="J5" s="1892"/>
      <c r="K5" s="1892"/>
      <c r="L5" s="1895"/>
    </row>
    <row r="6" spans="2:29">
      <c r="B6" s="1890"/>
      <c r="C6" s="1892"/>
      <c r="D6" s="1892"/>
      <c r="E6" s="1892"/>
      <c r="F6" s="1893"/>
      <c r="H6" s="1894"/>
      <c r="I6" s="1898" t="str">
        <f>CO2データ!D105</f>
        <v>北海道電力株式会社</v>
      </c>
      <c r="J6" s="1899">
        <f>CO2データ!I105</f>
        <v>6.8800000000000003E-4</v>
      </c>
      <c r="K6" s="1894"/>
      <c r="L6" s="1900"/>
      <c r="O6" t="s">
        <v>1074</v>
      </c>
      <c r="P6" t="s">
        <v>1075</v>
      </c>
    </row>
    <row r="7" spans="2:29">
      <c r="B7" s="1890"/>
      <c r="C7" s="1892"/>
      <c r="D7" s="1892"/>
      <c r="E7" s="1892"/>
      <c r="F7" s="1893"/>
      <c r="H7" s="1894"/>
      <c r="I7" s="1898" t="str">
        <f>CO2データ!D106</f>
        <v>東北電力株式会社</v>
      </c>
      <c r="J7" s="1899">
        <f>CO2データ!I106</f>
        <v>5.9999999999999995E-4</v>
      </c>
      <c r="K7" s="1894"/>
      <c r="L7" s="1900"/>
      <c r="O7" t="str">
        <f>IF($O$3=1,C10,IF($O$3=2,C16,IF($O$3=3,C20,IF($O$3=4,C24,C28))))</f>
        <v>九州電力株式会社</v>
      </c>
      <c r="P7">
        <f>IF($O$3=1,D10,IF($O$3=2,D16,IF($O$3=3,D20,IF($O$3=4,D24,D28))))</f>
        <v>6.1200000000000002E-4</v>
      </c>
    </row>
    <row r="8" spans="2:29">
      <c r="B8" s="1890" t="s">
        <v>1076</v>
      </c>
      <c r="C8" s="1892"/>
      <c r="D8" s="1901"/>
      <c r="E8" s="1892"/>
      <c r="F8" s="1893"/>
      <c r="H8" s="1894"/>
      <c r="I8" s="1898" t="str">
        <f>CO2データ!D107</f>
        <v>東京電力株式会社</v>
      </c>
      <c r="J8" s="1899">
        <f>CO2データ!I107</f>
        <v>5.2499999999999997E-4</v>
      </c>
      <c r="K8" s="1894"/>
      <c r="L8" s="1900"/>
    </row>
    <row r="9" spans="2:29">
      <c r="B9" s="1890"/>
      <c r="C9" s="1891" t="s">
        <v>1073</v>
      </c>
      <c r="D9" s="1902" t="s">
        <v>1077</v>
      </c>
      <c r="E9" s="1901"/>
      <c r="F9" s="1893"/>
      <c r="H9" s="1894"/>
      <c r="I9" s="1898" t="str">
        <f>CO2データ!D108</f>
        <v>中部電力株式会社</v>
      </c>
      <c r="J9" s="1899">
        <f>CO2データ!I108</f>
        <v>5.1599999999999997E-4</v>
      </c>
      <c r="K9" s="1894"/>
      <c r="L9" s="1900"/>
      <c r="O9" t="s">
        <v>1058</v>
      </c>
    </row>
    <row r="10" spans="2:29">
      <c r="B10" s="1890"/>
      <c r="C10" s="1903"/>
      <c r="D10" s="1904"/>
      <c r="E10" s="1892" t="s">
        <v>1078</v>
      </c>
      <c r="F10" s="1893"/>
      <c r="H10" s="1894"/>
      <c r="I10" s="1898" t="str">
        <f>CO2データ!D109</f>
        <v>北陸電力株式会社</v>
      </c>
      <c r="J10" s="1899">
        <f>CO2データ!I109</f>
        <v>6.6299999999999996E-4</v>
      </c>
      <c r="K10" s="1894"/>
      <c r="L10" s="1900"/>
    </row>
    <row r="11" spans="2:29">
      <c r="B11" s="1890"/>
      <c r="C11" s="1892"/>
      <c r="D11" s="1892"/>
      <c r="E11" s="1892"/>
      <c r="F11" s="1893"/>
      <c r="H11" s="1894"/>
      <c r="I11" s="1898" t="str">
        <f>CO2データ!D110</f>
        <v>関西電力株式会社</v>
      </c>
      <c r="J11" s="1899">
        <f>CO2データ!I110</f>
        <v>5.1400000000000003E-4</v>
      </c>
      <c r="K11" s="1894"/>
      <c r="L11" s="1900"/>
    </row>
    <row r="12" spans="2:29">
      <c r="B12" s="1890" t="s">
        <v>1079</v>
      </c>
      <c r="C12" s="1892"/>
      <c r="D12" s="1892"/>
      <c r="E12" s="1892"/>
      <c r="F12" s="1893"/>
      <c r="H12" s="1894"/>
      <c r="I12" s="1898" t="str">
        <f>CO2データ!D111</f>
        <v>中国電力株式会社</v>
      </c>
      <c r="J12" s="1899">
        <f>CO2データ!I111</f>
        <v>7.3800000000000005E-4</v>
      </c>
      <c r="K12" s="1894"/>
      <c r="L12" s="1900"/>
    </row>
    <row r="13" spans="2:29">
      <c r="B13" s="1905" t="s">
        <v>1080</v>
      </c>
      <c r="C13" s="2716" t="s">
        <v>1081</v>
      </c>
      <c r="D13" s="2716"/>
      <c r="E13" s="2716"/>
      <c r="F13" s="1893"/>
      <c r="H13" s="1894"/>
      <c r="I13" s="1898" t="str">
        <f>CO2データ!D112</f>
        <v>四国電力株式会社</v>
      </c>
      <c r="J13" s="1899">
        <f>CO2データ!I112</f>
        <v>6.9999999999999999E-4</v>
      </c>
      <c r="K13" s="1894"/>
      <c r="L13" s="1900"/>
    </row>
    <row r="14" spans="2:29">
      <c r="B14" s="1905"/>
      <c r="C14" s="2716"/>
      <c r="D14" s="2716"/>
      <c r="E14" s="2716"/>
      <c r="F14" s="1893"/>
      <c r="H14" s="1894"/>
      <c r="I14" s="1898" t="str">
        <f>CO2データ!D113</f>
        <v>九州電力株式会社</v>
      </c>
      <c r="J14" s="1899">
        <f>CO2データ!I113</f>
        <v>6.1200000000000002E-4</v>
      </c>
      <c r="K14" s="1894"/>
      <c r="L14" s="1900"/>
    </row>
    <row r="15" spans="2:29">
      <c r="B15" s="1890"/>
      <c r="C15" s="1891" t="s">
        <v>1082</v>
      </c>
      <c r="D15" s="1902" t="s">
        <v>1077</v>
      </c>
      <c r="E15" s="1901"/>
      <c r="F15" s="1893"/>
      <c r="H15" s="1894"/>
      <c r="I15" s="1898" t="str">
        <f>CO2データ!D114</f>
        <v>沖縄電力株式会社</v>
      </c>
      <c r="J15" s="1899">
        <f>CO2データ!I114</f>
        <v>9.0300000000000005E-4</v>
      </c>
      <c r="K15" s="1894"/>
      <c r="L15" s="1900"/>
    </row>
    <row r="16" spans="2:29">
      <c r="B16" s="1890"/>
      <c r="C16" s="1904" t="s">
        <v>1100</v>
      </c>
      <c r="D16" s="1906">
        <f>VLOOKUP(C16,C50:D88,2)</f>
        <v>6.1200000000000002E-4</v>
      </c>
      <c r="E16" s="1892" t="s">
        <v>1084</v>
      </c>
      <c r="F16" s="1893"/>
      <c r="H16" s="1894"/>
      <c r="I16" s="1898" t="str">
        <f>CO2データ!D115</f>
        <v>イーレックス株式会社</v>
      </c>
      <c r="J16" s="1899">
        <f>CO2データ!I115</f>
        <v>6.0300000000000002E-4</v>
      </c>
      <c r="K16" s="1894"/>
      <c r="L16" s="1900"/>
    </row>
    <row r="17" spans="2:12" ht="15" customHeight="1">
      <c r="B17" s="1890"/>
      <c r="C17" s="46"/>
      <c r="D17" s="46"/>
      <c r="E17" s="46"/>
      <c r="F17" s="1893"/>
      <c r="H17" s="1894"/>
      <c r="I17" s="1898" t="str">
        <f>CO2データ!D116</f>
        <v>出光グリーンパワー株式会社</v>
      </c>
      <c r="J17" s="1899">
        <f>CO2データ!I116</f>
        <v>8.6000000000000003E-5</v>
      </c>
      <c r="K17" s="1894"/>
      <c r="L17" s="1900"/>
    </row>
    <row r="18" spans="2:12" ht="15" customHeight="1">
      <c r="B18" s="1905" t="s">
        <v>1085</v>
      </c>
      <c r="C18" s="1892" t="s">
        <v>885</v>
      </c>
      <c r="D18" s="1901"/>
      <c r="E18" s="1892"/>
      <c r="F18" s="1893"/>
      <c r="H18" s="1894"/>
      <c r="I18" s="1898" t="str">
        <f>CO2データ!D117</f>
        <v>伊藤忠エネクス株式会社</v>
      </c>
      <c r="J18" s="1899">
        <f>CO2データ!I117</f>
        <v>6.7599999999999995E-4</v>
      </c>
      <c r="K18" s="1894"/>
      <c r="L18" s="1900"/>
    </row>
    <row r="19" spans="2:12" ht="15" customHeight="1">
      <c r="B19" s="1890"/>
      <c r="C19" s="1891" t="s">
        <v>1073</v>
      </c>
      <c r="D19" s="1902" t="s">
        <v>1330</v>
      </c>
      <c r="E19" s="1901"/>
      <c r="F19" s="1893"/>
      <c r="H19" s="1894"/>
      <c r="I19" s="1898" t="str">
        <f>CO2データ!D118</f>
        <v>エネサーブ株式会社</v>
      </c>
      <c r="J19" s="1899">
        <f>CO2データ!I118</f>
        <v>6.1600000000000001E-4</v>
      </c>
      <c r="K19" s="1894"/>
      <c r="L19" s="1900"/>
    </row>
    <row r="20" spans="2:12" ht="15" customHeight="1">
      <c r="B20" s="1890"/>
      <c r="C20" s="1903"/>
      <c r="D20" s="1904"/>
      <c r="E20" s="1892" t="s">
        <v>1331</v>
      </c>
      <c r="F20" s="1893"/>
      <c r="H20" s="1894"/>
      <c r="I20" s="1898" t="str">
        <f>CO2データ!D119</f>
        <v>荏原環境プラント株式会社</v>
      </c>
      <c r="J20" s="1899">
        <f>CO2データ!I119</f>
        <v>4.5600000000000003E-4</v>
      </c>
      <c r="K20" s="1894"/>
      <c r="L20" s="1900"/>
    </row>
    <row r="21" spans="2:12" ht="15" customHeight="1">
      <c r="B21" s="1890"/>
      <c r="C21" s="46"/>
      <c r="D21" s="46"/>
      <c r="E21" s="46"/>
      <c r="F21" s="1893"/>
      <c r="H21" s="1894"/>
      <c r="I21" s="1898" t="str">
        <f>CO2データ!D120</f>
        <v>王子製紙株式会社</v>
      </c>
      <c r="J21" s="1899">
        <f>CO2データ!I120</f>
        <v>4.75E-4</v>
      </c>
      <c r="K21" s="1894"/>
      <c r="L21" s="1900"/>
    </row>
    <row r="22" spans="2:12" ht="15" customHeight="1">
      <c r="B22" s="1905" t="s">
        <v>1332</v>
      </c>
      <c r="C22" s="1892" t="s">
        <v>1333</v>
      </c>
      <c r="D22" s="1892"/>
      <c r="E22" s="1892"/>
      <c r="F22" s="1893"/>
      <c r="H22" s="1894"/>
      <c r="I22" s="1898" t="str">
        <f>CO2データ!D121</f>
        <v>オリックス株式会社</v>
      </c>
      <c r="J22" s="1899">
        <f>CO2データ!I121</f>
        <v>7.6199999999999998E-4</v>
      </c>
      <c r="K22" s="1894"/>
      <c r="L22" s="1900"/>
    </row>
    <row r="23" spans="2:12" ht="15" customHeight="1">
      <c r="B23" s="1905"/>
      <c r="C23" s="1891" t="s">
        <v>1086</v>
      </c>
      <c r="D23" s="1902" t="s">
        <v>1077</v>
      </c>
      <c r="E23" s="1892"/>
      <c r="F23" s="1893"/>
      <c r="H23" s="1894"/>
      <c r="I23" s="1898" t="str">
        <f>CO2データ!D122</f>
        <v>株式会社イーセル</v>
      </c>
      <c r="J23" s="1899">
        <f>CO2データ!I122</f>
        <v>0</v>
      </c>
      <c r="K23" s="1894"/>
      <c r="L23" s="1900"/>
    </row>
    <row r="24" spans="2:12" ht="15" customHeight="1">
      <c r="B24" s="1890"/>
      <c r="C24" s="2185" t="s">
        <v>1333</v>
      </c>
      <c r="D24" s="1906" t="str">
        <f>IF($O$3=4,J46,"")</f>
        <v/>
      </c>
      <c r="E24" s="1892" t="s">
        <v>1331</v>
      </c>
      <c r="F24" s="1893"/>
      <c r="H24" s="1894"/>
      <c r="I24" s="1898" t="str">
        <f>CO2データ!D123</f>
        <v>株式会社エネット</v>
      </c>
      <c r="J24" s="1899">
        <f>CO2データ!I123</f>
        <v>4.2900000000000002E-4</v>
      </c>
      <c r="K24" s="1894"/>
      <c r="L24" s="1900"/>
    </row>
    <row r="25" spans="2:12" ht="15" customHeight="1">
      <c r="B25" s="1890"/>
      <c r="C25" s="1892"/>
      <c r="D25" s="1892"/>
      <c r="E25" s="1892"/>
      <c r="F25" s="1893"/>
      <c r="H25" s="1894"/>
      <c r="I25" s="1898" t="str">
        <f>CO2データ!D124</f>
        <v>株式会社Ｆ－Ｐｏｗｅｒ</v>
      </c>
      <c r="J25" s="1899">
        <f>CO2データ!I124</f>
        <v>5.2499999999999997E-4</v>
      </c>
      <c r="K25" s="1894"/>
      <c r="L25" s="1900"/>
    </row>
    <row r="26" spans="2:12" ht="15" customHeight="1">
      <c r="B26" s="1890" t="s">
        <v>1334</v>
      </c>
      <c r="C26" s="1892"/>
      <c r="D26" s="1901"/>
      <c r="E26" s="1892"/>
      <c r="F26" s="1893"/>
      <c r="H26" s="1894"/>
      <c r="I26" s="1898" t="str">
        <f>CO2データ!D125</f>
        <v>株式会社Ｇ－Ｐｏｗｅｒ</v>
      </c>
      <c r="J26" s="1899">
        <f>CO2データ!I125</f>
        <v>4.4099999999999999E-4</v>
      </c>
      <c r="K26" s="1894"/>
      <c r="L26" s="1900"/>
    </row>
    <row r="27" spans="2:12" ht="15" customHeight="1">
      <c r="B27" s="1890"/>
      <c r="C27" s="1891" t="s">
        <v>1073</v>
      </c>
      <c r="D27" s="1902" t="s">
        <v>1077</v>
      </c>
      <c r="E27" s="1901"/>
      <c r="F27" s="1893"/>
      <c r="H27" s="1894"/>
      <c r="I27" s="1898" t="str">
        <f>CO2データ!D126</f>
        <v>株式会社日本セレモニー</v>
      </c>
      <c r="J27" s="1899">
        <f>CO2データ!I126</f>
        <v>7.9699999999999997E-4</v>
      </c>
      <c r="K27" s="1894"/>
      <c r="L27" s="1900"/>
    </row>
    <row r="28" spans="2:12" ht="15" customHeight="1">
      <c r="B28" s="1890"/>
      <c r="C28" s="1903"/>
      <c r="D28" s="1904"/>
      <c r="E28" s="1892" t="s">
        <v>1078</v>
      </c>
      <c r="F28" s="1893"/>
      <c r="H28" s="1894"/>
      <c r="I28" s="1898" t="str">
        <f>CO2データ!D127</f>
        <v>サミットエナジー株式会社</v>
      </c>
      <c r="J28" s="1899">
        <f>CO2データ!I127</f>
        <v>4.3800000000000002E-4</v>
      </c>
      <c r="K28" s="1894"/>
      <c r="L28" s="1900"/>
    </row>
    <row r="29" spans="2:12" ht="15" customHeight="1">
      <c r="B29" s="1890"/>
      <c r="C29" s="2186"/>
      <c r="D29" s="2186"/>
      <c r="E29" s="1892"/>
      <c r="F29" s="1893"/>
      <c r="H29" s="1894"/>
      <c r="I29" s="1898" t="str">
        <f>CO2データ!D128</f>
        <v>ＪＸ日鉱日石エネルギー株式会社</v>
      </c>
      <c r="J29" s="1899">
        <f>CO2データ!I128</f>
        <v>3.6699999999999998E-4</v>
      </c>
      <c r="K29" s="1894"/>
      <c r="L29" s="1900"/>
    </row>
    <row r="30" spans="2:12" ht="15" customHeight="1">
      <c r="B30" s="1890"/>
      <c r="C30" s="2186"/>
      <c r="D30" s="2186"/>
      <c r="E30" s="1892"/>
      <c r="F30" s="1893"/>
      <c r="H30" s="1894"/>
      <c r="I30" s="1898" t="str">
        <f>CO2データ!D129</f>
        <v>ＪＥＮホールディングス株式会社</v>
      </c>
      <c r="J30" s="1899">
        <f>CO2データ!I129</f>
        <v>4.9399999999999997E-4</v>
      </c>
      <c r="K30" s="1894"/>
      <c r="L30" s="1900"/>
    </row>
    <row r="31" spans="2:12" ht="15" customHeight="1">
      <c r="B31" s="1890"/>
      <c r="C31" s="2186"/>
      <c r="D31" s="2186"/>
      <c r="E31" s="1892"/>
      <c r="F31" s="1893"/>
      <c r="H31" s="1894"/>
      <c r="I31" s="1898" t="str">
        <f>CO2データ!D130</f>
        <v>志賀高原リゾート開発株式会社</v>
      </c>
      <c r="J31" s="1899">
        <f>CO2データ!I130</f>
        <v>3.1199999999999999E-4</v>
      </c>
      <c r="K31" s="1894"/>
      <c r="L31" s="1900"/>
    </row>
    <row r="32" spans="2:12" ht="15" customHeight="1">
      <c r="B32" s="1890"/>
      <c r="C32" s="2186"/>
      <c r="D32" s="2186"/>
      <c r="E32" s="1892"/>
      <c r="F32" s="1893"/>
      <c r="H32" s="1894"/>
      <c r="I32" s="1898" t="str">
        <f>CO2データ!D131</f>
        <v>昭和シェル石油株式会社</v>
      </c>
      <c r="J32" s="1899">
        <f>CO2データ!I131</f>
        <v>3.6699999999999998E-4</v>
      </c>
      <c r="K32" s="1894"/>
      <c r="L32" s="1900"/>
    </row>
    <row r="33" spans="2:12" ht="15" customHeight="1">
      <c r="B33" s="1890"/>
      <c r="C33" s="2186"/>
      <c r="D33" s="2186"/>
      <c r="E33" s="1892"/>
      <c r="F33" s="1893"/>
      <c r="H33" s="1894"/>
      <c r="I33" s="1898" t="str">
        <f>CO2データ!D132</f>
        <v>新日鉄住金エンジニアリング株式会社</v>
      </c>
      <c r="J33" s="1899">
        <f>CO2データ!I132</f>
        <v>6.5499999999999998E-4</v>
      </c>
      <c r="K33" s="1894"/>
      <c r="L33" s="1900"/>
    </row>
    <row r="34" spans="2:12" ht="15" customHeight="1">
      <c r="B34" s="1890"/>
      <c r="C34" s="2186"/>
      <c r="D34" s="2186"/>
      <c r="E34" s="1892"/>
      <c r="F34" s="1893"/>
      <c r="H34" s="1894"/>
      <c r="I34" s="1898" t="str">
        <f>CO2データ!D133</f>
        <v>泉北天然ガス発電株式会社</v>
      </c>
      <c r="J34" s="1899">
        <f>CO2データ!I133</f>
        <v>3.88E-4</v>
      </c>
      <c r="K34" s="1894"/>
      <c r="L34" s="1900"/>
    </row>
    <row r="35" spans="2:12" ht="15" customHeight="1">
      <c r="B35" s="1890"/>
      <c r="C35" s="2186"/>
      <c r="D35" s="2186"/>
      <c r="E35" s="1892"/>
      <c r="F35" s="1893"/>
      <c r="H35" s="1894"/>
      <c r="I35" s="1898" t="str">
        <f>CO2データ!D134</f>
        <v>ダイヤモンドパワー株式会社</v>
      </c>
      <c r="J35" s="1899">
        <f>CO2データ!I134</f>
        <v>4.3100000000000001E-4</v>
      </c>
      <c r="K35" s="1894"/>
      <c r="L35" s="1900"/>
    </row>
    <row r="36" spans="2:12" ht="15" customHeight="1">
      <c r="B36" s="1890"/>
      <c r="C36" s="2186"/>
      <c r="D36" s="2186"/>
      <c r="E36" s="1892"/>
      <c r="F36" s="1893"/>
      <c r="H36" s="1894"/>
      <c r="I36" s="1898" t="str">
        <f>CO2データ!D135</f>
        <v>テス・エンジニアリング株式会社</v>
      </c>
      <c r="J36" s="1899">
        <f>CO2データ!I135</f>
        <v>4.9399999999999997E-4</v>
      </c>
      <c r="K36" s="1894"/>
      <c r="L36" s="1900"/>
    </row>
    <row r="37" spans="2:12" ht="15" customHeight="1">
      <c r="B37" s="1890"/>
      <c r="C37" s="2186"/>
      <c r="D37" s="2186"/>
      <c r="E37" s="1892"/>
      <c r="F37" s="1893"/>
      <c r="H37" s="1894"/>
      <c r="I37" s="1898" t="str">
        <f>CO2データ!D136</f>
        <v>東京エコサービス株式会社</v>
      </c>
      <c r="J37" s="1899">
        <f>CO2データ!I136</f>
        <v>9.2E-5</v>
      </c>
      <c r="K37" s="1894"/>
      <c r="L37" s="1900"/>
    </row>
    <row r="38" spans="2:12" ht="15" customHeight="1">
      <c r="B38" s="1890"/>
      <c r="C38" s="2186"/>
      <c r="D38" s="2186"/>
      <c r="E38" s="1892"/>
      <c r="F38" s="1893"/>
      <c r="H38" s="1894"/>
      <c r="I38" s="1898" t="str">
        <f>CO2データ!D137</f>
        <v>日本テクノ株式会社</v>
      </c>
      <c r="J38" s="1899">
        <f>CO2データ!I137</f>
        <v>5.0799999999999999E-4</v>
      </c>
      <c r="K38" s="1894"/>
      <c r="L38" s="1900"/>
    </row>
    <row r="39" spans="2:12" ht="15" customHeight="1">
      <c r="B39" s="1890"/>
      <c r="C39" s="2186"/>
      <c r="D39" s="2186"/>
      <c r="E39" s="1892"/>
      <c r="F39" s="1893"/>
      <c r="H39" s="1894"/>
      <c r="I39" s="1898" t="str">
        <f>CO2データ!D138</f>
        <v>日本ロジテック協同組合</v>
      </c>
      <c r="J39" s="1899">
        <f>CO2データ!I138</f>
        <v>4.86E-4</v>
      </c>
      <c r="K39" s="1894"/>
      <c r="L39" s="1900"/>
    </row>
    <row r="40" spans="2:12" ht="15" customHeight="1">
      <c r="B40" s="1890"/>
      <c r="C40" s="2186"/>
      <c r="D40" s="2186"/>
      <c r="E40" s="1892"/>
      <c r="F40" s="1893"/>
      <c r="H40" s="1894"/>
      <c r="I40" s="1898" t="str">
        <f>CO2データ!D139</f>
        <v>パナソニック株式会社</v>
      </c>
      <c r="J40" s="1899">
        <f>CO2データ!I139</f>
        <v>4.9799999999999996E-4</v>
      </c>
      <c r="K40" s="1894"/>
      <c r="L40" s="1900"/>
    </row>
    <row r="41" spans="2:12" ht="15" customHeight="1">
      <c r="B41" s="1890"/>
      <c r="C41" s="2186"/>
      <c r="D41" s="2186"/>
      <c r="E41" s="1892"/>
      <c r="F41" s="1893"/>
      <c r="H41" s="1894"/>
      <c r="I41" s="1898" t="str">
        <f>CO2データ!D140</f>
        <v>プレミアムグリーンパワー株式会社</v>
      </c>
      <c r="J41" s="1899">
        <f>CO2データ!I140</f>
        <v>1.8E-5</v>
      </c>
      <c r="K41" s="1894"/>
      <c r="L41" s="1900"/>
    </row>
    <row r="42" spans="2:12" ht="15" customHeight="1">
      <c r="B42" s="1890"/>
      <c r="C42" s="2186"/>
      <c r="D42" s="2186"/>
      <c r="E42" s="1892"/>
      <c r="F42" s="1893"/>
      <c r="H42" s="1894"/>
      <c r="I42" s="1898" t="str">
        <f>CO2データ!D141</f>
        <v>丸紅株式会社</v>
      </c>
      <c r="J42" s="1899">
        <f>CO2データ!I141</f>
        <v>3.7800000000000003E-4</v>
      </c>
      <c r="K42" s="1894"/>
      <c r="L42" s="1900"/>
    </row>
    <row r="43" spans="2:12" ht="15" customHeight="1">
      <c r="B43" s="1890"/>
      <c r="C43" s="2186"/>
      <c r="D43" s="2186"/>
      <c r="E43" s="1892"/>
      <c r="F43" s="1893"/>
      <c r="H43" s="1894"/>
      <c r="I43" s="1898" t="str">
        <f>CO2データ!D142</f>
        <v>ミツウロコグリーンエネルギー株式会社</v>
      </c>
      <c r="J43" s="1899">
        <f>CO2データ!I142</f>
        <v>3.6600000000000001E-4</v>
      </c>
      <c r="K43" s="1894"/>
      <c r="L43" s="1900"/>
    </row>
    <row r="44" spans="2:12">
      <c r="B44" s="1907"/>
      <c r="C44" s="1892"/>
      <c r="D44" s="1892"/>
      <c r="E44" s="1892"/>
      <c r="F44" s="1893"/>
      <c r="H44" s="1894"/>
      <c r="I44" s="1898" t="str">
        <f>CO2データ!D143</f>
        <v>リエスパワー株式会社</v>
      </c>
      <c r="J44" s="1899">
        <f>CO2データ!I143</f>
        <v>4.2000000000000002E-4</v>
      </c>
      <c r="K44" s="1894" t="s">
        <v>1335</v>
      </c>
      <c r="L44" s="1900"/>
    </row>
    <row r="45" spans="2:12">
      <c r="B45" s="1907"/>
      <c r="C45" s="1892"/>
      <c r="D45" s="1892"/>
      <c r="E45" s="1892"/>
      <c r="F45" s="1893"/>
      <c r="H45" s="1894" t="s">
        <v>1179</v>
      </c>
      <c r="I45" s="1892"/>
      <c r="J45" s="1892"/>
      <c r="K45" s="1892"/>
      <c r="L45" s="1900"/>
    </row>
    <row r="46" spans="2:12">
      <c r="B46" s="1907"/>
      <c r="C46" s="1892"/>
      <c r="D46" s="1892"/>
      <c r="E46" s="1892"/>
      <c r="F46" s="1893"/>
      <c r="H46" s="1894"/>
      <c r="I46" s="1908">
        <f>CO2データ!D145</f>
        <v>0</v>
      </c>
      <c r="J46" s="1899">
        <f>CO2データ!I145</f>
        <v>5.5000000000000003E-4</v>
      </c>
      <c r="K46" s="1894" t="s">
        <v>1084</v>
      </c>
      <c r="L46" s="1900"/>
    </row>
    <row r="47" spans="2:12" ht="14.25" thickBot="1">
      <c r="B47" s="1909"/>
      <c r="C47" s="1910"/>
      <c r="D47" s="1910"/>
      <c r="E47" s="1910"/>
      <c r="F47" s="1911"/>
      <c r="H47" s="1912"/>
      <c r="I47" s="1913"/>
      <c r="J47" s="1913"/>
      <c r="K47" s="1913"/>
      <c r="L47" s="1914"/>
    </row>
    <row r="48" spans="2:12">
      <c r="H48" s="1747"/>
      <c r="I48" s="1747"/>
      <c r="J48" s="1747"/>
      <c r="K48" s="1747"/>
    </row>
    <row r="49" spans="2:10" hidden="1">
      <c r="B49" s="1747" t="s">
        <v>1087</v>
      </c>
      <c r="D49" s="1747" t="str">
        <f>CO2データ!I104</f>
        <v>実排出係数及び代替値</v>
      </c>
      <c r="F49" s="1747" t="str">
        <f>CO2データ!K104</f>
        <v>調整後排出係数</v>
      </c>
      <c r="G49" s="1747"/>
      <c r="H49" s="1747"/>
    </row>
    <row r="50" spans="2:10" hidden="1">
      <c r="C50" s="1459" t="s">
        <v>1248</v>
      </c>
      <c r="D50" s="1747">
        <f>CO2データ!I129</f>
        <v>4.9399999999999997E-4</v>
      </c>
      <c r="F50" s="1747">
        <f>CO2データ!K129</f>
        <v>4.8999999999999998E-4</v>
      </c>
      <c r="I50" s="1915" t="s">
        <v>938</v>
      </c>
      <c r="J50">
        <f>IF(C5=C16,VLOOKUP(C5,C50:F88,4),"N.A.")</f>
        <v>5.9900000000000003E-4</v>
      </c>
    </row>
    <row r="51" spans="2:10" hidden="1">
      <c r="C51" s="1459" t="s">
        <v>1247</v>
      </c>
      <c r="D51" s="1747">
        <f>CO2データ!I128</f>
        <v>3.6699999999999998E-4</v>
      </c>
      <c r="F51" s="1747">
        <f>CO2データ!K128</f>
        <v>3.6400000000000001E-4</v>
      </c>
      <c r="I51" s="1915" t="s">
        <v>1089</v>
      </c>
      <c r="J51">
        <f>D16-J50</f>
        <v>1.2999999999999991E-5</v>
      </c>
    </row>
    <row r="52" spans="2:10" hidden="1">
      <c r="C52" s="1459" t="s">
        <v>1088</v>
      </c>
      <c r="D52" s="1747">
        <f>CO2データ!I115</f>
        <v>6.0300000000000002E-4</v>
      </c>
      <c r="F52" s="1747">
        <f>CO2データ!K115</f>
        <v>4.28E-4</v>
      </c>
    </row>
    <row r="53" spans="2:10" hidden="1">
      <c r="C53" s="1459" t="s">
        <v>1090</v>
      </c>
      <c r="D53" s="1747">
        <f>CO2データ!I118</f>
        <v>6.1600000000000001E-4</v>
      </c>
      <c r="F53" s="1747">
        <f>CO2データ!K118</f>
        <v>4.8200000000000001E-4</v>
      </c>
    </row>
    <row r="54" spans="2:10" hidden="1">
      <c r="C54" s="1459" t="s">
        <v>1243</v>
      </c>
      <c r="D54" s="1747">
        <f>CO2データ!I121</f>
        <v>7.6199999999999998E-4</v>
      </c>
      <c r="F54" s="1747">
        <f>CO2データ!K121</f>
        <v>7.5699999999999997E-4</v>
      </c>
    </row>
    <row r="55" spans="2:10" hidden="1">
      <c r="C55" s="1459" t="s">
        <v>1091</v>
      </c>
      <c r="D55" s="1747">
        <f>CO2データ!I127</f>
        <v>4.3800000000000002E-4</v>
      </c>
      <c r="F55" s="1747">
        <f>CO2データ!K127</f>
        <v>2.5900000000000001E-4</v>
      </c>
    </row>
    <row r="56" spans="2:10" hidden="1">
      <c r="C56" s="1459" t="s">
        <v>1092</v>
      </c>
      <c r="D56" s="1747">
        <f>CO2データ!I134</f>
        <v>4.3100000000000001E-4</v>
      </c>
      <c r="F56" s="1747">
        <f>CO2データ!K134</f>
        <v>4.2700000000000002E-4</v>
      </c>
    </row>
    <row r="57" spans="2:10" hidden="1">
      <c r="C57" s="1459" t="s">
        <v>1252</v>
      </c>
      <c r="D57" s="1747">
        <f>CO2データ!I135</f>
        <v>4.9399999999999997E-4</v>
      </c>
      <c r="F57" s="1747">
        <f>CO2データ!K135</f>
        <v>4.8999999999999998E-4</v>
      </c>
    </row>
    <row r="58" spans="2:10" hidden="1">
      <c r="C58" s="1459" t="s">
        <v>1093</v>
      </c>
      <c r="D58" s="1747">
        <f>CO2データ!I139</f>
        <v>4.9799999999999996E-4</v>
      </c>
      <c r="F58" s="1747">
        <f>CO2データ!K139</f>
        <v>4.9200000000000003E-4</v>
      </c>
    </row>
    <row r="59" spans="2:10" hidden="1">
      <c r="C59" s="1459" t="s">
        <v>1256</v>
      </c>
      <c r="D59" s="1747">
        <f>CO2データ!I140</f>
        <v>1.8E-5</v>
      </c>
      <c r="F59" s="1747">
        <f>CO2データ!K140</f>
        <v>2.1999999999999999E-5</v>
      </c>
    </row>
    <row r="60" spans="2:10" hidden="1">
      <c r="C60" s="1459" t="s">
        <v>1257</v>
      </c>
      <c r="D60" s="1747">
        <f>CO2データ!I142</f>
        <v>3.6600000000000001E-4</v>
      </c>
      <c r="F60" s="1747">
        <f>CO2データ!K142</f>
        <v>4.4499999999999997E-4</v>
      </c>
    </row>
    <row r="61" spans="2:10" hidden="1">
      <c r="C61" s="1459" t="s">
        <v>1258</v>
      </c>
      <c r="D61" s="1747">
        <f>CO2データ!I143</f>
        <v>4.2000000000000002E-4</v>
      </c>
      <c r="F61" s="1747">
        <f>CO2データ!K143</f>
        <v>0</v>
      </c>
    </row>
    <row r="62" spans="2:10" hidden="1">
      <c r="C62" s="1459" t="s">
        <v>1241</v>
      </c>
      <c r="D62" s="1747">
        <f>CO2データ!I117</f>
        <v>6.7599999999999995E-4</v>
      </c>
      <c r="F62" s="1747">
        <f>CO2データ!K117</f>
        <v>2.9300000000000002E-4</v>
      </c>
    </row>
    <row r="63" spans="2:10" hidden="1">
      <c r="C63" s="1459" t="s">
        <v>1242</v>
      </c>
      <c r="D63" s="1747">
        <f>CO2データ!I119</f>
        <v>4.5600000000000003E-4</v>
      </c>
      <c r="F63" s="1747">
        <f>CO2データ!K119</f>
        <v>4.5600000000000003E-4</v>
      </c>
    </row>
    <row r="64" spans="2:10" hidden="1">
      <c r="C64" s="1459" t="s">
        <v>1094</v>
      </c>
      <c r="D64" s="1747">
        <f>CO2データ!I120</f>
        <v>4.75E-4</v>
      </c>
      <c r="F64" s="1747">
        <f>CO2データ!K120</f>
        <v>4.7100000000000001E-4</v>
      </c>
    </row>
    <row r="65" spans="3:6" hidden="1">
      <c r="C65" s="1459" t="s">
        <v>1095</v>
      </c>
      <c r="D65" s="1747">
        <f>CO2データ!I114</f>
        <v>9.0300000000000005E-4</v>
      </c>
      <c r="F65" s="1747">
        <f>CO2データ!K114</f>
        <v>6.9200000000000002E-4</v>
      </c>
    </row>
    <row r="66" spans="3:6" hidden="1">
      <c r="C66" s="1459" t="s">
        <v>1096</v>
      </c>
      <c r="D66" s="1747">
        <f>CO2データ!I124</f>
        <v>5.2499999999999997E-4</v>
      </c>
      <c r="F66" s="1747">
        <f>CO2データ!K124</f>
        <v>4.4499999999999997E-4</v>
      </c>
    </row>
    <row r="67" spans="3:6" hidden="1">
      <c r="C67" s="1459" t="s">
        <v>1245</v>
      </c>
      <c r="D67" s="1747">
        <f>CO2データ!I125</f>
        <v>4.4099999999999999E-4</v>
      </c>
      <c r="F67" s="1747">
        <f>CO2データ!K125</f>
        <v>0</v>
      </c>
    </row>
    <row r="68" spans="3:6" hidden="1">
      <c r="C68" s="1459" t="s">
        <v>1244</v>
      </c>
      <c r="D68" s="1747">
        <f>CO2データ!I122</f>
        <v>0</v>
      </c>
      <c r="F68" s="1747">
        <f>CO2データ!K122</f>
        <v>0</v>
      </c>
    </row>
    <row r="69" spans="3:6" hidden="1">
      <c r="C69" s="1459" t="s">
        <v>1097</v>
      </c>
      <c r="D69" s="1747">
        <f>CO2データ!I123</f>
        <v>4.2900000000000002E-4</v>
      </c>
      <c r="F69" s="1747">
        <f>CO2データ!K123</f>
        <v>4.2700000000000002E-4</v>
      </c>
    </row>
    <row r="70" spans="3:6" hidden="1">
      <c r="C70" s="1459" t="s">
        <v>1246</v>
      </c>
      <c r="D70" s="1747">
        <f>CO2データ!I126</f>
        <v>7.9699999999999997E-4</v>
      </c>
      <c r="F70" s="1747">
        <f>CO2データ!K126</f>
        <v>7.8899999999999999E-4</v>
      </c>
    </row>
    <row r="71" spans="3:6" hidden="1">
      <c r="C71" s="1459" t="s">
        <v>1098</v>
      </c>
      <c r="D71" s="1747">
        <f>CO2データ!I110</f>
        <v>5.1400000000000003E-4</v>
      </c>
      <c r="F71" s="1747">
        <f>CO2データ!K110</f>
        <v>4.75E-4</v>
      </c>
    </row>
    <row r="72" spans="3:6" hidden="1">
      <c r="C72" s="1459" t="s">
        <v>1099</v>
      </c>
      <c r="D72" s="1747">
        <f>CO2データ!I141</f>
        <v>3.7800000000000003E-4</v>
      </c>
      <c r="F72" s="1747">
        <f>CO2データ!K141</f>
        <v>3.2400000000000001E-4</v>
      </c>
    </row>
    <row r="73" spans="3:6" hidden="1">
      <c r="C73" s="1459" t="s">
        <v>1100</v>
      </c>
      <c r="D73" s="1747">
        <f>CO2データ!I113</f>
        <v>6.1200000000000002E-4</v>
      </c>
      <c r="F73" s="1747">
        <f>CO2データ!K113</f>
        <v>5.9900000000000003E-4</v>
      </c>
    </row>
    <row r="74" spans="3:6" hidden="1">
      <c r="C74" s="1459" t="s">
        <v>1101</v>
      </c>
      <c r="D74" s="1747">
        <f>CO2データ!I112</f>
        <v>6.9999999999999999E-4</v>
      </c>
      <c r="F74" s="1747">
        <f>CO2データ!K112</f>
        <v>6.5600000000000001E-4</v>
      </c>
    </row>
    <row r="75" spans="3:6" hidden="1">
      <c r="C75" s="1459" t="s">
        <v>1249</v>
      </c>
      <c r="D75" s="1747">
        <f>CO2データ!I130</f>
        <v>3.1199999999999999E-4</v>
      </c>
      <c r="F75" s="1747">
        <f>CO2データ!K130</f>
        <v>3.0899999999999998E-4</v>
      </c>
    </row>
    <row r="76" spans="3:6" hidden="1">
      <c r="C76" s="1459" t="s">
        <v>1240</v>
      </c>
      <c r="D76" s="1747">
        <f>CO2データ!I116</f>
        <v>8.6000000000000003E-5</v>
      </c>
      <c r="F76" s="1747">
        <f>CO2データ!K116</f>
        <v>1.06E-4</v>
      </c>
    </row>
    <row r="77" spans="3:6" hidden="1">
      <c r="C77" s="1459" t="s">
        <v>1102</v>
      </c>
      <c r="D77" s="1747">
        <f>CO2データ!I131</f>
        <v>3.6699999999999998E-4</v>
      </c>
      <c r="F77" s="1747">
        <f>CO2データ!K131</f>
        <v>3.6400000000000001E-4</v>
      </c>
    </row>
    <row r="78" spans="3:6" hidden="1">
      <c r="C78" s="1459" t="s">
        <v>1250</v>
      </c>
      <c r="D78" s="1747">
        <f>CO2データ!I132</f>
        <v>6.5499999999999998E-4</v>
      </c>
      <c r="F78" s="1747">
        <f>CO2データ!K132</f>
        <v>6.5399999999999996E-4</v>
      </c>
    </row>
    <row r="79" spans="3:6" hidden="1">
      <c r="C79" s="1459" t="s">
        <v>1251</v>
      </c>
      <c r="D79" s="1747">
        <f>CO2データ!I133</f>
        <v>3.88E-4</v>
      </c>
      <c r="F79" s="1747">
        <f>CO2データ!K133</f>
        <v>3.8499999999999998E-4</v>
      </c>
    </row>
    <row r="80" spans="3:6" hidden="1">
      <c r="C80" s="1459" t="s">
        <v>1103</v>
      </c>
      <c r="D80" s="1747">
        <f>CO2データ!I111</f>
        <v>7.3800000000000005E-4</v>
      </c>
      <c r="F80" s="1747">
        <f>CO2データ!K111</f>
        <v>6.7199999999999996E-4</v>
      </c>
    </row>
    <row r="81" spans="3:6" hidden="1">
      <c r="C81" s="1459" t="s">
        <v>1104</v>
      </c>
      <c r="D81" s="1747">
        <f>CO2データ!I108</f>
        <v>5.1599999999999997E-4</v>
      </c>
      <c r="F81" s="1747">
        <f>CO2データ!K108</f>
        <v>3.7300000000000001E-4</v>
      </c>
    </row>
    <row r="82" spans="3:6" hidden="1">
      <c r="C82" s="1459" t="s">
        <v>1253</v>
      </c>
      <c r="D82" s="1747">
        <f>CO2データ!I136</f>
        <v>9.2E-5</v>
      </c>
      <c r="F82" s="1747">
        <f>CO2データ!K136</f>
        <v>9.1000000000000003E-5</v>
      </c>
    </row>
    <row r="83" spans="3:6" hidden="1">
      <c r="C83" s="1459" t="s">
        <v>1083</v>
      </c>
      <c r="D83" s="1747">
        <f>CO2データ!I107</f>
        <v>5.2499999999999997E-4</v>
      </c>
      <c r="F83" s="1747">
        <f>CO2データ!K107</f>
        <v>4.06E-4</v>
      </c>
    </row>
    <row r="84" spans="3:6" hidden="1">
      <c r="C84" s="1459" t="s">
        <v>1105</v>
      </c>
      <c r="D84" s="1747">
        <f>CO2データ!I106</f>
        <v>5.9999999999999995E-4</v>
      </c>
      <c r="F84" s="1747">
        <f>CO2データ!K106</f>
        <v>5.5999999999999995E-4</v>
      </c>
    </row>
    <row r="85" spans="3:6" hidden="1">
      <c r="C85" s="1459" t="s">
        <v>1254</v>
      </c>
      <c r="D85" s="1747">
        <f>CO2データ!I137</f>
        <v>5.0799999999999999E-4</v>
      </c>
      <c r="F85" s="1747">
        <f>CO2データ!K137</f>
        <v>5.0900000000000001E-4</v>
      </c>
    </row>
    <row r="86" spans="3:6" hidden="1">
      <c r="C86" s="1459" t="s">
        <v>1255</v>
      </c>
      <c r="D86" s="1747">
        <f>CO2データ!I138</f>
        <v>4.86E-4</v>
      </c>
      <c r="F86" s="1747">
        <f>CO2データ!K138</f>
        <v>2.5599999999999999E-4</v>
      </c>
    </row>
    <row r="87" spans="3:6" hidden="1">
      <c r="C87" s="1459" t="s">
        <v>1106</v>
      </c>
      <c r="D87" s="1747">
        <f>CO2データ!I105</f>
        <v>6.8800000000000003E-4</v>
      </c>
      <c r="F87" s="1747">
        <f>CO2データ!K105</f>
        <v>6.8000000000000005E-4</v>
      </c>
    </row>
    <row r="88" spans="3:6" hidden="1">
      <c r="C88" s="1459" t="s">
        <v>1107</v>
      </c>
      <c r="D88" s="1747">
        <f>CO2データ!I109</f>
        <v>6.6299999999999996E-4</v>
      </c>
      <c r="F88" s="1747">
        <f>CO2データ!K109</f>
        <v>4.9399999999999997E-4</v>
      </c>
    </row>
  </sheetData>
  <sheetProtection password="8D30" sheet="1" objects="1" scenarios="1"/>
  <mergeCells count="1">
    <mergeCell ref="C13:E14"/>
  </mergeCells>
  <phoneticPr fontId="20"/>
  <conditionalFormatting sqref="C16">
    <cfRule type="expression" dxfId="358" priority="1" stopIfTrue="1">
      <formula>$O$3=2</formula>
    </cfRule>
  </conditionalFormatting>
  <conditionalFormatting sqref="C10:D10">
    <cfRule type="expression" dxfId="357" priority="2" stopIfTrue="1">
      <formula>$O$3=1</formula>
    </cfRule>
  </conditionalFormatting>
  <conditionalFormatting sqref="C20:D20">
    <cfRule type="expression" dxfId="356" priority="3" stopIfTrue="1">
      <formula>$O$3=3</formula>
    </cfRule>
  </conditionalFormatting>
  <conditionalFormatting sqref="C28:D43">
    <cfRule type="expression" dxfId="355"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132098"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132099"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132100"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132101"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38"/>
  <sheetViews>
    <sheetView showGridLines="0" workbookViewId="0">
      <selection activeCell="I37" sqref="I37"/>
    </sheetView>
  </sheetViews>
  <sheetFormatPr defaultColWidth="0" defaultRowHeight="0" customHeight="1" zeroHeight="1"/>
  <cols>
    <col min="1" max="1" width="1.125" style="202" customWidth="1"/>
    <col min="2" max="18" width="8.75" style="202" customWidth="1"/>
    <col min="19" max="19" width="1.5" style="202" customWidth="1"/>
    <col min="20" max="16384" width="8.75" style="202" hidden="1"/>
  </cols>
  <sheetData>
    <row r="1" spans="2:18" ht="13.5" customHeight="1">
      <c r="B1" s="1789"/>
      <c r="C1" s="1789"/>
      <c r="D1" s="1789"/>
      <c r="E1" s="1789"/>
      <c r="F1" s="1789"/>
      <c r="G1" s="1789"/>
      <c r="H1" s="1789"/>
      <c r="I1" s="1789"/>
      <c r="J1" s="1789"/>
      <c r="K1" s="1789"/>
      <c r="L1" s="1789"/>
      <c r="M1" s="1789"/>
      <c r="N1" s="1789"/>
      <c r="O1" s="1789"/>
      <c r="P1" s="1789"/>
      <c r="Q1" s="1789"/>
      <c r="R1" s="1789"/>
    </row>
    <row r="2" spans="2:18" ht="13.5" customHeight="1">
      <c r="B2" s="1789"/>
      <c r="C2" s="1789"/>
      <c r="D2" s="1789"/>
      <c r="E2" s="1789"/>
      <c r="F2" s="1789"/>
      <c r="G2" s="1789"/>
      <c r="H2" s="1789"/>
      <c r="I2" s="1789"/>
      <c r="J2" s="1789"/>
      <c r="K2" s="1789"/>
      <c r="L2" s="1789"/>
      <c r="M2" s="1789"/>
      <c r="N2" s="1789"/>
      <c r="O2" s="1789"/>
      <c r="P2" s="1789"/>
      <c r="Q2" s="1789"/>
      <c r="R2" s="1789"/>
    </row>
    <row r="3" spans="2:18" ht="13.5" customHeight="1">
      <c r="B3" s="1789"/>
      <c r="C3" s="1789"/>
      <c r="D3" s="1789"/>
      <c r="E3" s="1789"/>
      <c r="F3" s="1789"/>
      <c r="G3" s="1789"/>
      <c r="H3" s="1789"/>
      <c r="I3" s="1789"/>
      <c r="J3" s="1789"/>
      <c r="K3" s="1789"/>
      <c r="L3" s="1789"/>
      <c r="M3" s="1789"/>
      <c r="N3" s="1789"/>
      <c r="O3" s="1789"/>
      <c r="P3" s="1789"/>
      <c r="Q3" s="1789"/>
      <c r="R3" s="1789"/>
    </row>
    <row r="4" spans="2:18" ht="13.5" customHeight="1">
      <c r="B4" s="1789"/>
      <c r="C4" s="1789"/>
      <c r="D4" s="1789"/>
      <c r="E4" s="1789"/>
      <c r="F4" s="1789"/>
      <c r="G4" s="1789"/>
      <c r="H4" s="1789"/>
      <c r="I4" s="1789"/>
      <c r="J4" s="1789"/>
      <c r="K4" s="1789"/>
      <c r="L4" s="1789"/>
      <c r="M4" s="1789"/>
      <c r="N4" s="1789"/>
      <c r="O4" s="1789"/>
      <c r="P4" s="1789"/>
      <c r="Q4" s="1789"/>
      <c r="R4" s="1789"/>
    </row>
    <row r="5" spans="2:18" ht="13.5" customHeight="1">
      <c r="B5" s="1789"/>
      <c r="C5" s="1789"/>
      <c r="D5" s="1789"/>
      <c r="E5" s="1789"/>
      <c r="F5" s="1789"/>
      <c r="G5" s="1789"/>
      <c r="H5" s="1789"/>
      <c r="I5" s="1789"/>
      <c r="J5" s="1789"/>
      <c r="K5" s="1789"/>
      <c r="L5" s="1789"/>
      <c r="M5" s="1789"/>
      <c r="N5" s="1789"/>
      <c r="O5" s="1789"/>
      <c r="P5" s="1789"/>
      <c r="Q5" s="1789"/>
      <c r="R5" s="1789"/>
    </row>
    <row r="6" spans="2:18" ht="13.5" customHeight="1">
      <c r="B6" s="1789"/>
      <c r="C6" s="1789"/>
      <c r="D6" s="1789"/>
      <c r="E6" s="1789"/>
      <c r="F6" s="1789"/>
      <c r="G6" s="1789"/>
      <c r="H6" s="1789"/>
      <c r="I6" s="1789"/>
      <c r="J6" s="1789"/>
      <c r="K6" s="1789"/>
      <c r="L6" s="1789"/>
      <c r="M6" s="1789"/>
      <c r="N6" s="1789"/>
      <c r="O6" s="1789"/>
      <c r="P6" s="1789"/>
      <c r="Q6" s="1789"/>
      <c r="R6" s="1789"/>
    </row>
    <row r="7" spans="2:18" ht="13.5" customHeight="1">
      <c r="B7" s="1789"/>
      <c r="C7" s="1789"/>
      <c r="D7" s="1789"/>
      <c r="E7" s="1789"/>
      <c r="F7" s="1789"/>
      <c r="G7" s="1789"/>
      <c r="H7" s="1789"/>
      <c r="I7" s="1789"/>
      <c r="J7" s="1789"/>
      <c r="K7" s="1789"/>
      <c r="L7" s="1789"/>
      <c r="M7" s="1789"/>
      <c r="N7" s="1789"/>
      <c r="O7" s="1789"/>
      <c r="P7" s="1789"/>
      <c r="Q7" s="1789"/>
      <c r="R7" s="1789"/>
    </row>
    <row r="8" spans="2:18" ht="13.5" customHeight="1">
      <c r="B8" s="1789"/>
      <c r="C8" s="1789"/>
      <c r="D8" s="1789"/>
      <c r="E8" s="1789"/>
      <c r="F8" s="1789"/>
      <c r="G8" s="1789"/>
      <c r="H8" s="1789"/>
      <c r="I8" s="1789"/>
      <c r="J8" s="1789"/>
      <c r="K8" s="1789"/>
      <c r="L8" s="1789"/>
      <c r="M8" s="1789"/>
      <c r="N8" s="1789"/>
      <c r="O8" s="1789"/>
      <c r="P8" s="1789"/>
      <c r="Q8" s="1789"/>
      <c r="R8" s="1789"/>
    </row>
    <row r="9" spans="2:18" ht="13.5" customHeight="1">
      <c r="B9" s="1789"/>
      <c r="C9" s="1789"/>
      <c r="D9" s="1789"/>
      <c r="E9" s="1789"/>
      <c r="F9" s="1789"/>
      <c r="G9" s="1789"/>
      <c r="H9" s="1789"/>
      <c r="I9" s="1789"/>
      <c r="J9" s="1789"/>
      <c r="K9" s="1789"/>
      <c r="L9" s="1789"/>
      <c r="M9" s="1789"/>
      <c r="N9" s="1789"/>
      <c r="O9" s="1789"/>
      <c r="P9" s="1789"/>
      <c r="Q9" s="1789"/>
      <c r="R9" s="1789"/>
    </row>
    <row r="10" spans="2:18" ht="13.5" customHeight="1">
      <c r="B10" s="1789"/>
      <c r="C10" s="1789"/>
      <c r="D10" s="1789"/>
      <c r="E10" s="1789"/>
      <c r="F10" s="1789"/>
      <c r="G10" s="1789"/>
      <c r="H10" s="1789"/>
      <c r="I10" s="1789"/>
      <c r="J10" s="1789"/>
      <c r="K10" s="1789"/>
      <c r="L10" s="1789"/>
      <c r="M10" s="1789"/>
      <c r="N10" s="1789"/>
      <c r="O10" s="1789"/>
      <c r="P10" s="1789"/>
      <c r="Q10" s="1789"/>
      <c r="R10" s="1789"/>
    </row>
    <row r="11" spans="2:18" ht="13.5" customHeight="1">
      <c r="B11" s="1789"/>
      <c r="C11" s="1789"/>
      <c r="D11" s="1789"/>
      <c r="E11" s="1789"/>
      <c r="F11" s="1789"/>
      <c r="G11" s="1789"/>
      <c r="H11" s="1789"/>
      <c r="I11" s="1789"/>
      <c r="J11" s="1789"/>
      <c r="K11" s="1789"/>
      <c r="L11" s="1789"/>
      <c r="M11" s="1789"/>
      <c r="N11" s="1789"/>
      <c r="O11" s="1789"/>
      <c r="P11" s="1789"/>
      <c r="Q11" s="1789"/>
      <c r="R11" s="1789"/>
    </row>
    <row r="12" spans="2:18" ht="13.5" customHeight="1">
      <c r="B12" s="1789"/>
      <c r="C12" s="1789"/>
      <c r="D12" s="1789"/>
      <c r="E12" s="1789"/>
      <c r="F12" s="1789"/>
      <c r="G12" s="1789"/>
      <c r="H12" s="1789"/>
      <c r="I12" s="1789"/>
      <c r="J12" s="1789"/>
      <c r="K12" s="1789"/>
      <c r="L12" s="1789"/>
      <c r="M12" s="1789"/>
      <c r="N12" s="1789"/>
      <c r="O12" s="1789"/>
      <c r="P12" s="1789"/>
      <c r="Q12" s="1789"/>
      <c r="R12" s="1789"/>
    </row>
    <row r="13" spans="2:18" ht="18.75">
      <c r="B13" s="1789"/>
      <c r="C13" s="1789"/>
      <c r="D13" s="1789"/>
      <c r="E13" s="1790"/>
      <c r="F13" s="1789"/>
      <c r="G13" s="1789"/>
      <c r="H13" s="1789"/>
      <c r="I13" s="1789"/>
      <c r="J13" s="1789"/>
      <c r="K13" s="1789"/>
      <c r="L13" s="1789"/>
      <c r="M13" s="1789"/>
      <c r="N13" s="1789"/>
      <c r="O13" s="1789"/>
      <c r="P13" s="1789"/>
      <c r="Q13" s="1789"/>
      <c r="R13" s="1789"/>
    </row>
    <row r="14" spans="2:18" ht="13.5" customHeight="1">
      <c r="B14" s="1789"/>
      <c r="C14" s="1789"/>
      <c r="D14" s="1789"/>
      <c r="E14" s="1789"/>
      <c r="F14" s="1789"/>
      <c r="G14" s="1789"/>
      <c r="H14" s="1789"/>
      <c r="I14" s="1789"/>
      <c r="J14" s="1789"/>
      <c r="K14" s="1789"/>
      <c r="L14" s="1789"/>
      <c r="M14" s="1789"/>
      <c r="N14" s="1789"/>
      <c r="O14" s="1789"/>
      <c r="P14" s="1789"/>
      <c r="Q14" s="1789"/>
      <c r="R14" s="1789"/>
    </row>
    <row r="15" spans="2:18" ht="13.5" customHeight="1">
      <c r="B15" s="1789"/>
      <c r="C15" s="1789"/>
      <c r="D15" s="1789"/>
      <c r="E15" s="1789"/>
      <c r="F15" s="1789"/>
      <c r="G15" s="1789"/>
      <c r="H15" s="1789"/>
      <c r="I15" s="1789"/>
      <c r="J15" s="1789"/>
      <c r="K15" s="1789"/>
      <c r="L15" s="1789"/>
      <c r="M15" s="1789"/>
      <c r="N15" s="1789"/>
      <c r="O15" s="1789"/>
      <c r="P15" s="1789"/>
      <c r="Q15" s="1789"/>
      <c r="R15" s="1789"/>
    </row>
    <row r="16" spans="2:18" ht="13.5" customHeight="1">
      <c r="B16" s="1789"/>
      <c r="C16" s="1789"/>
      <c r="D16" s="1789"/>
      <c r="E16" s="1789"/>
      <c r="F16" s="1789"/>
      <c r="G16" s="1789"/>
      <c r="H16" s="1789"/>
      <c r="I16" s="1789"/>
      <c r="J16" s="1789"/>
      <c r="K16" s="1789"/>
      <c r="L16" s="1789"/>
      <c r="M16" s="1789"/>
      <c r="N16" s="1789"/>
      <c r="O16" s="1789"/>
      <c r="P16" s="1789"/>
      <c r="Q16" s="1789"/>
      <c r="R16" s="1789"/>
    </row>
    <row r="17" spans="2:18" ht="13.5" customHeight="1">
      <c r="B17" s="1789"/>
      <c r="C17" s="1789"/>
      <c r="D17" s="1789"/>
      <c r="E17" s="1789"/>
      <c r="F17" s="1789"/>
      <c r="G17" s="1789"/>
      <c r="H17" s="1789"/>
      <c r="I17" s="1789"/>
      <c r="J17" s="1789"/>
      <c r="K17" s="1789"/>
      <c r="L17" s="1789"/>
      <c r="M17" s="1789"/>
      <c r="N17" s="1789"/>
      <c r="O17" s="1789"/>
      <c r="P17" s="1789"/>
      <c r="Q17" s="1789"/>
      <c r="R17" s="1789"/>
    </row>
    <row r="18" spans="2:18" ht="13.5" customHeight="1">
      <c r="B18" s="1789"/>
      <c r="C18" s="1789"/>
      <c r="D18" s="1789"/>
      <c r="E18" s="1789"/>
      <c r="F18" s="1789"/>
      <c r="G18" s="1789"/>
      <c r="H18" s="1789"/>
      <c r="I18" s="1789"/>
      <c r="J18" s="1789"/>
      <c r="K18" s="1789"/>
      <c r="L18" s="1789"/>
      <c r="M18" s="1789"/>
      <c r="N18" s="1789"/>
      <c r="O18" s="1789"/>
      <c r="P18" s="1789"/>
      <c r="Q18" s="1789"/>
      <c r="R18" s="1789"/>
    </row>
    <row r="19" spans="2:18" ht="13.5" customHeight="1">
      <c r="B19" s="1789"/>
      <c r="C19" s="1789"/>
      <c r="D19" s="1789"/>
      <c r="E19" s="1789"/>
      <c r="F19" s="1789"/>
      <c r="G19" s="1789"/>
      <c r="H19" s="1789"/>
      <c r="I19" s="1789"/>
      <c r="J19" s="1789"/>
      <c r="K19" s="1789"/>
      <c r="L19" s="1789"/>
      <c r="M19" s="1789"/>
      <c r="N19" s="1789"/>
      <c r="O19" s="1789"/>
      <c r="P19" s="1789"/>
      <c r="Q19" s="1789"/>
      <c r="R19" s="1789"/>
    </row>
    <row r="20" spans="2:18" ht="13.5" customHeight="1">
      <c r="B20" s="1789"/>
      <c r="C20" s="1789"/>
      <c r="D20" s="1789"/>
      <c r="E20" s="1789"/>
      <c r="F20" s="1789"/>
      <c r="G20" s="1789"/>
      <c r="H20" s="1789"/>
      <c r="I20" s="1789"/>
      <c r="J20" s="1789"/>
      <c r="K20" s="1789"/>
      <c r="L20" s="1789"/>
      <c r="M20" s="1789"/>
      <c r="N20" s="1789"/>
      <c r="O20" s="1789"/>
      <c r="P20" s="1789"/>
      <c r="Q20" s="1789"/>
      <c r="R20" s="1789"/>
    </row>
    <row r="21" spans="2:18" ht="13.5" customHeight="1">
      <c r="B21" s="1789"/>
      <c r="C21" s="1789"/>
      <c r="D21" s="1789"/>
      <c r="E21" s="1789"/>
      <c r="F21" s="1789"/>
      <c r="G21" s="1789"/>
      <c r="H21" s="1789"/>
      <c r="I21" s="1789"/>
      <c r="J21" s="1789"/>
      <c r="K21" s="1789"/>
      <c r="L21" s="1789"/>
      <c r="M21" s="1789"/>
      <c r="N21" s="1789"/>
      <c r="O21" s="1789"/>
      <c r="P21" s="1789"/>
      <c r="Q21" s="1789"/>
      <c r="R21" s="1789"/>
    </row>
    <row r="22" spans="2:18" ht="13.5" customHeight="1">
      <c r="B22" s="1789"/>
      <c r="C22" s="1789"/>
      <c r="D22" s="1789"/>
      <c r="E22" s="1789"/>
      <c r="F22" s="1789"/>
      <c r="G22" s="1789"/>
      <c r="H22" s="1789"/>
      <c r="I22" s="1789"/>
      <c r="J22" s="1789"/>
      <c r="K22" s="1789"/>
      <c r="L22" s="1789"/>
      <c r="M22" s="1789"/>
      <c r="N22" s="1789"/>
      <c r="O22" s="1789"/>
      <c r="P22" s="1789"/>
      <c r="Q22" s="1789"/>
      <c r="R22" s="1789"/>
    </row>
    <row r="23" spans="2:18" ht="13.5" customHeight="1">
      <c r="B23" s="1789"/>
      <c r="C23" s="1789"/>
      <c r="D23" s="1789"/>
      <c r="E23" s="1789"/>
      <c r="F23" s="1789"/>
      <c r="G23" s="1789"/>
      <c r="H23" s="1789"/>
      <c r="I23" s="1789"/>
      <c r="J23" s="1789"/>
      <c r="K23" s="1789"/>
      <c r="L23" s="1789"/>
      <c r="M23" s="1789"/>
      <c r="N23" s="1789"/>
      <c r="O23" s="1789"/>
      <c r="P23" s="1789"/>
      <c r="Q23" s="1789"/>
      <c r="R23" s="1789"/>
    </row>
    <row r="24" spans="2:18" ht="13.5" customHeight="1">
      <c r="B24" s="1789"/>
      <c r="C24" s="1789"/>
      <c r="D24" s="1789"/>
      <c r="E24" s="1789"/>
      <c r="F24" s="1789"/>
      <c r="G24" s="1789"/>
      <c r="H24" s="1789"/>
      <c r="I24" s="1789"/>
      <c r="J24" s="1789"/>
      <c r="K24" s="1789"/>
      <c r="L24" s="1789"/>
      <c r="M24" s="1789"/>
      <c r="N24" s="1789"/>
      <c r="O24" s="1789"/>
      <c r="P24" s="1789"/>
      <c r="Q24" s="1789"/>
      <c r="R24" s="1789"/>
    </row>
    <row r="25" spans="2:18" ht="13.5" customHeight="1">
      <c r="B25" s="1789"/>
      <c r="C25" s="1789"/>
      <c r="D25" s="1789"/>
      <c r="E25" s="1789"/>
      <c r="F25" s="1789"/>
      <c r="G25" s="1789"/>
      <c r="H25" s="1789"/>
      <c r="I25" s="1789"/>
      <c r="J25" s="1789"/>
      <c r="K25" s="1789"/>
      <c r="L25" s="1789"/>
      <c r="M25" s="1789"/>
      <c r="N25" s="1789"/>
      <c r="O25" s="1789"/>
      <c r="P25" s="1789"/>
      <c r="Q25" s="1789"/>
      <c r="R25" s="1789"/>
    </row>
    <row r="26" spans="2:18" ht="13.5" customHeight="1">
      <c r="B26" s="1789"/>
      <c r="C26" s="1789"/>
      <c r="D26" s="1789"/>
      <c r="E26" s="1789"/>
      <c r="F26" s="1789"/>
      <c r="G26" s="1789"/>
      <c r="H26" s="1789"/>
      <c r="I26" s="1789"/>
      <c r="J26" s="1789"/>
      <c r="K26" s="1789"/>
      <c r="L26" s="1789"/>
      <c r="M26" s="1789"/>
      <c r="N26" s="1789"/>
      <c r="O26" s="1789"/>
      <c r="P26" s="1789"/>
      <c r="Q26" s="1789"/>
      <c r="R26" s="1789"/>
    </row>
    <row r="27" spans="2:18" ht="13.5" customHeight="1">
      <c r="B27" s="1789"/>
      <c r="C27" s="1789"/>
      <c r="D27" s="1789"/>
      <c r="E27" s="1789"/>
      <c r="F27" s="1789"/>
      <c r="G27" s="1789"/>
      <c r="H27" s="1789"/>
      <c r="I27" s="1789"/>
      <c r="J27" s="1789"/>
      <c r="K27" s="1789"/>
      <c r="L27" s="1789"/>
      <c r="M27" s="1789"/>
      <c r="N27" s="1789"/>
      <c r="O27" s="1789"/>
      <c r="P27" s="1789"/>
      <c r="Q27" s="1789"/>
      <c r="R27" s="1789"/>
    </row>
    <row r="28" spans="2:18" ht="13.5" customHeight="1">
      <c r="B28" s="1789"/>
      <c r="C28" s="1789"/>
      <c r="D28" s="1789"/>
      <c r="E28" s="1789"/>
      <c r="F28" s="1789"/>
      <c r="G28" s="1789"/>
      <c r="H28" s="1789"/>
      <c r="I28" s="1789"/>
      <c r="J28" s="1789"/>
      <c r="K28" s="1789"/>
      <c r="L28" s="1789"/>
      <c r="M28" s="1789"/>
      <c r="N28" s="1789"/>
      <c r="O28" s="1789"/>
      <c r="P28" s="1789"/>
      <c r="Q28" s="1789"/>
      <c r="R28" s="1789"/>
    </row>
    <row r="29" spans="2:18" ht="13.5" customHeight="1">
      <c r="B29" s="1789"/>
      <c r="C29" s="1789"/>
      <c r="D29" s="1789"/>
      <c r="E29" s="1789"/>
      <c r="F29" s="1789"/>
      <c r="G29" s="1789"/>
      <c r="H29" s="1789"/>
      <c r="I29" s="1789"/>
      <c r="J29" s="1789"/>
      <c r="K29" s="1789"/>
      <c r="L29" s="1789"/>
      <c r="M29" s="1789"/>
      <c r="N29" s="1789"/>
      <c r="O29" s="1789"/>
      <c r="P29" s="1789"/>
      <c r="Q29" s="1789"/>
      <c r="R29" s="1789"/>
    </row>
    <row r="30" spans="2:18" ht="13.5" customHeight="1">
      <c r="B30" s="1789"/>
      <c r="C30" s="1789"/>
      <c r="D30" s="1789"/>
      <c r="E30" s="1789"/>
      <c r="F30" s="1789"/>
      <c r="G30" s="1789"/>
      <c r="H30" s="1789"/>
      <c r="I30" s="1789"/>
      <c r="J30" s="1789"/>
      <c r="K30" s="1789"/>
      <c r="L30" s="1789"/>
      <c r="M30" s="1789"/>
      <c r="N30" s="1789"/>
      <c r="O30" s="1789"/>
      <c r="P30" s="1789"/>
      <c r="Q30" s="1789"/>
      <c r="R30" s="1789"/>
    </row>
    <row r="31" spans="2:18" ht="13.5" customHeight="1">
      <c r="B31" s="1789"/>
      <c r="C31" s="1789"/>
      <c r="D31" s="1789"/>
      <c r="E31" s="1789"/>
      <c r="F31" s="1789"/>
      <c r="G31" s="1789"/>
      <c r="H31" s="1789"/>
      <c r="I31" s="1789"/>
      <c r="J31" s="1789"/>
      <c r="K31" s="1789"/>
      <c r="L31" s="1789"/>
      <c r="M31" s="1789"/>
      <c r="N31" s="1789"/>
      <c r="O31" s="1789"/>
      <c r="P31" s="1789"/>
      <c r="Q31" s="1789"/>
      <c r="R31" s="1789"/>
    </row>
    <row r="32" spans="2:18" ht="13.5" customHeight="1">
      <c r="B32" s="1789"/>
      <c r="C32" s="1789"/>
      <c r="D32" s="1789"/>
      <c r="E32" s="1789"/>
      <c r="F32" s="1789"/>
      <c r="G32" s="1789"/>
      <c r="H32" s="1789"/>
      <c r="I32" s="1789"/>
      <c r="J32" s="1789"/>
      <c r="K32" s="1789"/>
      <c r="L32" s="1789"/>
      <c r="M32" s="1789"/>
      <c r="N32" s="1789"/>
      <c r="O32" s="1789"/>
      <c r="P32" s="1789"/>
      <c r="Q32" s="1789"/>
      <c r="R32" s="1789"/>
    </row>
    <row r="33" spans="2:18" ht="13.5" customHeight="1">
      <c r="B33" s="1789"/>
      <c r="C33" s="1789"/>
      <c r="D33" s="1789"/>
      <c r="E33" s="1789"/>
      <c r="F33" s="1789"/>
      <c r="G33" s="1789"/>
      <c r="H33" s="1789"/>
      <c r="I33" s="1789"/>
      <c r="J33" s="1789"/>
      <c r="K33" s="1789"/>
      <c r="L33" s="1789"/>
      <c r="M33" s="1789"/>
      <c r="N33" s="1789"/>
      <c r="O33" s="1789"/>
      <c r="P33" s="1789"/>
      <c r="Q33" s="1789"/>
      <c r="R33" s="1789"/>
    </row>
    <row r="34" spans="2:18" ht="13.5" customHeight="1">
      <c r="B34" s="1789"/>
      <c r="C34" s="1789"/>
      <c r="D34" s="1789"/>
      <c r="E34" s="1789"/>
      <c r="F34" s="1789"/>
      <c r="G34" s="1789"/>
      <c r="H34" s="1789"/>
      <c r="I34" s="1789"/>
      <c r="J34" s="1789"/>
      <c r="K34" s="1789"/>
      <c r="L34" s="1789"/>
      <c r="M34" s="1789"/>
      <c r="N34" s="1789"/>
      <c r="O34" s="1789"/>
      <c r="P34" s="1789"/>
      <c r="Q34" s="1789"/>
      <c r="R34" s="1789"/>
    </row>
    <row r="35" spans="2:18" ht="13.5" customHeight="1">
      <c r="B35" s="1789"/>
      <c r="C35" s="1789"/>
      <c r="D35" s="1789"/>
      <c r="E35" s="1789"/>
      <c r="F35" s="1789"/>
      <c r="G35" s="1789"/>
      <c r="H35" s="1789"/>
      <c r="I35" s="1789"/>
      <c r="J35" s="1789"/>
      <c r="K35" s="1789"/>
      <c r="L35" s="1789"/>
      <c r="M35" s="1789"/>
      <c r="N35" s="1789"/>
      <c r="O35" s="1789"/>
      <c r="P35" s="1789"/>
      <c r="Q35" s="1789"/>
      <c r="R35" s="1789"/>
    </row>
    <row r="36" spans="2:18" ht="13.5" customHeight="1">
      <c r="B36" s="1789"/>
      <c r="C36" s="1789"/>
      <c r="D36" s="1789"/>
      <c r="E36" s="1789"/>
      <c r="F36" s="1789"/>
      <c r="G36" s="1789"/>
      <c r="H36" s="1789"/>
      <c r="I36" s="1789"/>
      <c r="J36" s="1789"/>
      <c r="K36" s="1789"/>
      <c r="L36" s="1789"/>
      <c r="M36" s="1789"/>
      <c r="N36" s="1789"/>
      <c r="O36" s="1789"/>
      <c r="P36" s="1789"/>
      <c r="Q36" s="1789"/>
      <c r="R36" s="1789"/>
    </row>
    <row r="37" spans="2:18" ht="13.5" customHeight="1">
      <c r="G37" s="1789"/>
      <c r="H37" s="1789"/>
      <c r="I37" s="1789"/>
      <c r="J37" s="1789"/>
      <c r="K37" s="1789"/>
      <c r="L37" s="1789"/>
      <c r="M37" s="1789"/>
      <c r="N37" s="1789"/>
      <c r="O37" s="1789"/>
      <c r="P37" s="1789"/>
      <c r="Q37" s="1789"/>
      <c r="R37" s="1789"/>
    </row>
    <row r="38" spans="2:18" ht="13.5" hidden="1" customHeight="1">
      <c r="J38" s="1789"/>
      <c r="K38" s="1789"/>
      <c r="L38" s="1789"/>
      <c r="M38" s="1789"/>
      <c r="N38" s="1789"/>
      <c r="O38" s="1789"/>
      <c r="P38" s="1789"/>
      <c r="Q38" s="1789"/>
      <c r="R38" s="1789"/>
    </row>
  </sheetData>
  <sheetProtection password="8D30" sheet="1" objects="1" scenarios="1"/>
  <phoneticPr fontId="20"/>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B1:G21"/>
  <sheetViews>
    <sheetView showGridLines="0" zoomScaleNormal="100" workbookViewId="0">
      <selection activeCell="B8" sqref="B8"/>
    </sheetView>
  </sheetViews>
  <sheetFormatPr defaultColWidth="0" defaultRowHeight="13.5" zeroHeight="1"/>
  <cols>
    <col min="1" max="1" width="0.875" style="202" customWidth="1"/>
    <col min="2" max="2" width="17.375" style="202" customWidth="1"/>
    <col min="3" max="3" width="38" style="203" customWidth="1"/>
    <col min="4" max="4" width="14.25" style="202" customWidth="1"/>
    <col min="5" max="5" width="21.25" style="202" customWidth="1"/>
    <col min="6" max="6" width="1.375" style="202" customWidth="1"/>
    <col min="7" max="16384" width="0" style="202" hidden="1"/>
  </cols>
  <sheetData>
    <row r="1" spans="2:7" s="21" customFormat="1" ht="21">
      <c r="B1" s="176" t="s">
        <v>581</v>
      </c>
      <c r="C1" s="177"/>
      <c r="D1" s="178"/>
      <c r="E1" s="178"/>
    </row>
    <row r="2" spans="2:7" s="52" customFormat="1" ht="12.75">
      <c r="B2" s="179" t="s">
        <v>472</v>
      </c>
      <c r="C2" s="180" t="str">
        <f>メイン!H11</f>
        <v>新ビル</v>
      </c>
      <c r="D2" s="181" t="s">
        <v>582</v>
      </c>
      <c r="E2" s="182">
        <f>メイン!H39</f>
        <v>41828</v>
      </c>
      <c r="F2" s="183"/>
      <c r="G2" s="183"/>
    </row>
    <row r="3" spans="2:7" s="52" customFormat="1" ht="12.75">
      <c r="B3" s="184" t="s">
        <v>583</v>
      </c>
      <c r="C3" s="185" t="str">
        <f>メイン!H21</f>
        <v>事務所,物販店,</v>
      </c>
      <c r="D3" s="186" t="s">
        <v>584</v>
      </c>
      <c r="E3" s="185" t="str">
        <f>メイン!H40</f>
        <v>○○○</v>
      </c>
      <c r="F3" s="187"/>
      <c r="G3" s="187"/>
    </row>
    <row r="4" spans="2:7" s="52" customFormat="1" ht="39.75" customHeight="1">
      <c r="B4" s="188" t="s">
        <v>585</v>
      </c>
      <c r="C4" s="2723" t="str">
        <f>メイン!H27</f>
        <v>○○○</v>
      </c>
      <c r="D4" s="2724"/>
      <c r="E4" s="2725"/>
      <c r="F4" s="187"/>
      <c r="G4" s="187"/>
    </row>
    <row r="5" spans="2:7" s="52" customFormat="1" ht="8.25" customHeight="1" thickBot="1">
      <c r="B5" s="45"/>
      <c r="C5" s="189"/>
      <c r="D5" s="189"/>
      <c r="E5" s="189"/>
      <c r="F5" s="187"/>
      <c r="G5" s="187"/>
    </row>
    <row r="6" spans="2:7" s="21" customFormat="1" ht="21" customHeight="1" thickBot="1">
      <c r="B6" s="190"/>
      <c r="C6" s="191" t="s">
        <v>586</v>
      </c>
      <c r="D6" s="191"/>
      <c r="E6" s="192" t="s">
        <v>587</v>
      </c>
    </row>
    <row r="7" spans="2:7" s="23" customFormat="1" ht="81" customHeight="1" thickTop="1">
      <c r="B7" s="193" t="s">
        <v>588</v>
      </c>
      <c r="C7" s="2726" t="s">
        <v>2033</v>
      </c>
      <c r="D7" s="2727"/>
      <c r="E7" s="194"/>
    </row>
    <row r="8" spans="2:7" s="21" customFormat="1" ht="81" customHeight="1">
      <c r="B8" s="195" t="s">
        <v>589</v>
      </c>
      <c r="C8" s="2717" t="s">
        <v>590</v>
      </c>
      <c r="D8" s="2718"/>
      <c r="E8" s="196"/>
    </row>
    <row r="9" spans="2:7" s="21" customFormat="1" ht="81" customHeight="1">
      <c r="B9" s="195" t="s">
        <v>591</v>
      </c>
      <c r="C9" s="2717" t="s">
        <v>592</v>
      </c>
      <c r="D9" s="2718"/>
      <c r="E9" s="196"/>
    </row>
    <row r="10" spans="2:7" s="21" customFormat="1" ht="81" customHeight="1">
      <c r="B10" s="195" t="s">
        <v>593</v>
      </c>
      <c r="C10" s="2717" t="s">
        <v>594</v>
      </c>
      <c r="D10" s="2718"/>
      <c r="E10" s="196"/>
    </row>
    <row r="11" spans="2:7" s="21" customFormat="1" ht="81" customHeight="1">
      <c r="B11" s="195" t="s">
        <v>595</v>
      </c>
      <c r="C11" s="2717" t="s">
        <v>597</v>
      </c>
      <c r="D11" s="2718"/>
      <c r="E11" s="196"/>
    </row>
    <row r="12" spans="2:7" s="21" customFormat="1" ht="81" customHeight="1">
      <c r="B12" s="195" t="s">
        <v>598</v>
      </c>
      <c r="C12" s="2717" t="s">
        <v>599</v>
      </c>
      <c r="D12" s="2718"/>
      <c r="E12" s="196"/>
    </row>
    <row r="13" spans="2:7" s="21" customFormat="1" ht="81" customHeight="1" thickBot="1">
      <c r="B13" s="197" t="s">
        <v>600</v>
      </c>
      <c r="C13" s="2719" t="s">
        <v>601</v>
      </c>
      <c r="D13" s="2720"/>
      <c r="E13" s="198"/>
    </row>
    <row r="14" spans="2:7" s="21" customFormat="1" ht="122.25" customHeight="1" thickTop="1" thickBot="1">
      <c r="B14" s="199" t="s">
        <v>602</v>
      </c>
      <c r="C14" s="2721" t="s">
        <v>603</v>
      </c>
      <c r="D14" s="2722"/>
      <c r="E14" s="200"/>
    </row>
    <row r="15" spans="2:7" s="21" customFormat="1">
      <c r="C15" s="201"/>
    </row>
    <row r="16" spans="2:7" hidden="1"/>
    <row r="17" hidden="1"/>
    <row r="18" hidden="1"/>
    <row r="19" hidden="1"/>
    <row r="20" hidden="1"/>
    <row r="21" hidden="1"/>
  </sheetData>
  <sheetProtection password="8D30" sheet="1" objects="1" scenarios="1"/>
  <mergeCells count="9">
    <mergeCell ref="C12:D12"/>
    <mergeCell ref="C13:D13"/>
    <mergeCell ref="C14:D14"/>
    <mergeCell ref="C4:E4"/>
    <mergeCell ref="C7:D7"/>
    <mergeCell ref="C8:D8"/>
    <mergeCell ref="C9:D9"/>
    <mergeCell ref="C10:D10"/>
    <mergeCell ref="C11:D11"/>
  </mergeCells>
  <phoneticPr fontId="20"/>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autoPageBreaks="0" fitToPage="1"/>
  </sheetPr>
  <dimension ref="A1:AN181"/>
  <sheetViews>
    <sheetView showGridLines="0" zoomScaleNormal="100" workbookViewId="0">
      <selection activeCell="E18" sqref="E18"/>
    </sheetView>
  </sheetViews>
  <sheetFormatPr defaultColWidth="0" defaultRowHeight="0" customHeight="1" zeroHeight="1"/>
  <cols>
    <col min="1" max="1" width="2.25" style="204" customWidth="1"/>
    <col min="2" max="2" width="4.375" style="204" customWidth="1"/>
    <col min="3" max="3" width="5.25" style="205" customWidth="1"/>
    <col min="4" max="4" width="5.5" style="206" customWidth="1"/>
    <col min="5" max="5" width="24.75" style="204" customWidth="1"/>
    <col min="6" max="6" width="6.75" style="508" bestFit="1" customWidth="1"/>
    <col min="7" max="8" width="5" style="508" bestFit="1" customWidth="1"/>
    <col min="9" max="9" width="6.75" style="508" bestFit="1" customWidth="1"/>
    <col min="10" max="11" width="5" style="508" bestFit="1" customWidth="1"/>
    <col min="12" max="12" width="9.625" style="508" bestFit="1" customWidth="1"/>
    <col min="13" max="13" width="4.75" style="508" bestFit="1" customWidth="1"/>
    <col min="14" max="14" width="7.125" style="508" customWidth="1"/>
    <col min="15" max="15" width="4.75" style="207" bestFit="1" customWidth="1"/>
    <col min="16" max="16" width="7.125" style="207" customWidth="1"/>
    <col min="17" max="18" width="0" style="207" hidden="1" customWidth="1"/>
    <col min="19" max="19" width="9.625" style="207" customWidth="1"/>
    <col min="20" max="20" width="4.5" style="207" customWidth="1"/>
    <col min="21" max="21" width="7.125" style="208" customWidth="1"/>
    <col min="22" max="22" width="4.375" style="208" customWidth="1"/>
    <col min="23" max="23" width="7.125" style="208" customWidth="1"/>
    <col min="24" max="24" width="0" style="207" hidden="1" customWidth="1"/>
    <col min="25" max="25" width="7.375" style="207" hidden="1" customWidth="1"/>
    <col min="26" max="26" width="3.125" style="509" customWidth="1"/>
    <col min="27" max="27" width="11.375" style="210" hidden="1" customWidth="1"/>
    <col min="28" max="28" width="9.125" style="210" hidden="1" customWidth="1"/>
    <col min="29" max="29" width="10" style="210" hidden="1" customWidth="1"/>
    <col min="30" max="30" width="0" style="210" hidden="1" customWidth="1"/>
    <col min="31" max="31" width="9.125" style="210" hidden="1" customWidth="1"/>
    <col min="32" max="33" width="0" style="210" hidden="1" customWidth="1"/>
    <col min="34" max="35" width="9.125" style="211" hidden="1" customWidth="1"/>
    <col min="36" max="36" width="10" style="6" hidden="1" customWidth="1"/>
    <col min="37" max="37" width="0" style="6" hidden="1" customWidth="1"/>
    <col min="38" max="38" width="9.125" style="6" hidden="1" customWidth="1"/>
    <col min="39" max="40" width="0" style="6" hidden="1" customWidth="1"/>
    <col min="41" max="16384" width="8.5" style="6" hidden="1"/>
  </cols>
  <sheetData>
    <row r="1" spans="2:38" ht="6" customHeight="1">
      <c r="F1" s="207"/>
      <c r="G1" s="207"/>
      <c r="H1" s="207"/>
      <c r="I1" s="207"/>
      <c r="J1" s="207"/>
      <c r="K1" s="207"/>
      <c r="L1" s="207"/>
      <c r="M1" s="207"/>
      <c r="N1" s="207"/>
      <c r="Z1" s="208"/>
      <c r="AA1" s="209"/>
    </row>
    <row r="2" spans="2:38" ht="5.25" customHeight="1">
      <c r="B2" s="212"/>
      <c r="C2" s="213"/>
      <c r="D2" s="214"/>
      <c r="E2" s="212"/>
      <c r="F2" s="215"/>
      <c r="G2" s="215"/>
      <c r="H2" s="215"/>
      <c r="I2" s="215"/>
      <c r="J2" s="215"/>
      <c r="K2" s="215"/>
      <c r="L2" s="215"/>
      <c r="M2" s="215"/>
      <c r="N2" s="207"/>
      <c r="Z2" s="216"/>
      <c r="AA2" s="217"/>
    </row>
    <row r="3" spans="2:38" ht="17.25" customHeight="1">
      <c r="B3" s="218" t="s">
        <v>604</v>
      </c>
      <c r="C3" s="219"/>
      <c r="D3" s="220"/>
      <c r="E3" s="221"/>
      <c r="F3" s="215"/>
      <c r="G3" s="215"/>
      <c r="H3" s="215"/>
      <c r="I3" s="215"/>
      <c r="J3" s="215"/>
      <c r="K3" s="215"/>
      <c r="L3" s="215"/>
      <c r="M3" s="215"/>
      <c r="N3" s="207"/>
      <c r="S3" s="1916" t="s">
        <v>837</v>
      </c>
      <c r="T3" s="2730"/>
      <c r="U3" s="2730"/>
      <c r="V3" s="2730" t="str">
        <f>メイン!H11</f>
        <v>新ビル</v>
      </c>
      <c r="W3" s="2730"/>
      <c r="Z3" s="222"/>
      <c r="AA3" s="223" t="s">
        <v>605</v>
      </c>
    </row>
    <row r="4" spans="2:38" ht="3.75" customHeight="1" thickBot="1">
      <c r="B4" s="224"/>
      <c r="C4" s="225"/>
      <c r="D4" s="226"/>
      <c r="F4" s="204"/>
      <c r="G4" s="204"/>
      <c r="H4" s="204"/>
      <c r="I4" s="204"/>
      <c r="J4" s="204"/>
      <c r="K4" s="204"/>
      <c r="L4" s="204"/>
      <c r="M4" s="204"/>
      <c r="N4" s="227"/>
      <c r="O4" s="227"/>
      <c r="P4" s="227"/>
      <c r="Q4" s="227"/>
      <c r="R4" s="227"/>
      <c r="S4" s="227"/>
      <c r="T4" s="227"/>
      <c r="U4" s="204"/>
      <c r="V4" s="204"/>
      <c r="W4" s="204"/>
      <c r="X4" s="227"/>
      <c r="Y4" s="227"/>
      <c r="Z4" s="222"/>
    </row>
    <row r="5" spans="2:38" ht="15" thickBot="1">
      <c r="B5" s="228"/>
      <c r="C5" s="229"/>
      <c r="D5" s="230"/>
      <c r="E5" s="231" t="str">
        <f>IF(メイン!H38=0,"",メイン!H38)</f>
        <v/>
      </c>
      <c r="F5" s="232"/>
      <c r="G5" s="232"/>
      <c r="H5" s="232"/>
      <c r="I5" s="232"/>
      <c r="J5" s="232"/>
      <c r="K5" s="232"/>
      <c r="L5" s="233" t="s">
        <v>606</v>
      </c>
      <c r="M5" s="234"/>
      <c r="N5" s="234"/>
      <c r="O5" s="235"/>
      <c r="P5" s="236"/>
      <c r="Q5" s="237"/>
      <c r="R5" s="237"/>
      <c r="S5" s="233" t="s">
        <v>607</v>
      </c>
      <c r="T5" s="234"/>
      <c r="U5" s="234"/>
      <c r="V5" s="237"/>
      <c r="W5" s="238"/>
      <c r="X5" s="237"/>
      <c r="Y5" s="238"/>
      <c r="Z5" s="222"/>
      <c r="AA5" s="239" t="s">
        <v>608</v>
      </c>
      <c r="AH5" s="240" t="s">
        <v>609</v>
      </c>
    </row>
    <row r="6" spans="2:38" ht="25.5" customHeight="1">
      <c r="B6" s="241"/>
      <c r="C6" s="242"/>
      <c r="D6" s="243"/>
      <c r="E6" s="244"/>
      <c r="F6" s="245" t="s">
        <v>610</v>
      </c>
      <c r="G6" s="246"/>
      <c r="H6" s="246"/>
      <c r="I6" s="245" t="s">
        <v>611</v>
      </c>
      <c r="J6" s="246"/>
      <c r="K6" s="246"/>
      <c r="L6" s="247"/>
      <c r="M6" s="2733" t="s">
        <v>612</v>
      </c>
      <c r="N6" s="2734"/>
      <c r="O6" s="2731" t="s">
        <v>613</v>
      </c>
      <c r="P6" s="2732"/>
      <c r="Q6" s="248"/>
      <c r="R6" s="248"/>
      <c r="S6" s="249"/>
      <c r="T6" s="2733" t="s">
        <v>612</v>
      </c>
      <c r="U6" s="2734"/>
      <c r="V6" s="2731" t="s">
        <v>613</v>
      </c>
      <c r="W6" s="2732"/>
      <c r="X6" s="248"/>
      <c r="Y6" s="250"/>
      <c r="Z6" s="222"/>
      <c r="AA6" s="251">
        <f>重み_後!D7</f>
        <v>1</v>
      </c>
      <c r="AB6" s="251">
        <f>重み_後!E7</f>
        <v>0</v>
      </c>
      <c r="AC6" s="252"/>
      <c r="AD6" s="252"/>
      <c r="AE6" s="252"/>
      <c r="AF6" s="252"/>
      <c r="AG6" s="252"/>
      <c r="AH6" s="253">
        <f>重み_後!H7</f>
        <v>0</v>
      </c>
      <c r="AI6" s="253">
        <f>重み_後!I7</f>
        <v>0</v>
      </c>
      <c r="AJ6" s="254"/>
      <c r="AK6" s="254"/>
      <c r="AL6" s="254"/>
    </row>
    <row r="7" spans="2:38" ht="27.75" customHeight="1">
      <c r="B7" s="255" t="s">
        <v>614</v>
      </c>
      <c r="C7" s="256"/>
      <c r="D7" s="257"/>
      <c r="E7" s="1996" t="s">
        <v>615</v>
      </c>
      <c r="F7" s="259" t="s">
        <v>618</v>
      </c>
      <c r="G7" s="260" t="s">
        <v>469</v>
      </c>
      <c r="H7" s="260" t="s">
        <v>470</v>
      </c>
      <c r="I7" s="259" t="s">
        <v>619</v>
      </c>
      <c r="J7" s="260" t="s">
        <v>469</v>
      </c>
      <c r="K7" s="259" t="s">
        <v>470</v>
      </c>
      <c r="L7" s="261" t="s">
        <v>620</v>
      </c>
      <c r="M7" s="262" t="s">
        <v>621</v>
      </c>
      <c r="N7" s="263" t="s">
        <v>622</v>
      </c>
      <c r="O7" s="262" t="s">
        <v>621</v>
      </c>
      <c r="P7" s="263" t="s">
        <v>622</v>
      </c>
      <c r="Q7" s="262"/>
      <c r="R7" s="264"/>
      <c r="S7" s="261" t="s">
        <v>620</v>
      </c>
      <c r="T7" s="262" t="s">
        <v>621</v>
      </c>
      <c r="U7" s="263" t="s">
        <v>622</v>
      </c>
      <c r="V7" s="262" t="s">
        <v>621</v>
      </c>
      <c r="W7" s="263" t="s">
        <v>622</v>
      </c>
      <c r="X7" s="265"/>
      <c r="Y7" s="266"/>
      <c r="Z7" s="222"/>
      <c r="AA7" s="267" t="s">
        <v>623</v>
      </c>
      <c r="AB7" s="267" t="s">
        <v>624</v>
      </c>
      <c r="AC7" s="268" t="s">
        <v>625</v>
      </c>
      <c r="AD7" s="268"/>
      <c r="AE7" s="268" t="s">
        <v>626</v>
      </c>
      <c r="AF7" s="268"/>
      <c r="AG7" s="268"/>
      <c r="AH7" s="269" t="s">
        <v>623</v>
      </c>
      <c r="AI7" s="269" t="s">
        <v>624</v>
      </c>
      <c r="AJ7" s="268" t="s">
        <v>625</v>
      </c>
      <c r="AK7" s="268"/>
      <c r="AL7" s="268" t="s">
        <v>626</v>
      </c>
    </row>
    <row r="8" spans="2:38" ht="15" thickBot="1">
      <c r="B8" s="270" t="s">
        <v>627</v>
      </c>
      <c r="C8" s="271"/>
      <c r="D8" s="272"/>
      <c r="E8" s="273"/>
      <c r="F8" s="276"/>
      <c r="G8" s="276"/>
      <c r="H8" s="275"/>
      <c r="I8" s="276"/>
      <c r="J8" s="276"/>
      <c r="K8" s="277"/>
      <c r="L8" s="274"/>
      <c r="M8" s="278"/>
      <c r="N8" s="279"/>
      <c r="O8" s="280"/>
      <c r="P8" s="279"/>
      <c r="Q8" s="281"/>
      <c r="R8" s="274"/>
      <c r="S8" s="274"/>
      <c r="T8" s="278"/>
      <c r="U8" s="279"/>
      <c r="V8" s="280"/>
      <c r="W8" s="279"/>
      <c r="X8" s="281"/>
      <c r="Y8" s="274"/>
      <c r="Z8" s="222"/>
      <c r="AA8" s="282">
        <f>重み_前!M8</f>
        <v>0</v>
      </c>
      <c r="AB8" s="282">
        <f>重み_後!N8</f>
        <v>0</v>
      </c>
      <c r="AC8" s="252"/>
      <c r="AD8" s="252"/>
      <c r="AE8" s="252"/>
      <c r="AF8" s="252"/>
      <c r="AG8" s="252"/>
      <c r="AH8" s="253">
        <f>重み_前!N8</f>
        <v>0</v>
      </c>
      <c r="AI8" s="253">
        <f>重み_後!O8</f>
        <v>0</v>
      </c>
      <c r="AJ8" s="252"/>
      <c r="AK8" s="252"/>
      <c r="AL8" s="252"/>
    </row>
    <row r="9" spans="2:38" ht="14.25" thickBot="1">
      <c r="B9" s="283" t="s">
        <v>628</v>
      </c>
      <c r="C9" s="284" t="s">
        <v>629</v>
      </c>
      <c r="D9" s="284"/>
      <c r="E9" s="284"/>
      <c r="F9" s="287"/>
      <c r="G9" s="287"/>
      <c r="H9" s="287"/>
      <c r="I9" s="287"/>
      <c r="J9" s="288"/>
      <c r="K9" s="287"/>
      <c r="L9" s="285"/>
      <c r="M9" s="289"/>
      <c r="N9" s="290"/>
      <c r="O9" s="291"/>
      <c r="P9" s="290"/>
      <c r="Q9" s="292"/>
      <c r="R9" s="285"/>
      <c r="S9" s="285"/>
      <c r="T9" s="289"/>
      <c r="U9" s="290"/>
      <c r="V9" s="291"/>
      <c r="W9" s="290"/>
      <c r="X9" s="292"/>
      <c r="Y9" s="285"/>
      <c r="Z9" s="222"/>
      <c r="AA9" s="282">
        <f>重み_前!M9</f>
        <v>0.4</v>
      </c>
      <c r="AB9" s="282">
        <f>重み_後!N9</f>
        <v>0.39999999999999997</v>
      </c>
      <c r="AC9" s="252">
        <f>重み_前!D9</f>
        <v>0.4</v>
      </c>
      <c r="AD9" s="252"/>
      <c r="AE9" s="252">
        <f>重み_後!D9</f>
        <v>0.39999999999999997</v>
      </c>
      <c r="AF9" s="252"/>
      <c r="AG9" s="252"/>
      <c r="AH9" s="253">
        <f>重み_前!N9</f>
        <v>0</v>
      </c>
      <c r="AI9" s="253">
        <f>重み_後!O9</f>
        <v>0</v>
      </c>
      <c r="AJ9" s="252">
        <f>重み_前!E9</f>
        <v>0</v>
      </c>
      <c r="AK9" s="252"/>
      <c r="AL9" s="252">
        <f>重み_後!E9</f>
        <v>0</v>
      </c>
    </row>
    <row r="10" spans="2:38" ht="14.25" thickBot="1">
      <c r="B10" s="293">
        <v>1</v>
      </c>
      <c r="C10" s="294" t="s">
        <v>630</v>
      </c>
      <c r="D10" s="295"/>
      <c r="E10" s="296"/>
      <c r="F10" s="297" t="s">
        <v>631</v>
      </c>
      <c r="G10" s="297" t="s">
        <v>631</v>
      </c>
      <c r="H10" s="297" t="s">
        <v>632</v>
      </c>
      <c r="I10" s="298"/>
      <c r="J10" s="298"/>
      <c r="K10" s="299"/>
      <c r="L10" s="300" t="str">
        <f>IF(COUNTIF(L11:L19,$AA$3)&gt;=ROWS(L11:L19),$AA$3,"")</f>
        <v/>
      </c>
      <c r="M10" s="301"/>
      <c r="N10" s="302"/>
      <c r="O10" s="299"/>
      <c r="P10" s="302"/>
      <c r="Q10" s="303" t="str">
        <f t="shared" ref="Q10:Q40" si="0">IF(L10=$AA$3,$F10,$G10)</f>
        <v>EB</v>
      </c>
      <c r="R10" s="304" t="str">
        <f t="shared" ref="R10:R40" si="1">IF(L10=$AA$3,$F10,$H10)</f>
        <v>NC</v>
      </c>
      <c r="S10" s="300" t="str">
        <f>IF(COUNTIF(S11:S19,$AA$3)&gt;=ROWS(S11:S19),$AA$3,"")</f>
        <v/>
      </c>
      <c r="T10" s="301"/>
      <c r="U10" s="302"/>
      <c r="V10" s="299"/>
      <c r="W10" s="302"/>
      <c r="X10" s="303" t="str">
        <f t="shared" ref="X10:X42" si="2">IF(S10=$AA$3,$F10,$G10)</f>
        <v>EB</v>
      </c>
      <c r="Y10" s="304" t="str">
        <f t="shared" ref="Y10:Y42" si="3">IF(S10=$AA$3,$F10,$H10)</f>
        <v>NC</v>
      </c>
      <c r="Z10" s="222"/>
      <c r="AA10" s="282">
        <f>重み_前!M10</f>
        <v>0.15</v>
      </c>
      <c r="AB10" s="282">
        <f>重み_後!N10</f>
        <v>0.15240030480060959</v>
      </c>
      <c r="AC10" s="252">
        <f>重み_前!D10</f>
        <v>0.15</v>
      </c>
      <c r="AD10" s="252"/>
      <c r="AE10" s="252">
        <f>重み_後!D10</f>
        <v>0.15240030480060959</v>
      </c>
      <c r="AF10" s="252"/>
      <c r="AG10" s="252"/>
      <c r="AH10" s="253">
        <f>重み_前!N10</f>
        <v>1</v>
      </c>
      <c r="AI10" s="253">
        <f>重み_後!O10</f>
        <v>0</v>
      </c>
      <c r="AJ10" s="252">
        <f>重み_前!E10</f>
        <v>0</v>
      </c>
      <c r="AK10" s="252"/>
      <c r="AL10" s="252">
        <f>重み_後!E10</f>
        <v>0</v>
      </c>
    </row>
    <row r="11" spans="2:38" ht="14.25" thickBot="1">
      <c r="B11" s="305"/>
      <c r="C11" s="306">
        <v>1.1000000000000001</v>
      </c>
      <c r="D11" s="307" t="s">
        <v>633</v>
      </c>
      <c r="E11" s="308"/>
      <c r="F11" s="297" t="s">
        <v>631</v>
      </c>
      <c r="G11" s="297" t="s">
        <v>631</v>
      </c>
      <c r="H11" s="297" t="s">
        <v>632</v>
      </c>
      <c r="I11" s="297" t="s">
        <v>428</v>
      </c>
      <c r="J11" s="297" t="s">
        <v>428</v>
      </c>
      <c r="K11" s="315" t="s">
        <v>139</v>
      </c>
      <c r="L11" s="441"/>
      <c r="M11" s="317" t="str">
        <f>IF(L11=$AA$3,$I11,$J11)</f>
        <v>EB</v>
      </c>
      <c r="N11" s="449">
        <v>3</v>
      </c>
      <c r="O11" s="315" t="str">
        <f>IF(L11=$AA$3,$I11,$K11)</f>
        <v>NC</v>
      </c>
      <c r="P11" s="449">
        <v>3</v>
      </c>
      <c r="Q11" s="331" t="str">
        <f t="shared" ref="Q11" si="4">IF(L11=$AA$3,$F11,$G11)</f>
        <v>EB</v>
      </c>
      <c r="R11" s="329" t="str">
        <f t="shared" ref="R11" si="5">IF(L11=$AA$3,$F11,$H11)</f>
        <v>NC</v>
      </c>
      <c r="S11" s="329"/>
      <c r="T11" s="317" t="str">
        <f>IF(S11=$AA$3,$I11,$J11)</f>
        <v>EB</v>
      </c>
      <c r="U11" s="449">
        <v>3</v>
      </c>
      <c r="V11" s="315" t="str">
        <f>IF(S11=$AA$3,$I11,$K11)</f>
        <v>NC</v>
      </c>
      <c r="W11" s="449">
        <v>0</v>
      </c>
      <c r="X11" s="319" t="str">
        <f t="shared" ref="X11" si="6">IF(S11=$AA$3,$F11,$G11)</f>
        <v>EB</v>
      </c>
      <c r="Y11" s="316" t="str">
        <f t="shared" ref="Y11" si="7">IF(S11=$AA$3,$F11,$H11)</f>
        <v>NC</v>
      </c>
      <c r="Z11" s="222"/>
      <c r="AA11" s="282">
        <f>重み_前!M11</f>
        <v>0.4</v>
      </c>
      <c r="AB11" s="282">
        <f>重み_後!N11</f>
        <v>0.4</v>
      </c>
      <c r="AC11" s="252">
        <f>重み_前!D11</f>
        <v>0.4</v>
      </c>
      <c r="AD11" s="252"/>
      <c r="AE11" s="252">
        <f>重み_後!D11</f>
        <v>0.4</v>
      </c>
      <c r="AF11" s="252"/>
      <c r="AG11" s="252"/>
      <c r="AH11" s="253">
        <f>重み_前!N11</f>
        <v>0</v>
      </c>
      <c r="AI11" s="253">
        <f>重み_後!O11</f>
        <v>0</v>
      </c>
      <c r="AJ11" s="252">
        <f>重み_前!E11</f>
        <v>0</v>
      </c>
      <c r="AK11" s="252"/>
      <c r="AL11" s="252">
        <f>重み_後!E11</f>
        <v>0</v>
      </c>
    </row>
    <row r="12" spans="2:38" ht="13.5" hidden="1">
      <c r="B12" s="305"/>
      <c r="C12" s="313"/>
      <c r="D12" s="2109">
        <v>1</v>
      </c>
      <c r="E12" s="2403" t="s">
        <v>843</v>
      </c>
      <c r="F12" s="297" t="s">
        <v>631</v>
      </c>
      <c r="G12" s="297" t="s">
        <v>631</v>
      </c>
      <c r="H12" s="297" t="s">
        <v>632</v>
      </c>
      <c r="I12" s="297" t="s">
        <v>631</v>
      </c>
      <c r="J12" s="297" t="s">
        <v>631</v>
      </c>
      <c r="K12" s="315" t="s">
        <v>632</v>
      </c>
      <c r="L12" s="316"/>
      <c r="M12" s="317" t="str">
        <f>IF(L12=$AA$3,$I12,$J12)</f>
        <v>EB</v>
      </c>
      <c r="N12" s="318"/>
      <c r="O12" s="317" t="str">
        <f>IF(L12=$AA$3,$I12,$K12)</f>
        <v>NC</v>
      </c>
      <c r="P12" s="318"/>
      <c r="Q12" s="319" t="str">
        <f t="shared" si="0"/>
        <v>EB</v>
      </c>
      <c r="R12" s="316" t="str">
        <f t="shared" si="1"/>
        <v>NC</v>
      </c>
      <c r="S12" s="316"/>
      <c r="T12" s="317" t="str">
        <f>IF(S12=$AA$3,$I12,$J12)</f>
        <v>EB</v>
      </c>
      <c r="U12" s="318"/>
      <c r="V12" s="317" t="str">
        <f>IF(S12=$AA$3,$I12,$K12)</f>
        <v>NC</v>
      </c>
      <c r="W12" s="318">
        <v>0</v>
      </c>
      <c r="X12" s="319" t="str">
        <f t="shared" si="2"/>
        <v>EB</v>
      </c>
      <c r="Y12" s="316" t="str">
        <f t="shared" si="3"/>
        <v>NC</v>
      </c>
      <c r="Z12" s="222"/>
      <c r="AA12" s="282">
        <f>重み_前!M12</f>
        <v>0</v>
      </c>
      <c r="AB12" s="282">
        <f>重み_後!N12</f>
        <v>0</v>
      </c>
      <c r="AC12" s="252">
        <f>重み_前!D12</f>
        <v>0</v>
      </c>
      <c r="AD12" s="252"/>
      <c r="AE12" s="252">
        <f>重み_後!D12</f>
        <v>0</v>
      </c>
      <c r="AF12" s="252"/>
      <c r="AG12" s="252"/>
      <c r="AH12" s="253">
        <f>重み_前!N12</f>
        <v>0</v>
      </c>
      <c r="AI12" s="253">
        <f>重み_後!O12</f>
        <v>0</v>
      </c>
      <c r="AJ12" s="252">
        <f>重み_前!E12</f>
        <v>0</v>
      </c>
      <c r="AK12" s="252"/>
      <c r="AL12" s="252">
        <f>重み_後!E12</f>
        <v>0</v>
      </c>
    </row>
    <row r="13" spans="2:38" ht="14.25" hidden="1" thickBot="1">
      <c r="B13" s="305"/>
      <c r="C13" s="320"/>
      <c r="D13" s="2109">
        <v>2</v>
      </c>
      <c r="E13" s="2404" t="s">
        <v>842</v>
      </c>
      <c r="F13" s="297" t="s">
        <v>636</v>
      </c>
      <c r="G13" s="297" t="s">
        <v>636</v>
      </c>
      <c r="H13" s="297" t="s">
        <v>637</v>
      </c>
      <c r="I13" s="297">
        <v>0</v>
      </c>
      <c r="J13" s="297">
        <v>0</v>
      </c>
      <c r="K13" s="315" t="s">
        <v>637</v>
      </c>
      <c r="L13" s="322"/>
      <c r="M13" s="317">
        <f>IF(L13=$AA$3,$I13,$J13)</f>
        <v>0</v>
      </c>
      <c r="N13" s="323"/>
      <c r="O13" s="315" t="str">
        <f>IF(L13=$AA$3,$I13,$K13)</f>
        <v>NC</v>
      </c>
      <c r="P13" s="323"/>
      <c r="Q13" s="324" t="str">
        <f t="shared" si="0"/>
        <v>EB</v>
      </c>
      <c r="R13" s="322" t="str">
        <f t="shared" si="1"/>
        <v>NC</v>
      </c>
      <c r="S13" s="322"/>
      <c r="T13" s="317">
        <f>IF(S13=$AA$3,$I13,$J13)</f>
        <v>0</v>
      </c>
      <c r="U13" s="323"/>
      <c r="V13" s="315" t="str">
        <f>IF(S13=$AA$3,$I13,$K13)</f>
        <v>NC</v>
      </c>
      <c r="W13" s="323">
        <v>0</v>
      </c>
      <c r="X13" s="324" t="str">
        <f t="shared" si="2"/>
        <v>EB</v>
      </c>
      <c r="Y13" s="322" t="str">
        <f t="shared" si="3"/>
        <v>NC</v>
      </c>
      <c r="Z13" s="222"/>
      <c r="AA13" s="282">
        <f>重み_前!M13</f>
        <v>0</v>
      </c>
      <c r="AB13" s="282">
        <f>重み_後!N13</f>
        <v>0</v>
      </c>
      <c r="AC13" s="252">
        <f>重み_前!D13</f>
        <v>0</v>
      </c>
      <c r="AD13" s="252"/>
      <c r="AE13" s="252">
        <f>重み_後!D13</f>
        <v>0</v>
      </c>
      <c r="AF13" s="252"/>
      <c r="AG13" s="252"/>
      <c r="AH13" s="253">
        <f>重み_前!N13</f>
        <v>0</v>
      </c>
      <c r="AI13" s="253">
        <f>重み_後!O13</f>
        <v>0</v>
      </c>
      <c r="AJ13" s="252">
        <f>重み_前!E13</f>
        <v>0</v>
      </c>
      <c r="AK13" s="252"/>
      <c r="AL13" s="252">
        <f>重み_後!E13</f>
        <v>0</v>
      </c>
    </row>
    <row r="14" spans="2:38" ht="14.25" thickBot="1">
      <c r="B14" s="305"/>
      <c r="C14" s="306">
        <v>1.2</v>
      </c>
      <c r="D14" s="307" t="s">
        <v>638</v>
      </c>
      <c r="E14" s="84"/>
      <c r="F14" s="297" t="s">
        <v>636</v>
      </c>
      <c r="G14" s="297" t="s">
        <v>636</v>
      </c>
      <c r="H14" s="297" t="s">
        <v>639</v>
      </c>
      <c r="I14" s="297"/>
      <c r="J14" s="297"/>
      <c r="K14" s="315"/>
      <c r="L14" s="312" t="str">
        <f>IF(COUNTIF(L15:L18,$AA$3)&gt;=ROWS(L15:L18),$AA$3,"")</f>
        <v/>
      </c>
      <c r="M14" s="317"/>
      <c r="N14" s="326"/>
      <c r="O14" s="315"/>
      <c r="P14" s="326"/>
      <c r="Q14" s="327" t="str">
        <f t="shared" si="0"/>
        <v>EB</v>
      </c>
      <c r="R14" s="328" t="str">
        <f t="shared" si="1"/>
        <v>NC</v>
      </c>
      <c r="S14" s="312" t="str">
        <f>IF(COUNTIF(S15:S18,$AA$3)&gt;=ROWS(S15:S18),$AA$3,"")</f>
        <v/>
      </c>
      <c r="T14" s="317"/>
      <c r="U14" s="326"/>
      <c r="V14" s="315"/>
      <c r="W14" s="326"/>
      <c r="X14" s="327" t="str">
        <f t="shared" si="2"/>
        <v>EB</v>
      </c>
      <c r="Y14" s="328" t="str">
        <f t="shared" si="3"/>
        <v>NC</v>
      </c>
      <c r="Z14" s="222"/>
      <c r="AA14" s="282">
        <f>重み_前!M14</f>
        <v>0.4</v>
      </c>
      <c r="AB14" s="282">
        <f>重み_後!N14</f>
        <v>0.39999999999999997</v>
      </c>
      <c r="AC14" s="252">
        <f>重み_前!D14</f>
        <v>0.4</v>
      </c>
      <c r="AD14" s="252"/>
      <c r="AE14" s="252">
        <f>重み_後!D14</f>
        <v>0.39999999999999997</v>
      </c>
      <c r="AF14" s="252"/>
      <c r="AG14" s="252"/>
      <c r="AH14" s="253">
        <f>重み_前!N14</f>
        <v>0</v>
      </c>
      <c r="AI14" s="253">
        <f>重み_後!O14</f>
        <v>0</v>
      </c>
      <c r="AJ14" s="252">
        <f>重み_前!E14</f>
        <v>0</v>
      </c>
      <c r="AK14" s="252"/>
      <c r="AL14" s="252">
        <f>重み_後!E14</f>
        <v>0</v>
      </c>
    </row>
    <row r="15" spans="2:38" ht="13.5">
      <c r="B15" s="305"/>
      <c r="C15" s="325"/>
      <c r="D15" s="314">
        <v>1</v>
      </c>
      <c r="E15" s="321" t="s">
        <v>640</v>
      </c>
      <c r="F15" s="297" t="s">
        <v>636</v>
      </c>
      <c r="G15" s="297" t="s">
        <v>636</v>
      </c>
      <c r="H15" s="297" t="s">
        <v>637</v>
      </c>
      <c r="I15" s="297">
        <v>0</v>
      </c>
      <c r="J15" s="297">
        <v>0</v>
      </c>
      <c r="K15" s="315" t="s">
        <v>637</v>
      </c>
      <c r="L15" s="316"/>
      <c r="M15" s="317">
        <f>IF(L15=$AA$3,$I15,$J15)</f>
        <v>0</v>
      </c>
      <c r="N15" s="2469">
        <v>0</v>
      </c>
      <c r="O15" s="315" t="str">
        <f>IF(L15=$AA$3,$I15,$K15)</f>
        <v>NC</v>
      </c>
      <c r="P15" s="2469">
        <v>3</v>
      </c>
      <c r="Q15" s="331" t="str">
        <f t="shared" si="0"/>
        <v>EB</v>
      </c>
      <c r="R15" s="329" t="str">
        <f t="shared" si="1"/>
        <v>NC</v>
      </c>
      <c r="S15" s="329"/>
      <c r="T15" s="317">
        <f>IF(S15=$AA$3,$I15,$J15)</f>
        <v>0</v>
      </c>
      <c r="U15" s="2469">
        <v>0</v>
      </c>
      <c r="V15" s="315" t="str">
        <f>IF(S15=$AA$3,$I15,$K15)</f>
        <v>NC</v>
      </c>
      <c r="W15" s="2469">
        <v>0</v>
      </c>
      <c r="X15" s="319" t="str">
        <f t="shared" si="2"/>
        <v>EB</v>
      </c>
      <c r="Y15" s="316" t="str">
        <f t="shared" si="3"/>
        <v>NC</v>
      </c>
      <c r="Z15" s="222"/>
      <c r="AA15" s="282">
        <f>重み_前!M15</f>
        <v>0</v>
      </c>
      <c r="AB15" s="282">
        <f>重み_後!N15</f>
        <v>0.72</v>
      </c>
      <c r="AC15" s="252">
        <f>重み_前!D15</f>
        <v>0</v>
      </c>
      <c r="AD15" s="252"/>
      <c r="AE15" s="252">
        <f>重み_後!D15</f>
        <v>0.72</v>
      </c>
      <c r="AF15" s="252"/>
      <c r="AG15" s="252"/>
      <c r="AH15" s="253">
        <f>重み_前!N15</f>
        <v>0</v>
      </c>
      <c r="AI15" s="253">
        <f>重み_後!O15</f>
        <v>0</v>
      </c>
      <c r="AJ15" s="252">
        <f>重み_前!E15</f>
        <v>0</v>
      </c>
      <c r="AK15" s="252"/>
      <c r="AL15" s="252">
        <f>重み_後!E15</f>
        <v>0</v>
      </c>
    </row>
    <row r="16" spans="2:38" ht="13.5">
      <c r="B16" s="305"/>
      <c r="C16" s="313"/>
      <c r="D16" s="314">
        <v>2</v>
      </c>
      <c r="E16" s="321" t="s">
        <v>641</v>
      </c>
      <c r="F16" s="297" t="s">
        <v>636</v>
      </c>
      <c r="G16" s="297" t="s">
        <v>636</v>
      </c>
      <c r="H16" s="297" t="s">
        <v>637</v>
      </c>
      <c r="I16" s="297" t="s">
        <v>636</v>
      </c>
      <c r="J16" s="297" t="s">
        <v>636</v>
      </c>
      <c r="K16" s="315" t="s">
        <v>637</v>
      </c>
      <c r="L16" s="329"/>
      <c r="M16" s="317" t="str">
        <f>IF(L16=$AA$3,$I16,$J16)</f>
        <v>EB</v>
      </c>
      <c r="N16" s="2474">
        <v>3</v>
      </c>
      <c r="O16" s="2466" t="s">
        <v>637</v>
      </c>
      <c r="P16" s="2474">
        <v>3</v>
      </c>
      <c r="Q16" s="2475" t="s">
        <v>759</v>
      </c>
      <c r="R16" s="2473" t="s">
        <v>637</v>
      </c>
      <c r="S16" s="2473"/>
      <c r="T16" s="2468" t="s">
        <v>759</v>
      </c>
      <c r="U16" s="2474">
        <v>3</v>
      </c>
      <c r="V16" s="2466" t="s">
        <v>637</v>
      </c>
      <c r="W16" s="2474">
        <v>3</v>
      </c>
      <c r="X16" s="331" t="str">
        <f t="shared" si="2"/>
        <v>EB</v>
      </c>
      <c r="Y16" s="329" t="str">
        <f t="shared" si="3"/>
        <v>NC</v>
      </c>
      <c r="Z16" s="222"/>
      <c r="AA16" s="282">
        <f>重み_前!M16</f>
        <v>1</v>
      </c>
      <c r="AB16" s="282">
        <f>重み_後!N16</f>
        <v>0.28000000000000003</v>
      </c>
      <c r="AC16" s="252">
        <f>重み_前!D16</f>
        <v>1</v>
      </c>
      <c r="AD16" s="252"/>
      <c r="AE16" s="252">
        <f>重み_後!D16</f>
        <v>0.28000000000000003</v>
      </c>
      <c r="AF16" s="252"/>
      <c r="AG16" s="252"/>
      <c r="AH16" s="253">
        <f>重み_前!N16</f>
        <v>0</v>
      </c>
      <c r="AI16" s="253">
        <f>重み_後!O16</f>
        <v>0</v>
      </c>
      <c r="AJ16" s="252">
        <f>重み_前!E16</f>
        <v>0</v>
      </c>
      <c r="AK16" s="252"/>
      <c r="AL16" s="252">
        <f>重み_後!E16</f>
        <v>0</v>
      </c>
    </row>
    <row r="17" spans="2:38" ht="13.5">
      <c r="B17" s="305"/>
      <c r="C17" s="313"/>
      <c r="D17" s="314">
        <v>3</v>
      </c>
      <c r="E17" s="362" t="s">
        <v>844</v>
      </c>
      <c r="F17" s="297" t="s">
        <v>636</v>
      </c>
      <c r="G17" s="297" t="s">
        <v>636</v>
      </c>
      <c r="H17" s="297" t="s">
        <v>637</v>
      </c>
      <c r="I17" s="297" t="s">
        <v>636</v>
      </c>
      <c r="J17" s="297" t="s">
        <v>636</v>
      </c>
      <c r="K17" s="315" t="s">
        <v>637</v>
      </c>
      <c r="L17" s="329"/>
      <c r="M17" s="317" t="str">
        <f>IF(L17=$AA$3,$I17,$J17)</f>
        <v>EB</v>
      </c>
      <c r="N17" s="2474">
        <v>0</v>
      </c>
      <c r="O17" s="2466" t="str">
        <f>IF(L17=$AA$3,$I17,$K17)</f>
        <v>NC</v>
      </c>
      <c r="P17" s="2474">
        <v>0</v>
      </c>
      <c r="Q17" s="2475" t="str">
        <f t="shared" si="0"/>
        <v>EB</v>
      </c>
      <c r="R17" s="2473" t="str">
        <f t="shared" si="1"/>
        <v>NC</v>
      </c>
      <c r="S17" s="2473"/>
      <c r="T17" s="2468" t="str">
        <f>IF(S17=$AA$3,$I17,$J17)</f>
        <v>EB</v>
      </c>
      <c r="U17" s="2474">
        <v>3</v>
      </c>
      <c r="V17" s="2466" t="str">
        <f>IF(S17=$AA$3,$I17,$K17)</f>
        <v>NC</v>
      </c>
      <c r="W17" s="2474">
        <v>0</v>
      </c>
      <c r="X17" s="331" t="str">
        <f t="shared" si="2"/>
        <v>EB</v>
      </c>
      <c r="Y17" s="329" t="str">
        <f t="shared" si="3"/>
        <v>NC</v>
      </c>
      <c r="Z17" s="222"/>
      <c r="AA17" s="282">
        <f>重み_前!M17</f>
        <v>0</v>
      </c>
      <c r="AB17" s="282">
        <f>重み_後!N17</f>
        <v>0</v>
      </c>
      <c r="AC17" s="252">
        <f>重み_前!D17</f>
        <v>0</v>
      </c>
      <c r="AD17" s="252"/>
      <c r="AE17" s="252">
        <f>重み_後!D17</f>
        <v>0</v>
      </c>
      <c r="AF17" s="252"/>
      <c r="AG17" s="252"/>
      <c r="AH17" s="253">
        <f>重み_前!N17</f>
        <v>0</v>
      </c>
      <c r="AI17" s="253">
        <f>重み_後!O17</f>
        <v>0</v>
      </c>
      <c r="AJ17" s="252">
        <f>重み_前!E17</f>
        <v>0</v>
      </c>
      <c r="AK17" s="252"/>
      <c r="AL17" s="252">
        <f>重み_後!E17</f>
        <v>0</v>
      </c>
    </row>
    <row r="18" spans="2:38" ht="13.5">
      <c r="B18" s="305"/>
      <c r="C18" s="320"/>
      <c r="D18" s="314">
        <v>4</v>
      </c>
      <c r="E18" s="362" t="s">
        <v>845</v>
      </c>
      <c r="F18" s="297" t="s">
        <v>636</v>
      </c>
      <c r="G18" s="297" t="s">
        <v>636</v>
      </c>
      <c r="H18" s="297" t="s">
        <v>637</v>
      </c>
      <c r="I18" s="297" t="s">
        <v>636</v>
      </c>
      <c r="J18" s="297" t="s">
        <v>636</v>
      </c>
      <c r="K18" s="315" t="s">
        <v>637</v>
      </c>
      <c r="L18" s="329"/>
      <c r="M18" s="317" t="str">
        <f>IF(L18=$AA$3,$I18,$J18)</f>
        <v>EB</v>
      </c>
      <c r="N18" s="2474">
        <v>0</v>
      </c>
      <c r="O18" s="2466" t="str">
        <f>IF(L18=$AA$3,$I18,$K18)</f>
        <v>NC</v>
      </c>
      <c r="P18" s="2474">
        <v>0</v>
      </c>
      <c r="Q18" s="2475" t="str">
        <f t="shared" si="0"/>
        <v>EB</v>
      </c>
      <c r="R18" s="2473" t="str">
        <f t="shared" si="1"/>
        <v>NC</v>
      </c>
      <c r="S18" s="2473"/>
      <c r="T18" s="2468" t="str">
        <f>IF(S18=$AA$3,$I18,$J18)</f>
        <v>EB</v>
      </c>
      <c r="U18" s="2474">
        <v>3</v>
      </c>
      <c r="V18" s="2466" t="str">
        <f>IF(S18=$AA$3,$I18,$K18)</f>
        <v>NC</v>
      </c>
      <c r="W18" s="2474">
        <v>0</v>
      </c>
      <c r="X18" s="331" t="str">
        <f t="shared" si="2"/>
        <v>EB</v>
      </c>
      <c r="Y18" s="329" t="str">
        <f t="shared" si="3"/>
        <v>NC</v>
      </c>
      <c r="Z18" s="222"/>
      <c r="AA18" s="282">
        <f>重み_前!M18</f>
        <v>0</v>
      </c>
      <c r="AB18" s="282">
        <f>重み_後!N18</f>
        <v>0</v>
      </c>
      <c r="AC18" s="252">
        <f>重み_前!D18</f>
        <v>0</v>
      </c>
      <c r="AD18" s="252"/>
      <c r="AE18" s="252">
        <f>重み_後!D18</f>
        <v>0</v>
      </c>
      <c r="AF18" s="252"/>
      <c r="AG18" s="252"/>
      <c r="AH18" s="253">
        <f>重み_前!N18</f>
        <v>0</v>
      </c>
      <c r="AI18" s="253">
        <f>重み_後!O18</f>
        <v>0</v>
      </c>
      <c r="AJ18" s="252">
        <f>重み_前!E18</f>
        <v>0</v>
      </c>
      <c r="AK18" s="252"/>
      <c r="AL18" s="252">
        <f>重み_後!E18</f>
        <v>0</v>
      </c>
    </row>
    <row r="19" spans="2:38" ht="14.25" thickBot="1">
      <c r="B19" s="332"/>
      <c r="C19" s="333">
        <v>1.3</v>
      </c>
      <c r="D19" s="334" t="s">
        <v>644</v>
      </c>
      <c r="E19" s="334"/>
      <c r="F19" s="297" t="s">
        <v>636</v>
      </c>
      <c r="G19" s="297" t="s">
        <v>636</v>
      </c>
      <c r="H19" s="297" t="s">
        <v>637</v>
      </c>
      <c r="I19" s="297" t="s">
        <v>636</v>
      </c>
      <c r="J19" s="297" t="s">
        <v>636</v>
      </c>
      <c r="K19" s="315" t="s">
        <v>637</v>
      </c>
      <c r="L19" s="322"/>
      <c r="M19" s="317" t="str">
        <f>IF(L19=$AA$3,$I19,$J19)</f>
        <v>EB</v>
      </c>
      <c r="N19" s="2476">
        <v>3</v>
      </c>
      <c r="O19" s="2466" t="str">
        <f>IF(L19=$AA$3,$I19,$K19)</f>
        <v>NC</v>
      </c>
      <c r="P19" s="2476">
        <v>3</v>
      </c>
      <c r="Q19" s="2475" t="str">
        <f t="shared" si="0"/>
        <v>EB</v>
      </c>
      <c r="R19" s="2473" t="str">
        <f t="shared" si="1"/>
        <v>NC</v>
      </c>
      <c r="S19" s="2473"/>
      <c r="T19" s="2468" t="str">
        <f>IF(S19=$AA$3,$I19,$J19)</f>
        <v>EB</v>
      </c>
      <c r="U19" s="2476">
        <v>3</v>
      </c>
      <c r="V19" s="2466" t="str">
        <f>IF(S19=$AA$3,$I19,$K19)</f>
        <v>NC</v>
      </c>
      <c r="W19" s="2476">
        <v>0</v>
      </c>
      <c r="X19" s="324" t="str">
        <f t="shared" si="2"/>
        <v>EB</v>
      </c>
      <c r="Y19" s="322" t="str">
        <f t="shared" si="3"/>
        <v>NC</v>
      </c>
      <c r="Z19" s="222"/>
      <c r="AA19" s="282">
        <f>重み_前!M19</f>
        <v>0.2</v>
      </c>
      <c r="AB19" s="282">
        <f>重み_後!N19</f>
        <v>0.2</v>
      </c>
      <c r="AC19" s="252">
        <f>重み_前!D19</f>
        <v>0.2</v>
      </c>
      <c r="AD19" s="252"/>
      <c r="AE19" s="252">
        <f>重み_後!D19</f>
        <v>0.2</v>
      </c>
      <c r="AF19" s="252"/>
      <c r="AG19" s="252"/>
      <c r="AH19" s="253">
        <f>重み_前!N19</f>
        <v>0</v>
      </c>
      <c r="AI19" s="253">
        <f>重み_後!O19</f>
        <v>0</v>
      </c>
      <c r="AJ19" s="252">
        <f>重み_前!E19</f>
        <v>0</v>
      </c>
      <c r="AK19" s="252"/>
      <c r="AL19" s="252">
        <f>重み_後!E19</f>
        <v>0</v>
      </c>
    </row>
    <row r="20" spans="2:38" ht="13.5">
      <c r="B20" s="400">
        <v>2</v>
      </c>
      <c r="C20" s="336" t="s">
        <v>645</v>
      </c>
      <c r="D20" s="401"/>
      <c r="E20" s="384"/>
      <c r="F20" s="297" t="s">
        <v>646</v>
      </c>
      <c r="G20" s="297" t="s">
        <v>646</v>
      </c>
      <c r="H20" s="297" t="s">
        <v>647</v>
      </c>
      <c r="I20" s="338"/>
      <c r="J20" s="338"/>
      <c r="K20" s="339"/>
      <c r="L20" s="340" t="str">
        <f>IF(COUNTIF(L21:L33,$AA$3)&gt;=ROWS(L21:L33),$AA$3,"")</f>
        <v/>
      </c>
      <c r="M20" s="341"/>
      <c r="N20" s="342"/>
      <c r="O20" s="339"/>
      <c r="P20" s="342"/>
      <c r="Q20" s="303" t="str">
        <f t="shared" si="0"/>
        <v>EB</v>
      </c>
      <c r="R20" s="304" t="str">
        <f t="shared" si="1"/>
        <v>NC</v>
      </c>
      <c r="S20" s="340" t="str">
        <f>IF(COUNTIF(S21:S33,$AA$3)&gt;=ROWS(S21:S33),$AA$3,"")</f>
        <v/>
      </c>
      <c r="T20" s="341"/>
      <c r="U20" s="342"/>
      <c r="V20" s="339"/>
      <c r="W20" s="342"/>
      <c r="X20" s="303" t="str">
        <f t="shared" si="2"/>
        <v>EB</v>
      </c>
      <c r="Y20" s="304" t="str">
        <f t="shared" si="3"/>
        <v>NC</v>
      </c>
      <c r="Z20" s="222"/>
      <c r="AA20" s="282">
        <f>重み_前!M20</f>
        <v>0.35</v>
      </c>
      <c r="AB20" s="282">
        <f>重み_後!N20</f>
        <v>0.35560071120142245</v>
      </c>
      <c r="AC20" s="252">
        <f>重み_前!D20</f>
        <v>0.35</v>
      </c>
      <c r="AD20" s="252"/>
      <c r="AE20" s="252">
        <f>重み_後!D20</f>
        <v>0.35560071120142245</v>
      </c>
      <c r="AF20" s="252"/>
      <c r="AG20" s="252"/>
      <c r="AH20" s="253">
        <f>重み_前!N20</f>
        <v>1</v>
      </c>
      <c r="AI20" s="253">
        <f>重み_後!O20</f>
        <v>0</v>
      </c>
      <c r="AJ20" s="252">
        <f>重み_前!E20</f>
        <v>0</v>
      </c>
      <c r="AK20" s="252"/>
      <c r="AL20" s="252">
        <f>重み_後!E20</f>
        <v>0</v>
      </c>
    </row>
    <row r="21" spans="2:38" ht="14.25" thickBot="1">
      <c r="B21" s="305"/>
      <c r="C21" s="306">
        <v>2.1</v>
      </c>
      <c r="D21" s="343" t="s">
        <v>648</v>
      </c>
      <c r="E21" s="384"/>
      <c r="F21" s="297" t="s">
        <v>646</v>
      </c>
      <c r="G21" s="297" t="s">
        <v>646</v>
      </c>
      <c r="H21" s="297" t="s">
        <v>647</v>
      </c>
      <c r="I21" s="344"/>
      <c r="J21" s="344"/>
      <c r="K21" s="345"/>
      <c r="L21" s="309" t="str">
        <f>IF(COUNTIF(L22:L29,$AA$3)&gt;=ROWS(L22:L29),$AA$3,"")</f>
        <v/>
      </c>
      <c r="M21" s="346"/>
      <c r="N21" s="310"/>
      <c r="O21" s="345"/>
      <c r="P21" s="310"/>
      <c r="Q21" s="311" t="str">
        <f t="shared" si="0"/>
        <v>EB</v>
      </c>
      <c r="R21" s="312" t="str">
        <f t="shared" si="1"/>
        <v>NC</v>
      </c>
      <c r="S21" s="309" t="str">
        <f>IF(COUNTIF(S22:S29,$AA$3)&gt;=ROWS(S22:S29),$AA$3,"")</f>
        <v/>
      </c>
      <c r="T21" s="346"/>
      <c r="U21" s="310"/>
      <c r="V21" s="345"/>
      <c r="W21" s="310"/>
      <c r="X21" s="311" t="str">
        <f t="shared" si="2"/>
        <v>EB</v>
      </c>
      <c r="Y21" s="312" t="str">
        <f t="shared" si="3"/>
        <v>NC</v>
      </c>
      <c r="Z21" s="222"/>
      <c r="AA21" s="282">
        <f>重み_前!M21</f>
        <v>0.5</v>
      </c>
      <c r="AB21" s="282">
        <f>重み_後!N21</f>
        <v>0.50000000000000011</v>
      </c>
      <c r="AC21" s="252">
        <f>重み_前!D21</f>
        <v>0.5</v>
      </c>
      <c r="AD21" s="252"/>
      <c r="AE21" s="252">
        <f>重み_後!D21</f>
        <v>0.50000000000000011</v>
      </c>
      <c r="AF21" s="252"/>
      <c r="AG21" s="252"/>
      <c r="AH21" s="253">
        <f>重み_前!N21</f>
        <v>0</v>
      </c>
      <c r="AI21" s="253">
        <f>重み_後!O21</f>
        <v>0</v>
      </c>
      <c r="AJ21" s="252">
        <f>重み_前!E21</f>
        <v>0</v>
      </c>
      <c r="AK21" s="252"/>
      <c r="AL21" s="252">
        <f>重み_後!E21</f>
        <v>0</v>
      </c>
    </row>
    <row r="22" spans="2:38" ht="13.5">
      <c r="B22" s="305"/>
      <c r="C22" s="2396"/>
      <c r="D22" s="314">
        <v>1</v>
      </c>
      <c r="E22" s="334" t="s">
        <v>867</v>
      </c>
      <c r="F22" s="297" t="s">
        <v>649</v>
      </c>
      <c r="G22" s="297" t="s">
        <v>649</v>
      </c>
      <c r="H22" s="297" t="s">
        <v>637</v>
      </c>
      <c r="I22" s="297" t="s">
        <v>649</v>
      </c>
      <c r="J22" s="297" t="s">
        <v>649</v>
      </c>
      <c r="K22" s="315" t="s">
        <v>637</v>
      </c>
      <c r="L22" s="316"/>
      <c r="M22" s="317" t="str">
        <f t="shared" ref="M22:M33" si="8">IF(L22=$AA$3,$I22,$J22)</f>
        <v>EB</v>
      </c>
      <c r="N22" s="2469">
        <v>3</v>
      </c>
      <c r="O22" s="2466" t="str">
        <f t="shared" ref="O22:O33" si="9">IF(L22=$AA$3,$I22,$K22)</f>
        <v>NC</v>
      </c>
      <c r="P22" s="2469">
        <v>3</v>
      </c>
      <c r="Q22" s="2475" t="str">
        <f t="shared" si="0"/>
        <v>EB</v>
      </c>
      <c r="R22" s="2473" t="str">
        <f t="shared" si="1"/>
        <v>NC</v>
      </c>
      <c r="S22" s="2469"/>
      <c r="T22" s="2468" t="str">
        <f t="shared" ref="T22:T33" si="10">IF(S22=$AA$3,$I22,$J22)</f>
        <v>EB</v>
      </c>
      <c r="U22" s="2469">
        <v>0</v>
      </c>
      <c r="V22" s="2466" t="str">
        <f t="shared" ref="V22:V33" si="11">IF(S22=$AA$3,$I22,$K22)</f>
        <v>NC</v>
      </c>
      <c r="W22" s="2469">
        <v>3</v>
      </c>
      <c r="X22" s="319" t="str">
        <f t="shared" si="2"/>
        <v>EB</v>
      </c>
      <c r="Y22" s="316" t="str">
        <f t="shared" si="3"/>
        <v>NC</v>
      </c>
      <c r="Z22" s="222"/>
      <c r="AA22" s="282">
        <f>重み_前!M22</f>
        <v>0.3</v>
      </c>
      <c r="AB22" s="282">
        <f>重み_後!N22</f>
        <v>0.29999999999999993</v>
      </c>
      <c r="AC22" s="252">
        <f>重み_前!D22</f>
        <v>0.37499999999999994</v>
      </c>
      <c r="AD22" s="252"/>
      <c r="AE22" s="252">
        <f>重み_後!D22</f>
        <v>0.40540540540540543</v>
      </c>
      <c r="AF22" s="252"/>
      <c r="AG22" s="252"/>
      <c r="AH22" s="253">
        <f>重み_前!N22</f>
        <v>0</v>
      </c>
      <c r="AI22" s="253">
        <f>重み_後!O22</f>
        <v>0</v>
      </c>
      <c r="AJ22" s="252">
        <f>重み_前!E22</f>
        <v>0</v>
      </c>
      <c r="AK22" s="252"/>
      <c r="AL22" s="252">
        <f>重み_後!E22</f>
        <v>0</v>
      </c>
    </row>
    <row r="23" spans="2:38" ht="13.5" hidden="1">
      <c r="B23" s="305"/>
      <c r="C23" s="2396"/>
      <c r="D23" s="2109">
        <v>2</v>
      </c>
      <c r="E23" s="2085" t="s">
        <v>1797</v>
      </c>
      <c r="F23" s="297" t="s">
        <v>649</v>
      </c>
      <c r="G23" s="297" t="s">
        <v>649</v>
      </c>
      <c r="H23" s="297" t="s">
        <v>637</v>
      </c>
      <c r="I23" s="297" t="s">
        <v>649</v>
      </c>
      <c r="J23" s="297" t="s">
        <v>649</v>
      </c>
      <c r="K23" s="315" t="s">
        <v>637</v>
      </c>
      <c r="L23" s="422" t="s">
        <v>605</v>
      </c>
      <c r="M23" s="317" t="str">
        <f>IF(L23=$AA$3,$I23,$J23)</f>
        <v>EB</v>
      </c>
      <c r="N23" s="2474">
        <v>0</v>
      </c>
      <c r="O23" s="315" t="str">
        <f>IF(L23=$AA$3,$I23,$K23)</f>
        <v>EB</v>
      </c>
      <c r="P23" s="2474">
        <v>0</v>
      </c>
      <c r="Q23" s="331" t="str">
        <f t="shared" si="0"/>
        <v>EB</v>
      </c>
      <c r="R23" s="329" t="str">
        <f t="shared" si="1"/>
        <v>EB</v>
      </c>
      <c r="S23" s="2474"/>
      <c r="T23" s="317" t="str">
        <f>IF(S23=$AA$3,$I23,$J23)</f>
        <v>EB</v>
      </c>
      <c r="U23" s="2474">
        <v>0</v>
      </c>
      <c r="V23" s="315" t="str">
        <f>IF(S23=$AA$3,$I23,$K23)</f>
        <v>NC</v>
      </c>
      <c r="W23" s="2474">
        <v>0</v>
      </c>
      <c r="X23" s="331" t="str">
        <f t="shared" si="2"/>
        <v>EB</v>
      </c>
      <c r="Y23" s="329" t="str">
        <f t="shared" si="3"/>
        <v>NC</v>
      </c>
      <c r="Z23" s="222"/>
      <c r="AA23" s="282">
        <f>重み_前!M23</f>
        <v>0</v>
      </c>
      <c r="AB23" s="282">
        <f>重み_後!N23</f>
        <v>5.9999999999999991E-2</v>
      </c>
      <c r="AC23" s="252">
        <f>重み_前!D23</f>
        <v>0</v>
      </c>
      <c r="AD23" s="252"/>
      <c r="AE23" s="252">
        <f>重み_後!D23</f>
        <v>0</v>
      </c>
      <c r="AF23" s="252"/>
      <c r="AG23" s="252"/>
      <c r="AH23" s="253">
        <f>重み_前!N23</f>
        <v>0</v>
      </c>
      <c r="AI23" s="253">
        <f>重み_後!O23</f>
        <v>0</v>
      </c>
      <c r="AJ23" s="252">
        <f>重み_前!E23</f>
        <v>0</v>
      </c>
      <c r="AK23" s="252"/>
      <c r="AL23" s="252">
        <f>重み_後!E23</f>
        <v>0</v>
      </c>
    </row>
    <row r="24" spans="2:38" ht="13.5">
      <c r="B24" s="305"/>
      <c r="C24" s="2396"/>
      <c r="D24" s="314">
        <v>2</v>
      </c>
      <c r="E24" s="334" t="s">
        <v>650</v>
      </c>
      <c r="F24" s="297" t="s">
        <v>651</v>
      </c>
      <c r="G24" s="297" t="s">
        <v>651</v>
      </c>
      <c r="H24" s="297" t="s">
        <v>637</v>
      </c>
      <c r="I24" s="297" t="s">
        <v>651</v>
      </c>
      <c r="J24" s="297" t="s">
        <v>651</v>
      </c>
      <c r="K24" s="315" t="s">
        <v>637</v>
      </c>
      <c r="L24" s="329"/>
      <c r="M24" s="317" t="str">
        <f t="shared" si="8"/>
        <v>EB</v>
      </c>
      <c r="N24" s="2474">
        <v>3</v>
      </c>
      <c r="O24" s="2466" t="str">
        <f t="shared" si="9"/>
        <v>NC</v>
      </c>
      <c r="P24" s="2474">
        <v>3</v>
      </c>
      <c r="Q24" s="2475" t="str">
        <f t="shared" si="0"/>
        <v>EB</v>
      </c>
      <c r="R24" s="2473" t="str">
        <f t="shared" si="1"/>
        <v>NC</v>
      </c>
      <c r="S24" s="2474"/>
      <c r="T24" s="2468" t="str">
        <f t="shared" si="10"/>
        <v>EB</v>
      </c>
      <c r="U24" s="2474">
        <v>3</v>
      </c>
      <c r="V24" s="2466" t="str">
        <f t="shared" si="11"/>
        <v>NC</v>
      </c>
      <c r="W24" s="2474">
        <v>3</v>
      </c>
      <c r="X24" s="331" t="str">
        <f t="shared" si="2"/>
        <v>EB</v>
      </c>
      <c r="Y24" s="329" t="str">
        <f t="shared" si="3"/>
        <v>NC</v>
      </c>
      <c r="Z24" s="222"/>
      <c r="AA24" s="282">
        <f>重み_前!M24</f>
        <v>0.2</v>
      </c>
      <c r="AB24" s="282">
        <f>重み_後!N24</f>
        <v>0.16999999999999996</v>
      </c>
      <c r="AC24" s="252">
        <f>重み_前!D24</f>
        <v>0.25</v>
      </c>
      <c r="AD24" s="252"/>
      <c r="AE24" s="252">
        <f>重み_後!D24</f>
        <v>0.22972972972972974</v>
      </c>
      <c r="AF24" s="252"/>
      <c r="AG24" s="252"/>
      <c r="AH24" s="253">
        <f>重み_前!N24</f>
        <v>0</v>
      </c>
      <c r="AI24" s="253">
        <f>重み_後!O24</f>
        <v>0</v>
      </c>
      <c r="AJ24" s="252">
        <f>重み_前!E24</f>
        <v>0</v>
      </c>
      <c r="AK24" s="252"/>
      <c r="AL24" s="252">
        <f>重み_後!E24</f>
        <v>0</v>
      </c>
    </row>
    <row r="25" spans="2:38" ht="13.5">
      <c r="B25" s="305"/>
      <c r="C25" s="2396"/>
      <c r="D25" s="314">
        <v>3</v>
      </c>
      <c r="E25" s="334" t="s">
        <v>652</v>
      </c>
      <c r="F25" s="297" t="s">
        <v>653</v>
      </c>
      <c r="G25" s="297" t="s">
        <v>653</v>
      </c>
      <c r="H25" s="297" t="s">
        <v>637</v>
      </c>
      <c r="I25" s="297" t="s">
        <v>653</v>
      </c>
      <c r="J25" s="297" t="s">
        <v>653</v>
      </c>
      <c r="K25" s="315" t="s">
        <v>637</v>
      </c>
      <c r="L25" s="329"/>
      <c r="M25" s="317" t="str">
        <f t="shared" si="8"/>
        <v>EB</v>
      </c>
      <c r="N25" s="2474">
        <v>3</v>
      </c>
      <c r="O25" s="2466" t="str">
        <f t="shared" si="9"/>
        <v>NC</v>
      </c>
      <c r="P25" s="2474">
        <v>3</v>
      </c>
      <c r="Q25" s="2475" t="str">
        <f t="shared" si="0"/>
        <v>EB</v>
      </c>
      <c r="R25" s="2473" t="str">
        <f t="shared" si="1"/>
        <v>NC</v>
      </c>
      <c r="S25" s="2474"/>
      <c r="T25" s="2468" t="str">
        <f t="shared" si="10"/>
        <v>EB</v>
      </c>
      <c r="U25" s="2474">
        <v>0</v>
      </c>
      <c r="V25" s="2466" t="str">
        <f t="shared" si="11"/>
        <v>NC</v>
      </c>
      <c r="W25" s="2474">
        <v>0</v>
      </c>
      <c r="X25" s="331" t="str">
        <f t="shared" si="2"/>
        <v>EB</v>
      </c>
      <c r="Y25" s="329" t="str">
        <f t="shared" si="3"/>
        <v>NC</v>
      </c>
      <c r="Z25" s="222"/>
      <c r="AA25" s="282">
        <f>重み_前!M25</f>
        <v>0.3</v>
      </c>
      <c r="AB25" s="282">
        <f>重み_後!N25</f>
        <v>0.26999999999999996</v>
      </c>
      <c r="AC25" s="252">
        <f>重み_前!D25</f>
        <v>0.37499999999999994</v>
      </c>
      <c r="AD25" s="252"/>
      <c r="AE25" s="252">
        <f>重み_後!D25</f>
        <v>0.36486486486486491</v>
      </c>
      <c r="AF25" s="252"/>
      <c r="AG25" s="252"/>
      <c r="AH25" s="253">
        <f>重み_前!N25</f>
        <v>0</v>
      </c>
      <c r="AI25" s="253">
        <f>重み_後!O25</f>
        <v>0</v>
      </c>
      <c r="AJ25" s="252">
        <f>重み_前!E25</f>
        <v>0</v>
      </c>
      <c r="AK25" s="252"/>
      <c r="AL25" s="252">
        <f>重み_後!E25</f>
        <v>0</v>
      </c>
    </row>
    <row r="26" spans="2:38" ht="13.5" hidden="1">
      <c r="B26" s="305"/>
      <c r="C26" s="2396"/>
      <c r="D26" s="2109">
        <v>5</v>
      </c>
      <c r="E26" s="2085" t="s">
        <v>1798</v>
      </c>
      <c r="F26" s="297" t="s">
        <v>653</v>
      </c>
      <c r="G26" s="297" t="s">
        <v>653</v>
      </c>
      <c r="H26" s="297" t="s">
        <v>637</v>
      </c>
      <c r="I26" s="297" t="s">
        <v>653</v>
      </c>
      <c r="J26" s="297" t="s">
        <v>653</v>
      </c>
      <c r="K26" s="315" t="s">
        <v>637</v>
      </c>
      <c r="L26" s="422" t="s">
        <v>605</v>
      </c>
      <c r="M26" s="317" t="str">
        <f t="shared" si="8"/>
        <v>EB</v>
      </c>
      <c r="N26" s="2474">
        <v>0</v>
      </c>
      <c r="O26" s="315" t="str">
        <f t="shared" si="9"/>
        <v>EB</v>
      </c>
      <c r="P26" s="2474">
        <v>0</v>
      </c>
      <c r="Q26" s="331" t="str">
        <f t="shared" si="0"/>
        <v>EB</v>
      </c>
      <c r="R26" s="329" t="str">
        <f t="shared" si="1"/>
        <v>EB</v>
      </c>
      <c r="S26" s="2474"/>
      <c r="T26" s="317" t="str">
        <f t="shared" si="10"/>
        <v>EB</v>
      </c>
      <c r="U26" s="2474">
        <v>0</v>
      </c>
      <c r="V26" s="315" t="str">
        <f t="shared" si="11"/>
        <v>NC</v>
      </c>
      <c r="W26" s="2474">
        <v>0</v>
      </c>
      <c r="X26" s="331" t="str">
        <f t="shared" si="2"/>
        <v>EB</v>
      </c>
      <c r="Y26" s="329" t="str">
        <f t="shared" si="3"/>
        <v>NC</v>
      </c>
      <c r="Z26" s="222"/>
      <c r="AA26" s="282">
        <f>重み_前!M26</f>
        <v>0.1</v>
      </c>
      <c r="AB26" s="282">
        <f>重み_後!N26</f>
        <v>9.9999999999999978E-2</v>
      </c>
      <c r="AC26" s="252">
        <f>重み_前!D26</f>
        <v>0</v>
      </c>
      <c r="AD26" s="252"/>
      <c r="AE26" s="252">
        <f>重み_後!D26</f>
        <v>0</v>
      </c>
      <c r="AF26" s="252"/>
      <c r="AG26" s="252"/>
      <c r="AH26" s="253">
        <f>重み_前!N26</f>
        <v>0</v>
      </c>
      <c r="AI26" s="253">
        <f>重み_後!O26</f>
        <v>0</v>
      </c>
      <c r="AJ26" s="252">
        <f>重み_前!E26</f>
        <v>0</v>
      </c>
      <c r="AK26" s="252"/>
      <c r="AL26" s="252">
        <f>重み_後!E26</f>
        <v>0</v>
      </c>
    </row>
    <row r="27" spans="2:38" ht="13.5" hidden="1">
      <c r="B27" s="305"/>
      <c r="C27" s="2396"/>
      <c r="D27" s="2109">
        <v>6</v>
      </c>
      <c r="E27" s="2085" t="s">
        <v>654</v>
      </c>
      <c r="F27" s="297" t="s">
        <v>655</v>
      </c>
      <c r="G27" s="297" t="s">
        <v>655</v>
      </c>
      <c r="H27" s="297" t="s">
        <v>637</v>
      </c>
      <c r="I27" s="297" t="s">
        <v>655</v>
      </c>
      <c r="J27" s="297" t="s">
        <v>655</v>
      </c>
      <c r="K27" s="315" t="s">
        <v>637</v>
      </c>
      <c r="L27" s="422" t="s">
        <v>605</v>
      </c>
      <c r="M27" s="317" t="str">
        <f t="shared" si="8"/>
        <v>EB</v>
      </c>
      <c r="N27" s="2474">
        <v>0</v>
      </c>
      <c r="O27" s="315" t="str">
        <f t="shared" si="9"/>
        <v>EB</v>
      </c>
      <c r="P27" s="2474">
        <v>0</v>
      </c>
      <c r="Q27" s="331" t="str">
        <f t="shared" si="0"/>
        <v>EB</v>
      </c>
      <c r="R27" s="329" t="str">
        <f t="shared" si="1"/>
        <v>EB</v>
      </c>
      <c r="S27" s="2474"/>
      <c r="T27" s="317" t="str">
        <f t="shared" si="10"/>
        <v>EB</v>
      </c>
      <c r="U27" s="2474">
        <v>0</v>
      </c>
      <c r="V27" s="315" t="str">
        <f t="shared" si="11"/>
        <v>NC</v>
      </c>
      <c r="W27" s="2474">
        <v>0</v>
      </c>
      <c r="X27" s="331" t="str">
        <f t="shared" si="2"/>
        <v>EB</v>
      </c>
      <c r="Y27" s="329" t="str">
        <f t="shared" si="3"/>
        <v>NC</v>
      </c>
      <c r="Z27" s="222"/>
      <c r="AA27" s="282">
        <f>重み_前!M27</f>
        <v>0</v>
      </c>
      <c r="AB27" s="282">
        <f>重み_後!N27</f>
        <v>0</v>
      </c>
      <c r="AC27" s="252">
        <f>重み_前!D27</f>
        <v>0</v>
      </c>
      <c r="AD27" s="252"/>
      <c r="AE27" s="252">
        <f>重み_後!D27</f>
        <v>0</v>
      </c>
      <c r="AF27" s="252"/>
      <c r="AG27" s="252"/>
      <c r="AH27" s="253">
        <f>重み_前!N27</f>
        <v>0</v>
      </c>
      <c r="AI27" s="253">
        <f>重み_後!O27</f>
        <v>0</v>
      </c>
      <c r="AJ27" s="252">
        <f>重み_前!E27</f>
        <v>0</v>
      </c>
      <c r="AK27" s="252"/>
      <c r="AL27" s="252">
        <f>重み_後!E27</f>
        <v>0</v>
      </c>
    </row>
    <row r="28" spans="2:38" ht="13.5" hidden="1">
      <c r="B28" s="305"/>
      <c r="C28" s="2396"/>
      <c r="D28" s="2109">
        <v>7</v>
      </c>
      <c r="E28" s="2085" t="s">
        <v>1799</v>
      </c>
      <c r="F28" s="297" t="s">
        <v>651</v>
      </c>
      <c r="G28" s="297" t="s">
        <v>651</v>
      </c>
      <c r="H28" s="297" t="s">
        <v>637</v>
      </c>
      <c r="I28" s="297" t="s">
        <v>651</v>
      </c>
      <c r="J28" s="297" t="s">
        <v>651</v>
      </c>
      <c r="K28" s="315" t="s">
        <v>637</v>
      </c>
      <c r="L28" s="422" t="s">
        <v>605</v>
      </c>
      <c r="M28" s="317" t="str">
        <f t="shared" si="8"/>
        <v>EB</v>
      </c>
      <c r="N28" s="2474">
        <v>0</v>
      </c>
      <c r="O28" s="315" t="str">
        <f t="shared" si="9"/>
        <v>EB</v>
      </c>
      <c r="P28" s="2474">
        <v>0</v>
      </c>
      <c r="Q28" s="331" t="str">
        <f t="shared" si="0"/>
        <v>EB</v>
      </c>
      <c r="R28" s="329" t="str">
        <f t="shared" si="1"/>
        <v>EB</v>
      </c>
      <c r="S28" s="2474"/>
      <c r="T28" s="317" t="str">
        <f t="shared" si="10"/>
        <v>EB</v>
      </c>
      <c r="U28" s="2474">
        <v>0</v>
      </c>
      <c r="V28" s="315" t="str">
        <f t="shared" si="11"/>
        <v>NC</v>
      </c>
      <c r="W28" s="2474">
        <v>0</v>
      </c>
      <c r="X28" s="331" t="str">
        <f t="shared" si="2"/>
        <v>EB</v>
      </c>
      <c r="Y28" s="329" t="str">
        <f t="shared" si="3"/>
        <v>NC</v>
      </c>
      <c r="Z28" s="222"/>
      <c r="AA28" s="282">
        <f>重み_前!M28</f>
        <v>0.1</v>
      </c>
      <c r="AB28" s="282">
        <f>重み_後!N28</f>
        <v>6.9999999999999993E-2</v>
      </c>
      <c r="AC28" s="252">
        <f>重み_前!D28</f>
        <v>0</v>
      </c>
      <c r="AD28" s="252"/>
      <c r="AE28" s="252">
        <f>重み_後!D28</f>
        <v>0</v>
      </c>
      <c r="AF28" s="252"/>
      <c r="AG28" s="252"/>
      <c r="AH28" s="253">
        <f>重み_前!N28</f>
        <v>0</v>
      </c>
      <c r="AI28" s="253">
        <f>重み_後!O28</f>
        <v>0</v>
      </c>
      <c r="AJ28" s="252">
        <f>重み_前!E28</f>
        <v>0</v>
      </c>
      <c r="AK28" s="252"/>
      <c r="AL28" s="252">
        <f>重み_後!E28</f>
        <v>0</v>
      </c>
    </row>
    <row r="29" spans="2:38" ht="13.5" hidden="1">
      <c r="B29" s="305"/>
      <c r="C29" s="2396"/>
      <c r="D29" s="2109">
        <v>8</v>
      </c>
      <c r="E29" s="2085" t="s">
        <v>656</v>
      </c>
      <c r="F29" s="297" t="s">
        <v>651</v>
      </c>
      <c r="G29" s="297" t="s">
        <v>651</v>
      </c>
      <c r="H29" s="297" t="s">
        <v>637</v>
      </c>
      <c r="I29" s="297" t="s">
        <v>651</v>
      </c>
      <c r="J29" s="297" t="s">
        <v>651</v>
      </c>
      <c r="K29" s="315" t="s">
        <v>637</v>
      </c>
      <c r="L29" s="422" t="s">
        <v>605</v>
      </c>
      <c r="M29" s="317" t="str">
        <f t="shared" si="8"/>
        <v>EB</v>
      </c>
      <c r="N29" s="2474">
        <v>0</v>
      </c>
      <c r="O29" s="315" t="str">
        <f t="shared" si="9"/>
        <v>EB</v>
      </c>
      <c r="P29" s="2474">
        <v>0</v>
      </c>
      <c r="Q29" s="331" t="str">
        <f t="shared" si="0"/>
        <v>EB</v>
      </c>
      <c r="R29" s="329" t="str">
        <f t="shared" si="1"/>
        <v>EB</v>
      </c>
      <c r="S29" s="2474"/>
      <c r="T29" s="317" t="str">
        <f t="shared" si="10"/>
        <v>EB</v>
      </c>
      <c r="U29" s="2474">
        <v>0</v>
      </c>
      <c r="V29" s="315" t="str">
        <f t="shared" si="11"/>
        <v>NC</v>
      </c>
      <c r="W29" s="2474">
        <v>0</v>
      </c>
      <c r="X29" s="331" t="str">
        <f t="shared" si="2"/>
        <v>EB</v>
      </c>
      <c r="Y29" s="329" t="str">
        <f t="shared" si="3"/>
        <v>NC</v>
      </c>
      <c r="Z29" s="222"/>
      <c r="AA29" s="282">
        <f>重み_前!M29</f>
        <v>0</v>
      </c>
      <c r="AB29" s="282">
        <f>重み_後!N29</f>
        <v>2.9999999999999995E-2</v>
      </c>
      <c r="AC29" s="252">
        <f>重み_前!D29</f>
        <v>0</v>
      </c>
      <c r="AD29" s="252"/>
      <c r="AE29" s="252">
        <f>重み_後!D29</f>
        <v>0</v>
      </c>
      <c r="AF29" s="252"/>
      <c r="AG29" s="252"/>
      <c r="AH29" s="253">
        <f>重み_前!N29</f>
        <v>0</v>
      </c>
      <c r="AI29" s="253">
        <f>重み_後!O29</f>
        <v>0</v>
      </c>
      <c r="AJ29" s="252">
        <f>重み_前!E29</f>
        <v>0</v>
      </c>
      <c r="AK29" s="252"/>
      <c r="AL29" s="252">
        <f>重み_後!E29</f>
        <v>0</v>
      </c>
    </row>
    <row r="30" spans="2:38" ht="14.25" thickBot="1">
      <c r="B30" s="305"/>
      <c r="C30" s="333">
        <v>2.2000000000000002</v>
      </c>
      <c r="D30" s="334" t="s">
        <v>977</v>
      </c>
      <c r="E30" s="337"/>
      <c r="F30" s="297" t="s">
        <v>646</v>
      </c>
      <c r="G30" s="297" t="s">
        <v>646</v>
      </c>
      <c r="H30" s="297" t="s">
        <v>637</v>
      </c>
      <c r="I30" s="297" t="s">
        <v>646</v>
      </c>
      <c r="J30" s="297" t="s">
        <v>646</v>
      </c>
      <c r="K30" s="315" t="s">
        <v>637</v>
      </c>
      <c r="L30" s="329"/>
      <c r="M30" s="317" t="str">
        <f t="shared" si="8"/>
        <v>EB</v>
      </c>
      <c r="N30" s="2476">
        <v>3</v>
      </c>
      <c r="O30" s="2466" t="str">
        <f t="shared" si="9"/>
        <v>NC</v>
      </c>
      <c r="P30" s="2476">
        <v>3</v>
      </c>
      <c r="Q30" s="2475" t="str">
        <f t="shared" si="0"/>
        <v>EB</v>
      </c>
      <c r="R30" s="2473" t="str">
        <f t="shared" si="1"/>
        <v>NC</v>
      </c>
      <c r="S30" s="2471"/>
      <c r="T30" s="2468" t="str">
        <f t="shared" si="10"/>
        <v>EB</v>
      </c>
      <c r="U30" s="2476">
        <v>0</v>
      </c>
      <c r="V30" s="2466" t="str">
        <f t="shared" si="11"/>
        <v>NC</v>
      </c>
      <c r="W30" s="2476">
        <v>0</v>
      </c>
      <c r="X30" s="324" t="str">
        <f t="shared" si="2"/>
        <v>EB</v>
      </c>
      <c r="Y30" s="322" t="str">
        <f t="shared" si="3"/>
        <v>NC</v>
      </c>
      <c r="Z30" s="222"/>
      <c r="AA30" s="282">
        <f>重み_前!M30</f>
        <v>0.2</v>
      </c>
      <c r="AB30" s="282">
        <f>重み_後!N30</f>
        <v>0.19999999999999998</v>
      </c>
      <c r="AC30" s="252">
        <f>重み_前!D30</f>
        <v>0.2</v>
      </c>
      <c r="AD30" s="252"/>
      <c r="AE30" s="252">
        <f>重み_後!D30</f>
        <v>0.19999999999999998</v>
      </c>
      <c r="AF30" s="252"/>
      <c r="AG30" s="252"/>
      <c r="AH30" s="253">
        <f>重み_前!N30</f>
        <v>0</v>
      </c>
      <c r="AI30" s="253">
        <f>重み_後!O30</f>
        <v>0</v>
      </c>
      <c r="AJ30" s="252">
        <f>重み_前!E30</f>
        <v>0</v>
      </c>
      <c r="AK30" s="252"/>
      <c r="AL30" s="252">
        <f>重み_後!E30</f>
        <v>0</v>
      </c>
    </row>
    <row r="31" spans="2:38" ht="14.25" thickBot="1">
      <c r="B31" s="305"/>
      <c r="C31" s="325">
        <v>2.2999999999999998</v>
      </c>
      <c r="D31" s="334" t="s">
        <v>657</v>
      </c>
      <c r="E31" s="337"/>
      <c r="F31" s="297" t="s">
        <v>651</v>
      </c>
      <c r="G31" s="297" t="s">
        <v>651</v>
      </c>
      <c r="H31" s="297" t="s">
        <v>658</v>
      </c>
      <c r="I31" s="297">
        <v>0</v>
      </c>
      <c r="J31" s="297">
        <v>0</v>
      </c>
      <c r="K31" s="315" t="s">
        <v>637</v>
      </c>
      <c r="L31" s="322"/>
      <c r="M31" s="317">
        <f t="shared" si="8"/>
        <v>0</v>
      </c>
      <c r="N31" s="349"/>
      <c r="O31" s="315" t="str">
        <f t="shared" si="9"/>
        <v>NC</v>
      </c>
      <c r="P31" s="349"/>
      <c r="Q31" s="311" t="str">
        <f t="shared" si="0"/>
        <v>EB</v>
      </c>
      <c r="R31" s="312" t="str">
        <f t="shared" si="1"/>
        <v>NC</v>
      </c>
      <c r="S31" s="322"/>
      <c r="T31" s="317">
        <f t="shared" si="10"/>
        <v>0</v>
      </c>
      <c r="U31" s="349"/>
      <c r="V31" s="315" t="str">
        <f t="shared" si="11"/>
        <v>NC</v>
      </c>
      <c r="W31" s="349"/>
      <c r="X31" s="311" t="str">
        <f t="shared" si="2"/>
        <v>EB</v>
      </c>
      <c r="Y31" s="312" t="str">
        <f t="shared" si="3"/>
        <v>NC</v>
      </c>
      <c r="Z31" s="222"/>
      <c r="AA31" s="282">
        <f>重み_前!M31</f>
        <v>0.3</v>
      </c>
      <c r="AB31" s="282">
        <f>重み_後!N31</f>
        <v>0.3</v>
      </c>
      <c r="AC31" s="252">
        <f>重み_前!D31</f>
        <v>0.3</v>
      </c>
      <c r="AD31" s="252"/>
      <c r="AE31" s="252">
        <f>重み_後!D31</f>
        <v>0.3</v>
      </c>
      <c r="AF31" s="252"/>
      <c r="AG31" s="252"/>
      <c r="AH31" s="253">
        <f>重み_前!N31</f>
        <v>0</v>
      </c>
      <c r="AI31" s="253">
        <f>重み_後!O31</f>
        <v>0</v>
      </c>
      <c r="AJ31" s="252">
        <f>重み_前!E31</f>
        <v>0</v>
      </c>
      <c r="AK31" s="252"/>
      <c r="AL31" s="252">
        <f>重み_後!E31</f>
        <v>0</v>
      </c>
    </row>
    <row r="32" spans="2:38" ht="13.5">
      <c r="B32" s="305"/>
      <c r="C32" s="2397"/>
      <c r="D32" s="314">
        <v>1</v>
      </c>
      <c r="E32" s="334" t="s">
        <v>659</v>
      </c>
      <c r="F32" s="297" t="s">
        <v>660</v>
      </c>
      <c r="G32" s="297" t="s">
        <v>660</v>
      </c>
      <c r="H32" s="297" t="s">
        <v>661</v>
      </c>
      <c r="I32" s="297" t="s">
        <v>660</v>
      </c>
      <c r="J32" s="297" t="s">
        <v>660</v>
      </c>
      <c r="K32" s="315">
        <v>0</v>
      </c>
      <c r="L32" s="350">
        <f>L31</f>
        <v>0</v>
      </c>
      <c r="M32" s="317" t="str">
        <f t="shared" si="8"/>
        <v>EB</v>
      </c>
      <c r="N32" s="2469">
        <v>3</v>
      </c>
      <c r="O32" s="2466">
        <f t="shared" si="9"/>
        <v>0</v>
      </c>
      <c r="P32" s="2467">
        <v>3</v>
      </c>
      <c r="Q32" s="2464" t="str">
        <f t="shared" si="0"/>
        <v>EB</v>
      </c>
      <c r="R32" s="2464" t="str">
        <f t="shared" si="1"/>
        <v>NC</v>
      </c>
      <c r="S32" s="2469">
        <f>S31</f>
        <v>0</v>
      </c>
      <c r="T32" s="2468" t="str">
        <f t="shared" si="10"/>
        <v>EB</v>
      </c>
      <c r="U32" s="2469">
        <v>0</v>
      </c>
      <c r="V32" s="2466">
        <f t="shared" si="11"/>
        <v>0</v>
      </c>
      <c r="W32" s="2469">
        <v>0</v>
      </c>
      <c r="X32" s="351" t="str">
        <f t="shared" si="2"/>
        <v>EB</v>
      </c>
      <c r="Y32" s="352" t="str">
        <f t="shared" si="3"/>
        <v>NC</v>
      </c>
      <c r="Z32" s="222"/>
      <c r="AA32" s="282">
        <f>重み_前!M32</f>
        <v>0.5</v>
      </c>
      <c r="AB32" s="282">
        <f>重み_後!N32</f>
        <v>0.5</v>
      </c>
      <c r="AC32" s="252">
        <f>重み_前!D32</f>
        <v>0.5</v>
      </c>
      <c r="AD32" s="252"/>
      <c r="AE32" s="252">
        <f>重み_後!D32</f>
        <v>0.5</v>
      </c>
      <c r="AF32" s="252"/>
      <c r="AG32" s="252"/>
      <c r="AH32" s="253">
        <f>重み_前!N32</f>
        <v>0</v>
      </c>
      <c r="AI32" s="253">
        <f>重み_後!O32</f>
        <v>0</v>
      </c>
      <c r="AJ32" s="252">
        <f>重み_前!E32</f>
        <v>0</v>
      </c>
      <c r="AK32" s="252"/>
      <c r="AL32" s="252">
        <f>重み_後!E32</f>
        <v>0</v>
      </c>
    </row>
    <row r="33" spans="2:38" ht="14.25" thickBot="1">
      <c r="B33" s="2398"/>
      <c r="C33" s="2399"/>
      <c r="D33" s="314">
        <v>2</v>
      </c>
      <c r="E33" s="334" t="s">
        <v>662</v>
      </c>
      <c r="F33" s="297" t="s">
        <v>663</v>
      </c>
      <c r="G33" s="297" t="s">
        <v>663</v>
      </c>
      <c r="H33" s="297" t="s">
        <v>664</v>
      </c>
      <c r="I33" s="297" t="s">
        <v>663</v>
      </c>
      <c r="J33" s="297" t="s">
        <v>663</v>
      </c>
      <c r="K33" s="315">
        <v>0</v>
      </c>
      <c r="L33" s="317">
        <f>L31</f>
        <v>0</v>
      </c>
      <c r="M33" s="317" t="str">
        <f t="shared" si="8"/>
        <v>EB</v>
      </c>
      <c r="N33" s="2471">
        <v>3</v>
      </c>
      <c r="O33" s="2466">
        <f t="shared" si="9"/>
        <v>0</v>
      </c>
      <c r="P33" s="2470">
        <v>3</v>
      </c>
      <c r="Q33" s="2463" t="str">
        <f t="shared" si="0"/>
        <v>EB</v>
      </c>
      <c r="R33" s="2463" t="str">
        <f t="shared" si="1"/>
        <v>NC</v>
      </c>
      <c r="S33" s="2471">
        <f>S31</f>
        <v>0</v>
      </c>
      <c r="T33" s="2468" t="str">
        <f t="shared" si="10"/>
        <v>EB</v>
      </c>
      <c r="U33" s="2471">
        <v>0</v>
      </c>
      <c r="V33" s="2466">
        <f t="shared" si="11"/>
        <v>0</v>
      </c>
      <c r="W33" s="2471">
        <v>0</v>
      </c>
      <c r="X33" s="353" t="str">
        <f t="shared" si="2"/>
        <v>EB</v>
      </c>
      <c r="Y33" s="354" t="str">
        <f t="shared" si="3"/>
        <v>NC</v>
      </c>
      <c r="Z33" s="222"/>
      <c r="AA33" s="282">
        <f>重み_前!M33</f>
        <v>0.5</v>
      </c>
      <c r="AB33" s="282">
        <f>重み_後!N33</f>
        <v>0.5</v>
      </c>
      <c r="AC33" s="252">
        <f>重み_前!D33</f>
        <v>0.5</v>
      </c>
      <c r="AD33" s="252"/>
      <c r="AE33" s="252">
        <f>重み_後!D33</f>
        <v>0.5</v>
      </c>
      <c r="AF33" s="252"/>
      <c r="AG33" s="252"/>
      <c r="AH33" s="253">
        <f>重み_前!N33</f>
        <v>0</v>
      </c>
      <c r="AI33" s="253">
        <f>重み_後!O33</f>
        <v>0</v>
      </c>
      <c r="AJ33" s="252">
        <f>重み_前!E33</f>
        <v>0</v>
      </c>
      <c r="AK33" s="252"/>
      <c r="AL33" s="252">
        <f>重み_後!E33</f>
        <v>0</v>
      </c>
    </row>
    <row r="34" spans="2:38" ht="13.5">
      <c r="B34" s="400">
        <v>3</v>
      </c>
      <c r="C34" s="336" t="s">
        <v>665</v>
      </c>
      <c r="D34" s="401"/>
      <c r="E34" s="384"/>
      <c r="F34" s="297" t="s">
        <v>646</v>
      </c>
      <c r="G34" s="297" t="s">
        <v>646</v>
      </c>
      <c r="H34" s="297" t="s">
        <v>647</v>
      </c>
      <c r="I34" s="344"/>
      <c r="J34" s="344"/>
      <c r="K34" s="345"/>
      <c r="L34" s="355" t="str">
        <f>IF(COUNTIF(L35:L46,$AA$3)&gt;=ROWS(L35:L46),$AA$3,"")</f>
        <v/>
      </c>
      <c r="M34" s="346"/>
      <c r="N34" s="342"/>
      <c r="O34" s="345"/>
      <c r="P34" s="342"/>
      <c r="Q34" s="351" t="str">
        <f t="shared" si="0"/>
        <v>EB</v>
      </c>
      <c r="R34" s="352" t="str">
        <f t="shared" si="1"/>
        <v>NC</v>
      </c>
      <c r="S34" s="2490" t="str">
        <f>IF(COUNTIF(S35:S46,$AA$3)&gt;=ROWS(S35:S46),$AA$3,"")</f>
        <v/>
      </c>
      <c r="T34" s="346"/>
      <c r="U34" s="342"/>
      <c r="V34" s="345"/>
      <c r="W34" s="342"/>
      <c r="X34" s="351" t="str">
        <f t="shared" si="2"/>
        <v>EB</v>
      </c>
      <c r="Y34" s="352" t="str">
        <f t="shared" si="3"/>
        <v>NC</v>
      </c>
      <c r="Z34" s="222"/>
      <c r="AA34" s="282">
        <f>重み_前!M34</f>
        <v>0.25</v>
      </c>
      <c r="AB34" s="282">
        <f>重み_後!N34</f>
        <v>0.23799847599695198</v>
      </c>
      <c r="AC34" s="252">
        <f>重み_前!D34</f>
        <v>0.25</v>
      </c>
      <c r="AD34" s="252"/>
      <c r="AE34" s="252">
        <f>重み_後!D34</f>
        <v>0.23799847599695198</v>
      </c>
      <c r="AF34" s="252"/>
      <c r="AG34" s="252"/>
      <c r="AH34" s="253">
        <f>重み_前!N34</f>
        <v>1</v>
      </c>
      <c r="AI34" s="253">
        <f>重み_後!O34</f>
        <v>0</v>
      </c>
      <c r="AJ34" s="252">
        <f>重み_前!E34</f>
        <v>0</v>
      </c>
      <c r="AK34" s="252"/>
      <c r="AL34" s="252">
        <f>重み_後!E34</f>
        <v>0</v>
      </c>
    </row>
    <row r="35" spans="2:38" ht="14.25" thickBot="1">
      <c r="B35" s="305"/>
      <c r="C35" s="306">
        <v>3.1</v>
      </c>
      <c r="D35" s="343" t="s">
        <v>666</v>
      </c>
      <c r="E35" s="384"/>
      <c r="F35" s="297" t="s">
        <v>667</v>
      </c>
      <c r="G35" s="297" t="s">
        <v>667</v>
      </c>
      <c r="H35" s="297" t="s">
        <v>668</v>
      </c>
      <c r="I35" s="344"/>
      <c r="J35" s="344"/>
      <c r="K35" s="345"/>
      <c r="L35" s="309" t="str">
        <f>IF(COUNTIF(L36:L38,$AA$3)&gt;=ROWS(L36:L38),$AA$3,"")</f>
        <v/>
      </c>
      <c r="M35" s="346"/>
      <c r="N35" s="310"/>
      <c r="O35" s="345"/>
      <c r="P35" s="310"/>
      <c r="Q35" s="311" t="str">
        <f t="shared" si="0"/>
        <v>EB</v>
      </c>
      <c r="R35" s="312" t="str">
        <f t="shared" si="1"/>
        <v>NC</v>
      </c>
      <c r="S35" s="309" t="str">
        <f>IF(COUNTIF(S36:S38,$AA$3)&gt;=ROWS(S36:S38),$AA$3,"")</f>
        <v/>
      </c>
      <c r="T35" s="346"/>
      <c r="U35" s="310"/>
      <c r="V35" s="345"/>
      <c r="W35" s="310"/>
      <c r="X35" s="311" t="str">
        <f t="shared" si="2"/>
        <v>EB</v>
      </c>
      <c r="Y35" s="312" t="str">
        <f t="shared" si="3"/>
        <v>NC</v>
      </c>
      <c r="Z35" s="222"/>
      <c r="AA35" s="282">
        <f>重み_前!M35</f>
        <v>0.3</v>
      </c>
      <c r="AB35" s="282">
        <f>重み_後!N35</f>
        <v>0.38420490928495205</v>
      </c>
      <c r="AC35" s="252">
        <f>重み_前!D35</f>
        <v>0.3</v>
      </c>
      <c r="AD35" s="252"/>
      <c r="AE35" s="252">
        <f>重み_後!D35</f>
        <v>0.38420490928495193</v>
      </c>
      <c r="AF35" s="252"/>
      <c r="AG35" s="252"/>
      <c r="AH35" s="253">
        <f>重み_前!N35</f>
        <v>0</v>
      </c>
      <c r="AI35" s="253">
        <f>重み_後!O35</f>
        <v>0</v>
      </c>
      <c r="AJ35" s="252">
        <f>重み_前!E35</f>
        <v>0</v>
      </c>
      <c r="AK35" s="252"/>
      <c r="AL35" s="252">
        <f>重み_後!E35</f>
        <v>0</v>
      </c>
    </row>
    <row r="36" spans="2:38" ht="13.5">
      <c r="B36" s="305"/>
      <c r="C36" s="2396"/>
      <c r="D36" s="314">
        <v>1</v>
      </c>
      <c r="E36" s="334" t="s">
        <v>671</v>
      </c>
      <c r="F36" s="297" t="s">
        <v>672</v>
      </c>
      <c r="G36" s="297" t="s">
        <v>672</v>
      </c>
      <c r="H36" s="297" t="s">
        <v>637</v>
      </c>
      <c r="I36" s="297" t="s">
        <v>672</v>
      </c>
      <c r="J36" s="297" t="s">
        <v>672</v>
      </c>
      <c r="K36" s="315" t="s">
        <v>637</v>
      </c>
      <c r="L36" s="316"/>
      <c r="M36" s="317" t="str">
        <f>IF(L36=$AA$3,$I36,$J36)</f>
        <v>EB</v>
      </c>
      <c r="N36" s="2469">
        <v>3</v>
      </c>
      <c r="O36" s="2466" t="str">
        <f>IF(L36=$AA$3,$I36,$K36)</f>
        <v>NC</v>
      </c>
      <c r="P36" s="2469">
        <v>3</v>
      </c>
      <c r="Q36" s="2475" t="str">
        <f t="shared" si="0"/>
        <v>EB</v>
      </c>
      <c r="R36" s="2473" t="str">
        <f t="shared" si="1"/>
        <v>NC</v>
      </c>
      <c r="S36" s="2469"/>
      <c r="T36" s="2468" t="str">
        <f>IF(S36=$AA$3,$I36,$J36)</f>
        <v>EB</v>
      </c>
      <c r="U36" s="2469">
        <v>3</v>
      </c>
      <c r="V36" s="2466" t="str">
        <f>IF(S36=$AA$3,$I36,$K36)</f>
        <v>NC</v>
      </c>
      <c r="W36" s="2469">
        <v>3</v>
      </c>
      <c r="X36" s="319" t="str">
        <f t="shared" si="2"/>
        <v>EB</v>
      </c>
      <c r="Y36" s="316" t="str">
        <f t="shared" si="3"/>
        <v>NC</v>
      </c>
      <c r="Z36" s="222"/>
      <c r="AA36" s="282">
        <f>重み_前!M36</f>
        <v>0.6</v>
      </c>
      <c r="AB36" s="282">
        <f>重み_後!N36</f>
        <v>0.42000000000000004</v>
      </c>
      <c r="AC36" s="252">
        <f>重み_前!D36</f>
        <v>0.6</v>
      </c>
      <c r="AD36" s="252"/>
      <c r="AE36" s="252">
        <f>重み_後!D36</f>
        <v>0.42000000000000004</v>
      </c>
      <c r="AF36" s="252"/>
      <c r="AG36" s="252"/>
      <c r="AH36" s="253">
        <f>重み_前!N36</f>
        <v>0</v>
      </c>
      <c r="AI36" s="253">
        <f>重み_後!O36</f>
        <v>0</v>
      </c>
      <c r="AJ36" s="252">
        <f>重み_前!E36</f>
        <v>0</v>
      </c>
      <c r="AK36" s="252"/>
      <c r="AL36" s="252">
        <f>重み_後!E36</f>
        <v>0</v>
      </c>
    </row>
    <row r="37" spans="2:38" ht="13.5">
      <c r="B37" s="305"/>
      <c r="C37" s="2396"/>
      <c r="D37" s="314">
        <v>2</v>
      </c>
      <c r="E37" s="334" t="s">
        <v>673</v>
      </c>
      <c r="F37" s="297" t="s">
        <v>674</v>
      </c>
      <c r="G37" s="297" t="s">
        <v>674</v>
      </c>
      <c r="H37" s="297" t="s">
        <v>637</v>
      </c>
      <c r="I37" s="297" t="s">
        <v>674</v>
      </c>
      <c r="J37" s="297" t="s">
        <v>674</v>
      </c>
      <c r="K37" s="315" t="s">
        <v>637</v>
      </c>
      <c r="L37" s="329"/>
      <c r="M37" s="317" t="str">
        <f>IF(L37=$AA$3,$I37,$J37)</f>
        <v>EB</v>
      </c>
      <c r="N37" s="2474">
        <v>3</v>
      </c>
      <c r="O37" s="2466" t="str">
        <f>IF(L37=$AA$3,$I37,$K37)</f>
        <v>NC</v>
      </c>
      <c r="P37" s="2474">
        <v>3</v>
      </c>
      <c r="Q37" s="2475" t="str">
        <f t="shared" si="0"/>
        <v>EB</v>
      </c>
      <c r="R37" s="2473" t="str">
        <f t="shared" si="1"/>
        <v>NC</v>
      </c>
      <c r="S37" s="2474"/>
      <c r="T37" s="2468" t="str">
        <f>IF(S37=$AA$3,$I37,$J37)</f>
        <v>EB</v>
      </c>
      <c r="U37" s="2474">
        <v>3</v>
      </c>
      <c r="V37" s="2466" t="str">
        <f>IF(S37=$AA$3,$I37,$K37)</f>
        <v>NC</v>
      </c>
      <c r="W37" s="2474">
        <v>3</v>
      </c>
      <c r="X37" s="331" t="str">
        <f t="shared" si="2"/>
        <v>EB</v>
      </c>
      <c r="Y37" s="329" t="str">
        <f t="shared" si="3"/>
        <v>NC</v>
      </c>
      <c r="Z37" s="222"/>
      <c r="AA37" s="282">
        <f>重み_前!M37</f>
        <v>0</v>
      </c>
      <c r="AB37" s="282">
        <f>重み_後!N37</f>
        <v>0</v>
      </c>
      <c r="AC37" s="252">
        <f>重み_前!D37</f>
        <v>0</v>
      </c>
      <c r="AD37" s="252"/>
      <c r="AE37" s="252">
        <f>重み_後!D37</f>
        <v>0</v>
      </c>
      <c r="AF37" s="252"/>
      <c r="AG37" s="252"/>
      <c r="AH37" s="253">
        <f>重み_前!N37</f>
        <v>0</v>
      </c>
      <c r="AI37" s="253">
        <f>重み_後!O37</f>
        <v>0</v>
      </c>
      <c r="AJ37" s="252">
        <f>重み_前!E37</f>
        <v>0</v>
      </c>
      <c r="AK37" s="252"/>
      <c r="AL37" s="252">
        <f>重み_後!E37</f>
        <v>0</v>
      </c>
    </row>
    <row r="38" spans="2:38" ht="14.25" thickBot="1">
      <c r="B38" s="305"/>
      <c r="C38" s="2400"/>
      <c r="D38" s="314">
        <v>3</v>
      </c>
      <c r="E38" s="334" t="s">
        <v>675</v>
      </c>
      <c r="F38" s="297" t="s">
        <v>676</v>
      </c>
      <c r="G38" s="297" t="s">
        <v>676</v>
      </c>
      <c r="H38" s="297" t="s">
        <v>637</v>
      </c>
      <c r="I38" s="297" t="s">
        <v>676</v>
      </c>
      <c r="J38" s="297" t="s">
        <v>676</v>
      </c>
      <c r="K38" s="315" t="s">
        <v>637</v>
      </c>
      <c r="L38" s="322"/>
      <c r="M38" s="317" t="str">
        <f>IF(L38=$AA$3,$I38,$J38)</f>
        <v>EB</v>
      </c>
      <c r="N38" s="2471">
        <v>3</v>
      </c>
      <c r="O38" s="2466" t="str">
        <f>IF(L38=$AA$3,$I38,$K38)</f>
        <v>NC</v>
      </c>
      <c r="P38" s="2471">
        <v>3</v>
      </c>
      <c r="Q38" s="2475" t="str">
        <f t="shared" si="0"/>
        <v>EB</v>
      </c>
      <c r="R38" s="2473" t="str">
        <f t="shared" si="1"/>
        <v>NC</v>
      </c>
      <c r="S38" s="2471"/>
      <c r="T38" s="2468" t="str">
        <f>IF(S38=$AA$3,$I38,$J38)</f>
        <v>EB</v>
      </c>
      <c r="U38" s="2471">
        <v>3</v>
      </c>
      <c r="V38" s="2466" t="str">
        <f>IF(S38=$AA$3,$I38,$K38)</f>
        <v>NC</v>
      </c>
      <c r="W38" s="2471">
        <v>3</v>
      </c>
      <c r="X38" s="324" t="str">
        <f t="shared" si="2"/>
        <v>EB</v>
      </c>
      <c r="Y38" s="322" t="str">
        <f t="shared" si="3"/>
        <v>NC</v>
      </c>
      <c r="Z38" s="222"/>
      <c r="AA38" s="282">
        <f>重み_前!M38</f>
        <v>0.4</v>
      </c>
      <c r="AB38" s="282">
        <f>重み_後!N38</f>
        <v>0.57999999999999996</v>
      </c>
      <c r="AC38" s="252">
        <f>重み_前!D38</f>
        <v>0.4</v>
      </c>
      <c r="AD38" s="252"/>
      <c r="AE38" s="252">
        <f>重み_後!D38</f>
        <v>0.57999999999999996</v>
      </c>
      <c r="AF38" s="252"/>
      <c r="AG38" s="252"/>
      <c r="AH38" s="253">
        <f>重み_前!N38</f>
        <v>0</v>
      </c>
      <c r="AI38" s="253">
        <f>重み_後!O38</f>
        <v>0</v>
      </c>
      <c r="AJ38" s="252">
        <f>重み_前!E38</f>
        <v>0</v>
      </c>
      <c r="AK38" s="252"/>
      <c r="AL38" s="252">
        <f>重み_後!E38</f>
        <v>0</v>
      </c>
    </row>
    <row r="39" spans="2:38" ht="14.25" thickBot="1">
      <c r="B39" s="348"/>
      <c r="C39" s="325">
        <v>3.2</v>
      </c>
      <c r="D39" s="307" t="s">
        <v>677</v>
      </c>
      <c r="E39" s="384"/>
      <c r="F39" s="297" t="s">
        <v>678</v>
      </c>
      <c r="G39" s="297" t="s">
        <v>678</v>
      </c>
      <c r="H39" s="297" t="s">
        <v>679</v>
      </c>
      <c r="I39" s="344"/>
      <c r="J39" s="344"/>
      <c r="K39" s="345"/>
      <c r="L39" s="312" t="str">
        <f>IF(COUNTIF(L40:L41,$AA$3)&gt;=ROWS(L40:L41),$AA$3,"")</f>
        <v/>
      </c>
      <c r="M39" s="346"/>
      <c r="N39" s="326"/>
      <c r="O39" s="345"/>
      <c r="P39" s="326"/>
      <c r="Q39" s="327" t="str">
        <f t="shared" si="0"/>
        <v>EB</v>
      </c>
      <c r="R39" s="328" t="str">
        <f t="shared" si="1"/>
        <v>NC</v>
      </c>
      <c r="S39" s="2465" t="str">
        <f>IF(COUNTIF(S40:S41,$AA$3)&gt;=ROWS(S40:S41),$AA$3,"")</f>
        <v/>
      </c>
      <c r="T39" s="346"/>
      <c r="U39" s="326"/>
      <c r="V39" s="345"/>
      <c r="W39" s="326"/>
      <c r="X39" s="327" t="str">
        <f t="shared" si="2"/>
        <v>EB</v>
      </c>
      <c r="Y39" s="328" t="str">
        <f t="shared" si="3"/>
        <v>NC</v>
      </c>
      <c r="Z39" s="222"/>
      <c r="AA39" s="282">
        <f>重み_前!M39</f>
        <v>0.3</v>
      </c>
      <c r="AB39" s="282">
        <f>重み_後!N39</f>
        <v>0.15688367129135539</v>
      </c>
      <c r="AC39" s="252">
        <f>重み_前!D39</f>
        <v>0.3</v>
      </c>
      <c r="AD39" s="252"/>
      <c r="AE39" s="252">
        <f>重み_後!D39</f>
        <v>0.15688367129135536</v>
      </c>
      <c r="AF39" s="252"/>
      <c r="AG39" s="252"/>
      <c r="AH39" s="253">
        <f>重み_前!N39</f>
        <v>0</v>
      </c>
      <c r="AI39" s="253">
        <f>重み_後!O39</f>
        <v>0</v>
      </c>
      <c r="AJ39" s="252">
        <f>重み_前!E39</f>
        <v>0</v>
      </c>
      <c r="AK39" s="252"/>
      <c r="AL39" s="252">
        <f>重み_後!E39</f>
        <v>0</v>
      </c>
    </row>
    <row r="40" spans="2:38" ht="14.25" hidden="1" thickBot="1">
      <c r="B40" s="348"/>
      <c r="C40" s="2396"/>
      <c r="D40" s="2109">
        <v>1</v>
      </c>
      <c r="E40" s="2085" t="s">
        <v>680</v>
      </c>
      <c r="F40" s="297" t="s">
        <v>681</v>
      </c>
      <c r="G40" s="297" t="s">
        <v>681</v>
      </c>
      <c r="H40" s="297" t="s">
        <v>637</v>
      </c>
      <c r="I40" s="297" t="s">
        <v>681</v>
      </c>
      <c r="J40" s="297" t="s">
        <v>681</v>
      </c>
      <c r="K40" s="315" t="s">
        <v>637</v>
      </c>
      <c r="L40" s="422" t="s">
        <v>605</v>
      </c>
      <c r="M40" s="317" t="str">
        <f>IF(L40=$AA$3,$I40,$J40)</f>
        <v>EB</v>
      </c>
      <c r="N40" s="2113">
        <v>0</v>
      </c>
      <c r="O40" s="315" t="str">
        <f>IF(L40=$AA$3,$I40,$K40)</f>
        <v>EB</v>
      </c>
      <c r="P40" s="2113">
        <v>0</v>
      </c>
      <c r="Q40" s="425" t="str">
        <f t="shared" si="0"/>
        <v>EB</v>
      </c>
      <c r="R40" s="422" t="str">
        <f t="shared" si="1"/>
        <v>EB</v>
      </c>
      <c r="S40" s="422"/>
      <c r="T40" s="317" t="str">
        <f>IF(S40=$AA$3,$I40,$J40)</f>
        <v>EB</v>
      </c>
      <c r="U40" s="2113">
        <v>0</v>
      </c>
      <c r="V40" s="315" t="str">
        <f>IF(S40=$AA$3,$I40,$K40)</f>
        <v>NC</v>
      </c>
      <c r="W40" s="2113">
        <v>0</v>
      </c>
      <c r="X40" s="319" t="str">
        <f t="shared" si="2"/>
        <v>EB</v>
      </c>
      <c r="Y40" s="316" t="str">
        <f t="shared" si="3"/>
        <v>NC</v>
      </c>
      <c r="Z40" s="222"/>
      <c r="AA40" s="282">
        <f>重み_前!M40</f>
        <v>0.4</v>
      </c>
      <c r="AB40" s="282">
        <f>重み_後!N40</f>
        <v>0.4</v>
      </c>
      <c r="AC40" s="252">
        <f>重み_前!D40</f>
        <v>0</v>
      </c>
      <c r="AD40" s="252"/>
      <c r="AE40" s="252">
        <f>重み_後!D40</f>
        <v>0</v>
      </c>
      <c r="AF40" s="252"/>
      <c r="AG40" s="252"/>
      <c r="AH40" s="253">
        <f>重み_前!N40</f>
        <v>0</v>
      </c>
      <c r="AI40" s="253">
        <f>重み_後!O40</f>
        <v>0</v>
      </c>
      <c r="AJ40" s="252">
        <f>重み_前!E40</f>
        <v>0</v>
      </c>
      <c r="AK40" s="252"/>
      <c r="AL40" s="252">
        <f>重み_後!E40</f>
        <v>0</v>
      </c>
    </row>
    <row r="41" spans="2:38" ht="13.5">
      <c r="B41" s="348"/>
      <c r="C41" s="2396"/>
      <c r="D41" s="314">
        <v>1</v>
      </c>
      <c r="E41" s="334" t="s">
        <v>682</v>
      </c>
      <c r="F41" s="297" t="s">
        <v>674</v>
      </c>
      <c r="G41" s="297" t="s">
        <v>674</v>
      </c>
      <c r="H41" s="297" t="s">
        <v>637</v>
      </c>
      <c r="I41" s="297" t="s">
        <v>674</v>
      </c>
      <c r="J41" s="297" t="s">
        <v>674</v>
      </c>
      <c r="K41" s="315" t="s">
        <v>637</v>
      </c>
      <c r="L41" s="329"/>
      <c r="M41" s="317" t="str">
        <f t="shared" ref="M41:M46" si="12">IF(L41=$AA$3,$I41,$J41)</f>
        <v>EB</v>
      </c>
      <c r="N41" s="2469">
        <v>3</v>
      </c>
      <c r="O41" s="2466" t="str">
        <f t="shared" ref="O41:O46" si="13">IF(L41=$AA$3,$I41,$K41)</f>
        <v>NC</v>
      </c>
      <c r="P41" s="2469">
        <v>3</v>
      </c>
      <c r="Q41" s="2475" t="str">
        <f>IF(L41=$AA$3,$F41,$G41)</f>
        <v>EB</v>
      </c>
      <c r="R41" s="2473" t="str">
        <f>IF(L41=$AA$3,$F41,$H41)</f>
        <v>NC</v>
      </c>
      <c r="S41" s="2473"/>
      <c r="T41" s="2468" t="str">
        <f t="shared" ref="T41:T46" si="14">IF(S41=$AA$3,$I41,$J41)</f>
        <v>EB</v>
      </c>
      <c r="U41" s="2469">
        <v>3</v>
      </c>
      <c r="V41" s="2466" t="str">
        <f t="shared" ref="V41:V46" si="15">IF(S41=$AA$3,$I41,$K41)</f>
        <v>NC</v>
      </c>
      <c r="W41" s="2469">
        <v>3</v>
      </c>
      <c r="X41" s="331" t="str">
        <f t="shared" si="2"/>
        <v>EB</v>
      </c>
      <c r="Y41" s="329" t="str">
        <f t="shared" si="3"/>
        <v>NC</v>
      </c>
      <c r="Z41" s="222"/>
      <c r="AA41" s="282">
        <f>重み_前!M41</f>
        <v>0.6</v>
      </c>
      <c r="AB41" s="282">
        <f>重み_後!N41</f>
        <v>0.60000000000000009</v>
      </c>
      <c r="AC41" s="252">
        <f>重み_前!D41</f>
        <v>1</v>
      </c>
      <c r="AD41" s="252"/>
      <c r="AE41" s="252">
        <f>重み_後!D41</f>
        <v>1</v>
      </c>
      <c r="AF41" s="252"/>
      <c r="AG41" s="252"/>
      <c r="AH41" s="253">
        <f>重み_前!N41</f>
        <v>0</v>
      </c>
      <c r="AI41" s="253">
        <f>重み_後!O41</f>
        <v>0</v>
      </c>
      <c r="AJ41" s="252">
        <f>重み_前!E41</f>
        <v>0</v>
      </c>
      <c r="AK41" s="252"/>
      <c r="AL41" s="252">
        <f>重み_後!E41</f>
        <v>0</v>
      </c>
    </row>
    <row r="42" spans="2:38" ht="14.25" thickBot="1">
      <c r="B42" s="348"/>
      <c r="C42" s="2400"/>
      <c r="D42" s="314">
        <v>2</v>
      </c>
      <c r="E42" s="334" t="s">
        <v>886</v>
      </c>
      <c r="F42" s="297" t="s">
        <v>674</v>
      </c>
      <c r="G42" s="297" t="s">
        <v>674</v>
      </c>
      <c r="H42" s="297" t="s">
        <v>637</v>
      </c>
      <c r="I42" s="297" t="s">
        <v>674</v>
      </c>
      <c r="J42" s="297" t="s">
        <v>674</v>
      </c>
      <c r="K42" s="315">
        <v>0</v>
      </c>
      <c r="L42" s="330"/>
      <c r="M42" s="317" t="str">
        <f t="shared" si="12"/>
        <v>EB</v>
      </c>
      <c r="N42" s="2474">
        <v>3</v>
      </c>
      <c r="O42" s="2466">
        <f t="shared" si="13"/>
        <v>0</v>
      </c>
      <c r="P42" s="2474">
        <v>3</v>
      </c>
      <c r="Q42" s="2475" t="str">
        <f>IF(L42=$AA$3,$F42,$G42)</f>
        <v>EB</v>
      </c>
      <c r="R42" s="2473" t="str">
        <f>IF(L42=$AA$3,$F42,$H42)</f>
        <v>NC</v>
      </c>
      <c r="S42" s="2473"/>
      <c r="T42" s="2468" t="str">
        <f t="shared" si="14"/>
        <v>EB</v>
      </c>
      <c r="U42" s="2474">
        <v>3</v>
      </c>
      <c r="V42" s="2466">
        <f t="shared" si="15"/>
        <v>0</v>
      </c>
      <c r="W42" s="2474">
        <v>3</v>
      </c>
      <c r="X42" s="324" t="str">
        <f t="shared" si="2"/>
        <v>EB</v>
      </c>
      <c r="Y42" s="322" t="str">
        <f t="shared" si="3"/>
        <v>NC</v>
      </c>
      <c r="Z42" s="222"/>
      <c r="AA42" s="282">
        <f>重み_前!M42</f>
        <v>0</v>
      </c>
      <c r="AB42" s="282">
        <f>重み_後!N42</f>
        <v>0</v>
      </c>
      <c r="AC42" s="252">
        <f>重み_前!D42</f>
        <v>0</v>
      </c>
      <c r="AD42" s="252"/>
      <c r="AE42" s="252">
        <f>重み_後!D42</f>
        <v>0</v>
      </c>
      <c r="AF42" s="252"/>
      <c r="AG42" s="252"/>
      <c r="AH42" s="253">
        <f>重み_前!N42</f>
        <v>0</v>
      </c>
      <c r="AI42" s="253">
        <f>重み_後!O42</f>
        <v>0</v>
      </c>
      <c r="AJ42" s="252">
        <f>重み_前!E42</f>
        <v>0</v>
      </c>
      <c r="AK42" s="252"/>
      <c r="AL42" s="252">
        <f>重み_後!E42</f>
        <v>0</v>
      </c>
    </row>
    <row r="43" spans="2:38" ht="13.5">
      <c r="B43" s="357"/>
      <c r="C43" s="306">
        <v>3.3</v>
      </c>
      <c r="D43" s="343" t="s">
        <v>683</v>
      </c>
      <c r="E43" s="343"/>
      <c r="F43" s="297" t="s">
        <v>428</v>
      </c>
      <c r="G43" s="297" t="s">
        <v>428</v>
      </c>
      <c r="H43" s="297" t="s">
        <v>429</v>
      </c>
      <c r="I43" s="297" t="s">
        <v>674</v>
      </c>
      <c r="J43" s="297" t="s">
        <v>674</v>
      </c>
      <c r="K43" s="315" t="s">
        <v>637</v>
      </c>
      <c r="L43" s="329"/>
      <c r="M43" s="317" t="str">
        <f t="shared" si="12"/>
        <v>EB</v>
      </c>
      <c r="N43" s="470">
        <v>3</v>
      </c>
      <c r="O43" s="2466" t="str">
        <f t="shared" si="13"/>
        <v>NC</v>
      </c>
      <c r="P43" s="470">
        <v>3</v>
      </c>
      <c r="Q43" s="2475" t="str">
        <f>IF(L43=$AA$3,$F43,$G43)</f>
        <v>EB</v>
      </c>
      <c r="R43" s="2473" t="str">
        <f>IF(L43=$AA$3,$F43,$H43)</f>
        <v>NC</v>
      </c>
      <c r="S43" s="2473"/>
      <c r="T43" s="2468" t="str">
        <f t="shared" si="14"/>
        <v>EB</v>
      </c>
      <c r="U43" s="470">
        <v>3</v>
      </c>
      <c r="V43" s="2466" t="str">
        <f t="shared" si="15"/>
        <v>NC</v>
      </c>
      <c r="W43" s="470">
        <v>3</v>
      </c>
      <c r="X43" s="327" t="str">
        <f t="shared" ref="X43:X60" si="16">IF(S43=$AA$3,$F43,$G43)</f>
        <v>EB</v>
      </c>
      <c r="Y43" s="328" t="str">
        <f t="shared" ref="Y43:Y60" si="17">IF(S43=$AA$3,$F43,$H43)</f>
        <v>NC</v>
      </c>
      <c r="Z43" s="222"/>
      <c r="AA43" s="282">
        <f>重み_前!M43</f>
        <v>0.15</v>
      </c>
      <c r="AB43" s="282">
        <f>重み_後!N43</f>
        <v>0.11205976520811101</v>
      </c>
      <c r="AC43" s="252">
        <f>重み_前!D43</f>
        <v>0.15</v>
      </c>
      <c r="AD43" s="252"/>
      <c r="AE43" s="252">
        <f>重み_後!D43</f>
        <v>0.11205976520811098</v>
      </c>
      <c r="AF43" s="252"/>
      <c r="AG43" s="252"/>
      <c r="AH43" s="253">
        <f>重み_前!N43</f>
        <v>0</v>
      </c>
      <c r="AI43" s="253">
        <f>重み_後!O43</f>
        <v>0</v>
      </c>
      <c r="AJ43" s="252">
        <f>重み_前!E43</f>
        <v>0</v>
      </c>
      <c r="AK43" s="252"/>
      <c r="AL43" s="252">
        <f>重み_後!E43</f>
        <v>0</v>
      </c>
    </row>
    <row r="44" spans="2:38" ht="13.5" hidden="1">
      <c r="B44" s="357"/>
      <c r="C44" s="2401"/>
      <c r="D44" s="2109">
        <v>1</v>
      </c>
      <c r="E44" s="2085" t="s">
        <v>1800</v>
      </c>
      <c r="F44" s="297" t="s">
        <v>428</v>
      </c>
      <c r="G44" s="297" t="s">
        <v>428</v>
      </c>
      <c r="H44" s="297" t="s">
        <v>637</v>
      </c>
      <c r="I44" s="297" t="s">
        <v>428</v>
      </c>
      <c r="J44" s="297" t="s">
        <v>428</v>
      </c>
      <c r="K44" s="315" t="s">
        <v>637</v>
      </c>
      <c r="L44" s="316" t="s">
        <v>605</v>
      </c>
      <c r="M44" s="317" t="str">
        <f t="shared" si="12"/>
        <v>EB</v>
      </c>
      <c r="N44" s="2474"/>
      <c r="O44" s="315" t="str">
        <f t="shared" si="13"/>
        <v>EB</v>
      </c>
      <c r="P44" s="2474"/>
      <c r="Q44" s="331" t="str">
        <f t="shared" ref="Q44:Q60" si="18">IF(L44=$AA$3,$F44,$G44)</f>
        <v>EB</v>
      </c>
      <c r="R44" s="329" t="str">
        <f t="shared" ref="R44:R60" si="19">IF(L44=$AA$3,$F44,$H44)</f>
        <v>EB</v>
      </c>
      <c r="S44" s="329"/>
      <c r="T44" s="317" t="str">
        <f t="shared" si="14"/>
        <v>EB</v>
      </c>
      <c r="U44" s="2474">
        <v>0</v>
      </c>
      <c r="V44" s="315" t="str">
        <f t="shared" si="15"/>
        <v>NC</v>
      </c>
      <c r="W44" s="2474">
        <v>0</v>
      </c>
      <c r="X44" s="319" t="str">
        <f t="shared" si="16"/>
        <v>EB</v>
      </c>
      <c r="Y44" s="316" t="str">
        <f t="shared" si="17"/>
        <v>NC</v>
      </c>
      <c r="Z44" s="222"/>
      <c r="AA44" s="282">
        <f>重み_前!M44</f>
        <v>0</v>
      </c>
      <c r="AB44" s="282">
        <f>重み_後!N44</f>
        <v>0</v>
      </c>
      <c r="AC44" s="252">
        <f>重み_前!D44</f>
        <v>0</v>
      </c>
      <c r="AD44" s="252"/>
      <c r="AE44" s="252">
        <f>重み_後!D44</f>
        <v>0</v>
      </c>
      <c r="AF44" s="252"/>
      <c r="AG44" s="252"/>
      <c r="AH44" s="253">
        <f>重み_前!N44</f>
        <v>0</v>
      </c>
      <c r="AI44" s="253">
        <f>重み_後!O44</f>
        <v>0</v>
      </c>
      <c r="AJ44" s="252">
        <f>重み_前!E44</f>
        <v>0</v>
      </c>
      <c r="AK44" s="252"/>
      <c r="AL44" s="252">
        <f>重み_後!E44</f>
        <v>0</v>
      </c>
    </row>
    <row r="45" spans="2:38" ht="13.5" hidden="1">
      <c r="B45" s="357"/>
      <c r="C45" s="2402"/>
      <c r="D45" s="2109">
        <v>2</v>
      </c>
      <c r="E45" s="2085" t="s">
        <v>1801</v>
      </c>
      <c r="F45" s="297" t="s">
        <v>672</v>
      </c>
      <c r="G45" s="297" t="s">
        <v>672</v>
      </c>
      <c r="H45" s="297" t="s">
        <v>637</v>
      </c>
      <c r="I45" s="297" t="s">
        <v>672</v>
      </c>
      <c r="J45" s="297" t="s">
        <v>672</v>
      </c>
      <c r="K45" s="315" t="s">
        <v>637</v>
      </c>
      <c r="L45" s="330" t="s">
        <v>605</v>
      </c>
      <c r="M45" s="317" t="str">
        <f t="shared" si="12"/>
        <v>EB</v>
      </c>
      <c r="N45" s="2474"/>
      <c r="O45" s="315" t="str">
        <f t="shared" si="13"/>
        <v>EB</v>
      </c>
      <c r="P45" s="2474"/>
      <c r="Q45" s="331" t="str">
        <f t="shared" si="18"/>
        <v>EB</v>
      </c>
      <c r="R45" s="329" t="str">
        <f t="shared" si="19"/>
        <v>EB</v>
      </c>
      <c r="S45" s="329"/>
      <c r="T45" s="317" t="str">
        <f t="shared" si="14"/>
        <v>EB</v>
      </c>
      <c r="U45" s="2474">
        <v>0</v>
      </c>
      <c r="V45" s="315" t="str">
        <f t="shared" si="15"/>
        <v>NC</v>
      </c>
      <c r="W45" s="2474">
        <v>0</v>
      </c>
      <c r="X45" s="358" t="str">
        <f t="shared" si="16"/>
        <v>EB</v>
      </c>
      <c r="Y45" s="359" t="str">
        <f t="shared" si="17"/>
        <v>NC</v>
      </c>
      <c r="Z45" s="222"/>
      <c r="AA45" s="282">
        <f>重み_前!M45</f>
        <v>0</v>
      </c>
      <c r="AB45" s="282">
        <f>重み_後!N45</f>
        <v>0</v>
      </c>
      <c r="AC45" s="252">
        <f>重み_前!D45</f>
        <v>0</v>
      </c>
      <c r="AD45" s="252"/>
      <c r="AE45" s="252">
        <f>重み_後!D45</f>
        <v>0</v>
      </c>
      <c r="AF45" s="252"/>
      <c r="AG45" s="252"/>
      <c r="AH45" s="253">
        <f>重み_前!N45</f>
        <v>0</v>
      </c>
      <c r="AI45" s="253">
        <f>重み_後!O45</f>
        <v>0</v>
      </c>
      <c r="AJ45" s="252">
        <f>重み_前!E45</f>
        <v>0</v>
      </c>
      <c r="AK45" s="252"/>
      <c r="AL45" s="252">
        <f>重み_後!E45</f>
        <v>0</v>
      </c>
    </row>
    <row r="46" spans="2:38" ht="14.25" thickBot="1">
      <c r="B46" s="360"/>
      <c r="C46" s="333">
        <v>3.4</v>
      </c>
      <c r="D46" s="2728" t="s">
        <v>684</v>
      </c>
      <c r="E46" s="2729"/>
      <c r="F46" s="297" t="s">
        <v>674</v>
      </c>
      <c r="G46" s="297" t="s">
        <v>674</v>
      </c>
      <c r="H46" s="297" t="s">
        <v>637</v>
      </c>
      <c r="I46" s="297" t="s">
        <v>674</v>
      </c>
      <c r="J46" s="297" t="s">
        <v>674</v>
      </c>
      <c r="K46" s="315" t="s">
        <v>637</v>
      </c>
      <c r="L46" s="323"/>
      <c r="M46" s="317" t="str">
        <f t="shared" si="12"/>
        <v>EB</v>
      </c>
      <c r="N46" s="2476">
        <v>3</v>
      </c>
      <c r="O46" s="2466" t="str">
        <f t="shared" si="13"/>
        <v>NC</v>
      </c>
      <c r="P46" s="2476">
        <v>3</v>
      </c>
      <c r="Q46" s="2475" t="str">
        <f t="shared" si="18"/>
        <v>EB</v>
      </c>
      <c r="R46" s="2473" t="str">
        <f t="shared" si="19"/>
        <v>NC</v>
      </c>
      <c r="S46" s="2473"/>
      <c r="T46" s="2468" t="str">
        <f t="shared" si="14"/>
        <v>EB</v>
      </c>
      <c r="U46" s="2476">
        <v>3</v>
      </c>
      <c r="V46" s="2466" t="str">
        <f t="shared" si="15"/>
        <v>NC</v>
      </c>
      <c r="W46" s="2476">
        <v>3</v>
      </c>
      <c r="X46" s="324" t="str">
        <f t="shared" si="16"/>
        <v>EB</v>
      </c>
      <c r="Y46" s="322" t="str">
        <f t="shared" si="17"/>
        <v>NC</v>
      </c>
      <c r="Z46" s="222"/>
      <c r="AA46" s="282">
        <f>重み_前!M46</f>
        <v>0.25</v>
      </c>
      <c r="AB46" s="282">
        <f>重み_後!N46</f>
        <v>0.34685165421558167</v>
      </c>
      <c r="AC46" s="252">
        <f>重み_前!D46</f>
        <v>0.25</v>
      </c>
      <c r="AD46" s="252"/>
      <c r="AE46" s="252">
        <f>重み_後!D46</f>
        <v>0.34685165421558162</v>
      </c>
      <c r="AF46" s="252"/>
      <c r="AG46" s="252"/>
      <c r="AH46" s="253">
        <f>重み_前!N46</f>
        <v>0</v>
      </c>
      <c r="AI46" s="253">
        <f>重み_後!O46</f>
        <v>0</v>
      </c>
      <c r="AJ46" s="252">
        <f>重み_前!E46</f>
        <v>0</v>
      </c>
      <c r="AK46" s="252"/>
      <c r="AL46" s="252">
        <f>重み_後!E46</f>
        <v>0</v>
      </c>
    </row>
    <row r="47" spans="2:38" ht="13.5">
      <c r="B47" s="400">
        <v>4</v>
      </c>
      <c r="C47" s="336" t="s">
        <v>685</v>
      </c>
      <c r="D47" s="401"/>
      <c r="E47" s="384"/>
      <c r="F47" s="297" t="s">
        <v>636</v>
      </c>
      <c r="G47" s="297" t="s">
        <v>636</v>
      </c>
      <c r="H47" s="297" t="s">
        <v>639</v>
      </c>
      <c r="I47" s="344"/>
      <c r="J47" s="344"/>
      <c r="K47" s="345"/>
      <c r="L47" s="340" t="str">
        <f>IF(COUNTIF(L48:L60,$AA$3)&gt;=ROWS(L48:L60),$AA$3,"")</f>
        <v/>
      </c>
      <c r="M47" s="346"/>
      <c r="N47" s="342"/>
      <c r="O47" s="345"/>
      <c r="P47" s="342"/>
      <c r="Q47" s="303" t="str">
        <f t="shared" si="18"/>
        <v>EB</v>
      </c>
      <c r="R47" s="304" t="str">
        <f t="shared" si="19"/>
        <v>NC</v>
      </c>
      <c r="S47" s="340" t="str">
        <f>IF(COUNTIF(S48:S60,$AA$3)&gt;=ROWS(S48:S60),$AA$3,"")</f>
        <v/>
      </c>
      <c r="T47" s="346"/>
      <c r="U47" s="342"/>
      <c r="V47" s="345"/>
      <c r="W47" s="342"/>
      <c r="X47" s="303" t="str">
        <f t="shared" si="16"/>
        <v>EB</v>
      </c>
      <c r="Y47" s="304" t="str">
        <f t="shared" si="17"/>
        <v>NC</v>
      </c>
      <c r="Z47" s="222"/>
      <c r="AA47" s="282">
        <f>重み_前!M47</f>
        <v>0.25</v>
      </c>
      <c r="AB47" s="282">
        <f>重み_後!N47</f>
        <v>0.25400050800101603</v>
      </c>
      <c r="AC47" s="252">
        <f>重み_前!D47</f>
        <v>0.25</v>
      </c>
      <c r="AD47" s="252"/>
      <c r="AE47" s="252">
        <f>重み_後!D47</f>
        <v>0.25400050800101603</v>
      </c>
      <c r="AF47" s="252"/>
      <c r="AG47" s="252"/>
      <c r="AH47" s="253">
        <f>重み_前!N47</f>
        <v>1</v>
      </c>
      <c r="AI47" s="253">
        <f>重み_後!O47</f>
        <v>0</v>
      </c>
      <c r="AJ47" s="252">
        <f>重み_前!E47</f>
        <v>0</v>
      </c>
      <c r="AK47" s="252"/>
      <c r="AL47" s="252">
        <f>重み_後!E47</f>
        <v>0</v>
      </c>
    </row>
    <row r="48" spans="2:38" ht="14.25" thickBot="1">
      <c r="B48" s="305"/>
      <c r="C48" s="306">
        <v>4.0999999999999996</v>
      </c>
      <c r="D48" s="343" t="s">
        <v>686</v>
      </c>
      <c r="E48" s="343"/>
      <c r="F48" s="297" t="s">
        <v>687</v>
      </c>
      <c r="G48" s="297" t="s">
        <v>687</v>
      </c>
      <c r="H48" s="297" t="s">
        <v>688</v>
      </c>
      <c r="I48" s="344"/>
      <c r="J48" s="344"/>
      <c r="K48" s="345"/>
      <c r="L48" s="309" t="str">
        <f>IF(COUNTIF(L49:L52,$AA$3)&gt;=ROWS(L49:L52),$AA$3,"")</f>
        <v/>
      </c>
      <c r="M48" s="346"/>
      <c r="N48" s="310"/>
      <c r="O48" s="345"/>
      <c r="P48" s="310"/>
      <c r="Q48" s="311" t="str">
        <f t="shared" si="18"/>
        <v>EB</v>
      </c>
      <c r="R48" s="312" t="str">
        <f t="shared" si="19"/>
        <v>NC</v>
      </c>
      <c r="S48" s="309" t="str">
        <f>IF(COUNTIF(S49:S52,$AA$3)&gt;=ROWS(S49:S52),$AA$3,"")</f>
        <v/>
      </c>
      <c r="T48" s="346"/>
      <c r="U48" s="310"/>
      <c r="V48" s="345"/>
      <c r="W48" s="310"/>
      <c r="X48" s="311" t="str">
        <f t="shared" si="16"/>
        <v>EB</v>
      </c>
      <c r="Y48" s="312" t="str">
        <f t="shared" si="17"/>
        <v>NC</v>
      </c>
      <c r="Z48" s="222"/>
      <c r="AA48" s="282">
        <f>重み_前!M48</f>
        <v>0.5</v>
      </c>
      <c r="AB48" s="282">
        <f>重み_後!N48</f>
        <v>0.45454545454545453</v>
      </c>
      <c r="AC48" s="252">
        <f>重み_前!D48</f>
        <v>0.5</v>
      </c>
      <c r="AD48" s="252"/>
      <c r="AE48" s="252">
        <f>重み_後!D48</f>
        <v>0.45454545454545459</v>
      </c>
      <c r="AF48" s="252"/>
      <c r="AG48" s="252"/>
      <c r="AH48" s="253">
        <f>重み_前!N48</f>
        <v>0</v>
      </c>
      <c r="AI48" s="253">
        <f>重み_後!O48</f>
        <v>0</v>
      </c>
      <c r="AJ48" s="252">
        <f>重み_前!E48</f>
        <v>0</v>
      </c>
      <c r="AK48" s="252"/>
      <c r="AL48" s="252">
        <f>重み_後!E48</f>
        <v>0</v>
      </c>
    </row>
    <row r="49" spans="2:38" ht="13.5">
      <c r="B49" s="305"/>
      <c r="C49" s="2396"/>
      <c r="D49" s="314">
        <v>1</v>
      </c>
      <c r="E49" s="334" t="s">
        <v>689</v>
      </c>
      <c r="F49" s="297" t="s">
        <v>672</v>
      </c>
      <c r="G49" s="297" t="s">
        <v>672</v>
      </c>
      <c r="H49" s="297" t="s">
        <v>637</v>
      </c>
      <c r="I49" s="297" t="s">
        <v>672</v>
      </c>
      <c r="J49" s="297" t="s">
        <v>672</v>
      </c>
      <c r="K49" s="315" t="s">
        <v>637</v>
      </c>
      <c r="L49" s="318"/>
      <c r="M49" s="317" t="str">
        <f>IF(L49=$AA$3,$I49,$J49)</f>
        <v>EB</v>
      </c>
      <c r="N49" s="2469">
        <v>3</v>
      </c>
      <c r="O49" s="2466" t="str">
        <f>IF(L49=$AA$3,$I49,$K49)</f>
        <v>NC</v>
      </c>
      <c r="P49" s="2469">
        <v>3</v>
      </c>
      <c r="Q49" s="2475" t="str">
        <f t="shared" si="18"/>
        <v>EB</v>
      </c>
      <c r="R49" s="2473" t="str">
        <f t="shared" si="19"/>
        <v>NC</v>
      </c>
      <c r="S49" s="2469"/>
      <c r="T49" s="2468" t="str">
        <f>IF(S49=$AA$3,$I49,$J49)</f>
        <v>EB</v>
      </c>
      <c r="U49" s="2469">
        <v>3</v>
      </c>
      <c r="V49" s="2466" t="str">
        <f>IF(S49=$AA$3,$I49,$K49)</f>
        <v>NC</v>
      </c>
      <c r="W49" s="2469">
        <v>3</v>
      </c>
      <c r="X49" s="319" t="str">
        <f t="shared" si="16"/>
        <v>EB</v>
      </c>
      <c r="Y49" s="316" t="str">
        <f t="shared" si="17"/>
        <v>NC</v>
      </c>
      <c r="Z49" s="222"/>
      <c r="AA49" s="282">
        <f>重み_前!M49</f>
        <v>0.25</v>
      </c>
      <c r="AB49" s="282">
        <f>重み_後!N49</f>
        <v>0.4</v>
      </c>
      <c r="AC49" s="252">
        <f>重み_前!D49</f>
        <v>0.5</v>
      </c>
      <c r="AD49" s="252"/>
      <c r="AE49" s="252">
        <f>重み_後!D49</f>
        <v>1</v>
      </c>
      <c r="AF49" s="252"/>
      <c r="AG49" s="252"/>
      <c r="AH49" s="253">
        <f>重み_前!N49</f>
        <v>0</v>
      </c>
      <c r="AI49" s="253">
        <f>重み_後!O49</f>
        <v>0</v>
      </c>
      <c r="AJ49" s="252">
        <f>重み_前!E49</f>
        <v>0</v>
      </c>
      <c r="AK49" s="252"/>
      <c r="AL49" s="252">
        <f>重み_後!E49</f>
        <v>0</v>
      </c>
    </row>
    <row r="50" spans="2:38" ht="14.25" thickBot="1">
      <c r="B50" s="305"/>
      <c r="C50" s="2396"/>
      <c r="D50" s="314">
        <v>2</v>
      </c>
      <c r="E50" s="334" t="s">
        <v>690</v>
      </c>
      <c r="F50" s="297" t="s">
        <v>678</v>
      </c>
      <c r="G50" s="297" t="s">
        <v>678</v>
      </c>
      <c r="H50" s="297" t="s">
        <v>637</v>
      </c>
      <c r="I50" s="297" t="s">
        <v>678</v>
      </c>
      <c r="J50" s="297" t="s">
        <v>678</v>
      </c>
      <c r="K50" s="315">
        <v>0</v>
      </c>
      <c r="L50" s="323"/>
      <c r="M50" s="317" t="str">
        <f>IF(L50=$AA$3,$I50,$J50)</f>
        <v>EB</v>
      </c>
      <c r="N50" s="2471">
        <v>3</v>
      </c>
      <c r="O50" s="2466">
        <f>IF(L50=$AA$3,$I50,$K50)</f>
        <v>0</v>
      </c>
      <c r="P50" s="2471">
        <v>3</v>
      </c>
      <c r="Q50" s="2475" t="str">
        <f t="shared" si="18"/>
        <v>EB</v>
      </c>
      <c r="R50" s="2473" t="str">
        <f t="shared" si="19"/>
        <v>NC</v>
      </c>
      <c r="S50" s="2471"/>
      <c r="T50" s="2468" t="str">
        <f>IF(S50=$AA$3,$I50,$J50)</f>
        <v>EB</v>
      </c>
      <c r="U50" s="2471">
        <v>3</v>
      </c>
      <c r="V50" s="2466">
        <f>IF(S50=$AA$3,$I50,$K50)</f>
        <v>0</v>
      </c>
      <c r="W50" s="2471">
        <v>3</v>
      </c>
      <c r="X50" s="331" t="str">
        <f t="shared" si="16"/>
        <v>EB</v>
      </c>
      <c r="Y50" s="329" t="str">
        <f t="shared" si="17"/>
        <v>NC</v>
      </c>
      <c r="Z50" s="222"/>
      <c r="AA50" s="282">
        <f>重み_前!M50</f>
        <v>0.25</v>
      </c>
      <c r="AB50" s="282">
        <f>重み_後!N50</f>
        <v>0</v>
      </c>
      <c r="AC50" s="252">
        <f>重み_前!D50</f>
        <v>0.5</v>
      </c>
      <c r="AD50" s="252"/>
      <c r="AE50" s="252">
        <f>重み_後!D50</f>
        <v>0</v>
      </c>
      <c r="AF50" s="252"/>
      <c r="AG50" s="252"/>
      <c r="AH50" s="253">
        <f>重み_前!N50</f>
        <v>0</v>
      </c>
      <c r="AI50" s="253">
        <f>重み_後!O50</f>
        <v>0</v>
      </c>
      <c r="AJ50" s="252">
        <f>重み_前!E50</f>
        <v>0</v>
      </c>
      <c r="AK50" s="252"/>
      <c r="AL50" s="252">
        <f>重み_後!E50</f>
        <v>0</v>
      </c>
    </row>
    <row r="51" spans="2:38" ht="13.5" hidden="1">
      <c r="B51" s="305"/>
      <c r="C51" s="2396"/>
      <c r="D51" s="2109">
        <v>3</v>
      </c>
      <c r="E51" s="2085" t="s">
        <v>691</v>
      </c>
      <c r="F51" s="297" t="s">
        <v>428</v>
      </c>
      <c r="G51" s="297" t="s">
        <v>428</v>
      </c>
      <c r="H51" s="297" t="s">
        <v>637</v>
      </c>
      <c r="I51" s="297" t="s">
        <v>428</v>
      </c>
      <c r="J51" s="297" t="s">
        <v>428</v>
      </c>
      <c r="K51" s="315" t="s">
        <v>637</v>
      </c>
      <c r="L51" s="422" t="s">
        <v>605</v>
      </c>
      <c r="M51" s="317" t="str">
        <f>IF(L51=$AA$3,$I51,$J51)</f>
        <v>EB</v>
      </c>
      <c r="N51" s="2113">
        <v>0</v>
      </c>
      <c r="O51" s="315" t="str">
        <f>IF(L51=$AA$3,$I51,$K51)</f>
        <v>EB</v>
      </c>
      <c r="P51" s="2113">
        <v>0</v>
      </c>
      <c r="Q51" s="425" t="str">
        <f t="shared" si="18"/>
        <v>EB</v>
      </c>
      <c r="R51" s="422" t="str">
        <f t="shared" si="19"/>
        <v>EB</v>
      </c>
      <c r="S51" s="422"/>
      <c r="T51" s="317" t="str">
        <f>IF(S51=$AA$3,$I51,$J51)</f>
        <v>EB</v>
      </c>
      <c r="U51" s="2113"/>
      <c r="V51" s="315" t="str">
        <f>IF(S51=$AA$3,$I51,$K51)</f>
        <v>NC</v>
      </c>
      <c r="W51" s="2113">
        <v>0</v>
      </c>
      <c r="X51" s="331" t="str">
        <f t="shared" si="16"/>
        <v>EB</v>
      </c>
      <c r="Y51" s="329" t="str">
        <f t="shared" si="17"/>
        <v>NC</v>
      </c>
      <c r="Z51" s="222"/>
      <c r="AA51" s="282">
        <f>重み_前!M51</f>
        <v>0.25</v>
      </c>
      <c r="AB51" s="282">
        <f>重み_後!N51</f>
        <v>0.30000000000000004</v>
      </c>
      <c r="AC51" s="252">
        <f>重み_前!D51</f>
        <v>0</v>
      </c>
      <c r="AD51" s="252"/>
      <c r="AE51" s="252">
        <f>重み_後!D51</f>
        <v>0</v>
      </c>
      <c r="AF51" s="252"/>
      <c r="AG51" s="252"/>
      <c r="AH51" s="253">
        <f>重み_前!N51</f>
        <v>0</v>
      </c>
      <c r="AI51" s="253">
        <f>重み_後!O51</f>
        <v>0</v>
      </c>
      <c r="AJ51" s="252">
        <f>重み_前!E51</f>
        <v>0</v>
      </c>
      <c r="AK51" s="252"/>
      <c r="AL51" s="252">
        <f>重み_後!E51</f>
        <v>0</v>
      </c>
    </row>
    <row r="52" spans="2:38" ht="14.25" hidden="1" thickBot="1">
      <c r="B52" s="305"/>
      <c r="C52" s="2400"/>
      <c r="D52" s="2109">
        <v>4</v>
      </c>
      <c r="E52" s="2085" t="s">
        <v>692</v>
      </c>
      <c r="F52" s="297" t="s">
        <v>678</v>
      </c>
      <c r="G52" s="297" t="s">
        <v>678</v>
      </c>
      <c r="H52" s="297" t="s">
        <v>637</v>
      </c>
      <c r="I52" s="297" t="s">
        <v>678</v>
      </c>
      <c r="J52" s="297" t="s">
        <v>678</v>
      </c>
      <c r="K52" s="315" t="s">
        <v>637</v>
      </c>
      <c r="L52" s="322" t="s">
        <v>605</v>
      </c>
      <c r="M52" s="317" t="str">
        <f>IF(L52=$AA$3,$I52,$J52)</f>
        <v>EB</v>
      </c>
      <c r="N52" s="323">
        <v>0</v>
      </c>
      <c r="O52" s="315" t="str">
        <f>IF(L52=$AA$3,$I52,$K52)</f>
        <v>EB</v>
      </c>
      <c r="P52" s="323">
        <v>0</v>
      </c>
      <c r="Q52" s="324" t="str">
        <f t="shared" si="18"/>
        <v>EB</v>
      </c>
      <c r="R52" s="322" t="str">
        <f t="shared" si="19"/>
        <v>EB</v>
      </c>
      <c r="S52" s="322"/>
      <c r="T52" s="317" t="str">
        <f>IF(S52=$AA$3,$I52,$J52)</f>
        <v>EB</v>
      </c>
      <c r="U52" s="323">
        <v>3</v>
      </c>
      <c r="V52" s="315" t="str">
        <f>IF(S52=$AA$3,$I52,$K52)</f>
        <v>NC</v>
      </c>
      <c r="W52" s="323">
        <v>3</v>
      </c>
      <c r="X52" s="324" t="str">
        <f t="shared" si="16"/>
        <v>EB</v>
      </c>
      <c r="Y52" s="322" t="str">
        <f t="shared" si="17"/>
        <v>NC</v>
      </c>
      <c r="Z52" s="222"/>
      <c r="AA52" s="282">
        <f>重み_前!M52</f>
        <v>0.25</v>
      </c>
      <c r="AB52" s="282">
        <f>重み_後!N52</f>
        <v>0.30000000000000004</v>
      </c>
      <c r="AC52" s="252">
        <f>重み_前!D52</f>
        <v>0</v>
      </c>
      <c r="AD52" s="252"/>
      <c r="AE52" s="252">
        <f>重み_後!D52</f>
        <v>0</v>
      </c>
      <c r="AF52" s="252"/>
      <c r="AG52" s="252"/>
      <c r="AH52" s="253">
        <f>重み_前!N52</f>
        <v>0</v>
      </c>
      <c r="AI52" s="253">
        <f>重み_後!O52</f>
        <v>0</v>
      </c>
      <c r="AJ52" s="252">
        <f>重み_前!E52</f>
        <v>0</v>
      </c>
      <c r="AK52" s="252"/>
      <c r="AL52" s="252">
        <f>重み_後!E52</f>
        <v>0</v>
      </c>
    </row>
    <row r="53" spans="2:38" ht="14.25" thickBot="1">
      <c r="B53" s="348"/>
      <c r="C53" s="306">
        <v>4.2</v>
      </c>
      <c r="D53" s="343" t="s">
        <v>693</v>
      </c>
      <c r="E53" s="384"/>
      <c r="F53" s="297" t="s">
        <v>694</v>
      </c>
      <c r="G53" s="297" t="s">
        <v>694</v>
      </c>
      <c r="H53" s="297" t="s">
        <v>695</v>
      </c>
      <c r="I53" s="344"/>
      <c r="J53" s="344"/>
      <c r="K53" s="345"/>
      <c r="L53" s="312" t="str">
        <f>IF(COUNTIF(L54:L57,$AA$3)&gt;=ROWS(L54:L57),$AA$3,"")</f>
        <v/>
      </c>
      <c r="M53" s="346"/>
      <c r="N53" s="326"/>
      <c r="O53" s="345"/>
      <c r="P53" s="326"/>
      <c r="Q53" s="327" t="str">
        <f t="shared" si="18"/>
        <v>EB</v>
      </c>
      <c r="R53" s="328" t="str">
        <f t="shared" si="19"/>
        <v>NC</v>
      </c>
      <c r="S53" s="312" t="str">
        <f>IF(COUNTIF(S54:S57,$AA$3)&gt;=ROWS(S54:S57),$AA$3,"")</f>
        <v/>
      </c>
      <c r="T53" s="346"/>
      <c r="U53" s="326"/>
      <c r="V53" s="345"/>
      <c r="W53" s="326"/>
      <c r="X53" s="327" t="str">
        <f t="shared" si="16"/>
        <v>EB</v>
      </c>
      <c r="Y53" s="328" t="str">
        <f t="shared" si="17"/>
        <v>NC</v>
      </c>
      <c r="Z53" s="222"/>
      <c r="AA53" s="282">
        <f>重み_前!M53</f>
        <v>0.3</v>
      </c>
      <c r="AB53" s="282">
        <f>重み_後!N53</f>
        <v>0.32727272727272722</v>
      </c>
      <c r="AC53" s="252">
        <f>重み_前!D53</f>
        <v>0.3</v>
      </c>
      <c r="AD53" s="252"/>
      <c r="AE53" s="252">
        <f>重み_後!D53</f>
        <v>0.32727272727272727</v>
      </c>
      <c r="AF53" s="252"/>
      <c r="AG53" s="252"/>
      <c r="AH53" s="253">
        <f>重み_前!N53</f>
        <v>0</v>
      </c>
      <c r="AI53" s="253">
        <f>重み_後!O53</f>
        <v>0</v>
      </c>
      <c r="AJ53" s="252">
        <f>重み_前!E53</f>
        <v>0</v>
      </c>
      <c r="AK53" s="252"/>
      <c r="AL53" s="252">
        <f>重み_後!E53</f>
        <v>0</v>
      </c>
    </row>
    <row r="54" spans="2:38" ht="13.5">
      <c r="B54" s="348"/>
      <c r="C54" s="2401"/>
      <c r="D54" s="314">
        <v>1</v>
      </c>
      <c r="E54" s="334" t="s">
        <v>696</v>
      </c>
      <c r="F54" s="297" t="s">
        <v>694</v>
      </c>
      <c r="G54" s="297" t="s">
        <v>694</v>
      </c>
      <c r="H54" s="297" t="s">
        <v>637</v>
      </c>
      <c r="I54" s="297" t="s">
        <v>694</v>
      </c>
      <c r="J54" s="297" t="s">
        <v>694</v>
      </c>
      <c r="K54" s="315" t="s">
        <v>637</v>
      </c>
      <c r="L54" s="318"/>
      <c r="M54" s="317" t="str">
        <f>IF(L54=$AA$3,$I54,$J54)</f>
        <v>EB</v>
      </c>
      <c r="N54" s="2469">
        <v>3</v>
      </c>
      <c r="O54" s="2466" t="str">
        <f>IF(L54=$AA$3,$I54,$K54)</f>
        <v>NC</v>
      </c>
      <c r="P54" s="2469">
        <v>3</v>
      </c>
      <c r="Q54" s="2475" t="str">
        <f t="shared" si="18"/>
        <v>EB</v>
      </c>
      <c r="R54" s="2473" t="str">
        <f t="shared" si="19"/>
        <v>NC</v>
      </c>
      <c r="S54" s="2469"/>
      <c r="T54" s="2468" t="str">
        <f>IF(S54=$AA$3,$I54,$J54)</f>
        <v>EB</v>
      </c>
      <c r="U54" s="2469">
        <v>3</v>
      </c>
      <c r="V54" s="2466" t="str">
        <f>IF(S54=$AA$3,$I54,$K54)</f>
        <v>NC</v>
      </c>
      <c r="W54" s="2469">
        <v>3</v>
      </c>
      <c r="X54" s="319" t="str">
        <f t="shared" si="16"/>
        <v>EB</v>
      </c>
      <c r="Y54" s="316" t="str">
        <f t="shared" si="17"/>
        <v>NC</v>
      </c>
      <c r="Z54" s="222"/>
      <c r="AA54" s="282">
        <f>重み_前!M54</f>
        <v>0.25</v>
      </c>
      <c r="AB54" s="282">
        <f>重み_後!N54</f>
        <v>0.27500000000000002</v>
      </c>
      <c r="AC54" s="252">
        <f>重み_前!D54</f>
        <v>0.33333333333333331</v>
      </c>
      <c r="AD54" s="252"/>
      <c r="AE54" s="252">
        <f>重み_後!D54</f>
        <v>0.37931034482758619</v>
      </c>
      <c r="AF54" s="252"/>
      <c r="AG54" s="252"/>
      <c r="AH54" s="253">
        <f>重み_前!N54</f>
        <v>0</v>
      </c>
      <c r="AI54" s="253">
        <f>重み_後!O54</f>
        <v>0</v>
      </c>
      <c r="AJ54" s="252">
        <f>重み_前!E54</f>
        <v>0</v>
      </c>
      <c r="AK54" s="252"/>
      <c r="AL54" s="252">
        <f>重み_後!E54</f>
        <v>0</v>
      </c>
    </row>
    <row r="55" spans="2:38" ht="13.5">
      <c r="B55" s="348"/>
      <c r="C55" s="2401"/>
      <c r="D55" s="314">
        <v>2</v>
      </c>
      <c r="E55" s="334" t="s">
        <v>697</v>
      </c>
      <c r="F55" s="297" t="s">
        <v>653</v>
      </c>
      <c r="G55" s="297" t="s">
        <v>653</v>
      </c>
      <c r="H55" s="297" t="s">
        <v>637</v>
      </c>
      <c r="I55" s="297" t="s">
        <v>653</v>
      </c>
      <c r="J55" s="297" t="s">
        <v>653</v>
      </c>
      <c r="K55" s="315" t="s">
        <v>637</v>
      </c>
      <c r="L55" s="330"/>
      <c r="M55" s="317" t="str">
        <f>IF(L55=$AA$3,$I55,$J55)</f>
        <v>EB</v>
      </c>
      <c r="N55" s="2474">
        <v>3</v>
      </c>
      <c r="O55" s="2466" t="str">
        <f>IF(L55=$AA$3,$I55,$K55)</f>
        <v>NC</v>
      </c>
      <c r="P55" s="2474">
        <v>3</v>
      </c>
      <c r="Q55" s="2475" t="str">
        <f t="shared" si="18"/>
        <v>EB</v>
      </c>
      <c r="R55" s="2473" t="str">
        <f t="shared" si="19"/>
        <v>NC</v>
      </c>
      <c r="S55" s="2474"/>
      <c r="T55" s="2468" t="str">
        <f>IF(S55=$AA$3,$I55,$J55)</f>
        <v>EB</v>
      </c>
      <c r="U55" s="2474">
        <v>3</v>
      </c>
      <c r="V55" s="2466" t="str">
        <f>IF(S55=$AA$3,$I55,$K55)</f>
        <v>NC</v>
      </c>
      <c r="W55" s="2474">
        <v>3</v>
      </c>
      <c r="X55" s="331" t="str">
        <f t="shared" si="16"/>
        <v>EB</v>
      </c>
      <c r="Y55" s="329" t="str">
        <f t="shared" si="17"/>
        <v>NC</v>
      </c>
      <c r="Z55" s="222"/>
      <c r="AA55" s="282">
        <f>重み_前!M55</f>
        <v>0.25</v>
      </c>
      <c r="AB55" s="282">
        <f>重み_後!N55</f>
        <v>0.17500000000000004</v>
      </c>
      <c r="AC55" s="252">
        <f>重み_前!D55</f>
        <v>0.33333333333333331</v>
      </c>
      <c r="AD55" s="252"/>
      <c r="AE55" s="252">
        <f>重み_後!D55</f>
        <v>0.24137931034482762</v>
      </c>
      <c r="AF55" s="252"/>
      <c r="AG55" s="252"/>
      <c r="AH55" s="253">
        <f>重み_前!N55</f>
        <v>0</v>
      </c>
      <c r="AI55" s="253">
        <f>重み_後!O55</f>
        <v>0</v>
      </c>
      <c r="AJ55" s="252">
        <f>重み_前!E55</f>
        <v>0</v>
      </c>
      <c r="AK55" s="252"/>
      <c r="AL55" s="252">
        <f>重み_後!E55</f>
        <v>0</v>
      </c>
    </row>
    <row r="56" spans="2:38" ht="14.25" thickBot="1">
      <c r="B56" s="348"/>
      <c r="C56" s="2401"/>
      <c r="D56" s="314">
        <v>3</v>
      </c>
      <c r="E56" s="334" t="s">
        <v>698</v>
      </c>
      <c r="F56" s="297" t="s">
        <v>674</v>
      </c>
      <c r="G56" s="297" t="s">
        <v>674</v>
      </c>
      <c r="H56" s="297" t="s">
        <v>637</v>
      </c>
      <c r="I56" s="297" t="s">
        <v>674</v>
      </c>
      <c r="J56" s="297" t="s">
        <v>674</v>
      </c>
      <c r="K56" s="315" t="s">
        <v>637</v>
      </c>
      <c r="L56" s="323"/>
      <c r="M56" s="317" t="str">
        <f>IF(L56=$AA$3,$I56,$J56)</f>
        <v>EB</v>
      </c>
      <c r="N56" s="2471">
        <v>3</v>
      </c>
      <c r="O56" s="2466" t="str">
        <f>IF(L56=$AA$3,$I56,$K56)</f>
        <v>NC</v>
      </c>
      <c r="P56" s="2471">
        <v>3</v>
      </c>
      <c r="Q56" s="2475" t="str">
        <f t="shared" si="18"/>
        <v>EB</v>
      </c>
      <c r="R56" s="2473" t="str">
        <f t="shared" si="19"/>
        <v>NC</v>
      </c>
      <c r="S56" s="2471"/>
      <c r="T56" s="2468" t="str">
        <f>IF(S56=$AA$3,$I56,$J56)</f>
        <v>EB</v>
      </c>
      <c r="U56" s="2471">
        <v>3</v>
      </c>
      <c r="V56" s="2466" t="str">
        <f>IF(S56=$AA$3,$I56,$K56)</f>
        <v>NC</v>
      </c>
      <c r="W56" s="2471">
        <v>3</v>
      </c>
      <c r="X56" s="331" t="str">
        <f t="shared" si="16"/>
        <v>EB</v>
      </c>
      <c r="Y56" s="329" t="str">
        <f t="shared" si="17"/>
        <v>NC</v>
      </c>
      <c r="Z56" s="222"/>
      <c r="AA56" s="282">
        <f>重み_前!M56</f>
        <v>0.25</v>
      </c>
      <c r="AB56" s="282">
        <f>重み_後!N56</f>
        <v>0.27500000000000002</v>
      </c>
      <c r="AC56" s="252">
        <f>重み_前!D56</f>
        <v>0.33333333333333331</v>
      </c>
      <c r="AD56" s="252"/>
      <c r="AE56" s="252">
        <f>重み_後!D56</f>
        <v>0.37931034482758619</v>
      </c>
      <c r="AF56" s="252"/>
      <c r="AG56" s="252"/>
      <c r="AH56" s="253">
        <f>重み_前!N56</f>
        <v>0</v>
      </c>
      <c r="AI56" s="253">
        <f>重み_後!O56</f>
        <v>0</v>
      </c>
      <c r="AJ56" s="252">
        <f>重み_前!E56</f>
        <v>0</v>
      </c>
      <c r="AK56" s="252"/>
      <c r="AL56" s="252">
        <f>重み_後!E56</f>
        <v>0</v>
      </c>
    </row>
    <row r="57" spans="2:38" ht="14.25" hidden="1" thickBot="1">
      <c r="B57" s="348"/>
      <c r="C57" s="2402"/>
      <c r="D57" s="2109">
        <v>4</v>
      </c>
      <c r="E57" s="2085" t="s">
        <v>699</v>
      </c>
      <c r="F57" s="297" t="s">
        <v>700</v>
      </c>
      <c r="G57" s="297" t="s">
        <v>700</v>
      </c>
      <c r="H57" s="297" t="s">
        <v>637</v>
      </c>
      <c r="I57" s="297" t="s">
        <v>700</v>
      </c>
      <c r="J57" s="297" t="s">
        <v>700</v>
      </c>
      <c r="K57" s="315" t="s">
        <v>637</v>
      </c>
      <c r="L57" s="2110" t="s">
        <v>605</v>
      </c>
      <c r="M57" s="317" t="str">
        <f>IF(L57=$AA$3,$I57,$J57)</f>
        <v>EB</v>
      </c>
      <c r="N57" s="2112">
        <v>0</v>
      </c>
      <c r="O57" s="315" t="str">
        <f>IF(L57=$AA$3,$I57,$K57)</f>
        <v>EB</v>
      </c>
      <c r="P57" s="2112">
        <v>0</v>
      </c>
      <c r="Q57" s="2111" t="str">
        <f t="shared" si="18"/>
        <v>EB</v>
      </c>
      <c r="R57" s="2110" t="str">
        <f t="shared" si="19"/>
        <v>EB</v>
      </c>
      <c r="S57" s="2110"/>
      <c r="T57" s="317" t="str">
        <f>IF(S57=$AA$3,$I57,$J57)</f>
        <v>EB</v>
      </c>
      <c r="U57" s="2112">
        <v>0</v>
      </c>
      <c r="V57" s="315" t="str">
        <f>IF(S57=$AA$3,$I57,$K57)</f>
        <v>NC</v>
      </c>
      <c r="W57" s="2112">
        <v>0</v>
      </c>
      <c r="X57" s="324" t="str">
        <f t="shared" si="16"/>
        <v>EB</v>
      </c>
      <c r="Y57" s="322" t="str">
        <f t="shared" si="17"/>
        <v>NC</v>
      </c>
      <c r="Z57" s="222"/>
      <c r="AA57" s="282">
        <f>重み_前!M57</f>
        <v>0.25</v>
      </c>
      <c r="AB57" s="282">
        <f>重み_後!N57</f>
        <v>0.27500000000000002</v>
      </c>
      <c r="AC57" s="252">
        <f>重み_前!D57</f>
        <v>0</v>
      </c>
      <c r="AD57" s="252"/>
      <c r="AE57" s="252">
        <f>重み_後!D57</f>
        <v>0</v>
      </c>
      <c r="AF57" s="252"/>
      <c r="AG57" s="252"/>
      <c r="AH57" s="253">
        <f>重み_前!N57</f>
        <v>0</v>
      </c>
      <c r="AI57" s="253">
        <f>重み_後!O57</f>
        <v>0</v>
      </c>
      <c r="AJ57" s="252">
        <f>重み_前!E57</f>
        <v>0</v>
      </c>
      <c r="AK57" s="252"/>
      <c r="AL57" s="252">
        <f>重み_後!E57</f>
        <v>0</v>
      </c>
    </row>
    <row r="58" spans="2:38" ht="14.25" thickBot="1">
      <c r="B58" s="348"/>
      <c r="C58" s="306">
        <v>4.3</v>
      </c>
      <c r="D58" s="343" t="s">
        <v>701</v>
      </c>
      <c r="E58" s="384"/>
      <c r="F58" s="297" t="s">
        <v>702</v>
      </c>
      <c r="G58" s="297" t="s">
        <v>702</v>
      </c>
      <c r="H58" s="297" t="s">
        <v>703</v>
      </c>
      <c r="I58" s="344"/>
      <c r="J58" s="344"/>
      <c r="K58" s="345"/>
      <c r="L58" s="312" t="str">
        <f>IF(COUNTIF(L59:L60,$AA$3)&gt;=ROWS(L59:L60),$AA$3,"")</f>
        <v/>
      </c>
      <c r="M58" s="346"/>
      <c r="N58" s="326"/>
      <c r="O58" s="345"/>
      <c r="P58" s="326"/>
      <c r="Q58" s="327" t="str">
        <f t="shared" si="18"/>
        <v>EB</v>
      </c>
      <c r="R58" s="328" t="str">
        <f t="shared" si="19"/>
        <v>NC</v>
      </c>
      <c r="S58" s="312" t="str">
        <f>IF(COUNTIF(S59:S60,$AA$3)&gt;=ROWS(S59:S60),$AA$3,"")</f>
        <v/>
      </c>
      <c r="T58" s="346"/>
      <c r="U58" s="326"/>
      <c r="V58" s="345"/>
      <c r="W58" s="326"/>
      <c r="X58" s="327" t="str">
        <f t="shared" si="16"/>
        <v>EB</v>
      </c>
      <c r="Y58" s="328" t="str">
        <f t="shared" si="17"/>
        <v>NC</v>
      </c>
      <c r="Z58" s="222"/>
      <c r="AA58" s="282">
        <f>重み_前!M58</f>
        <v>0.2</v>
      </c>
      <c r="AB58" s="282">
        <f>重み_後!N58</f>
        <v>0.21818181818181817</v>
      </c>
      <c r="AC58" s="252">
        <f>重み_前!D58</f>
        <v>0.2</v>
      </c>
      <c r="AD58" s="252"/>
      <c r="AE58" s="252">
        <f>重み_後!D58</f>
        <v>0.2181818181818182</v>
      </c>
      <c r="AF58" s="252"/>
      <c r="AG58" s="252"/>
      <c r="AH58" s="253">
        <f>重み_前!N58</f>
        <v>0</v>
      </c>
      <c r="AI58" s="253">
        <f>重み_後!O58</f>
        <v>0</v>
      </c>
      <c r="AJ58" s="252">
        <f>重み_前!E58</f>
        <v>0</v>
      </c>
      <c r="AK58" s="252"/>
      <c r="AL58" s="252">
        <f>重み_後!E58</f>
        <v>0</v>
      </c>
    </row>
    <row r="59" spans="2:38" ht="13.5">
      <c r="B59" s="348"/>
      <c r="C59" s="2401"/>
      <c r="D59" s="314">
        <v>1</v>
      </c>
      <c r="E59" s="334" t="s">
        <v>704</v>
      </c>
      <c r="F59" s="297" t="s">
        <v>702</v>
      </c>
      <c r="G59" s="297" t="s">
        <v>702</v>
      </c>
      <c r="H59" s="297" t="s">
        <v>637</v>
      </c>
      <c r="I59" s="297" t="s">
        <v>702</v>
      </c>
      <c r="J59" s="297" t="s">
        <v>702</v>
      </c>
      <c r="K59" s="315" t="s">
        <v>637</v>
      </c>
      <c r="L59" s="316"/>
      <c r="M59" s="317" t="str">
        <f>IF(L59=$AA$3,$I59,$J59)</f>
        <v>EB</v>
      </c>
      <c r="N59" s="2474">
        <v>3</v>
      </c>
      <c r="O59" s="2466" t="str">
        <f>IF(L59=$AA$3,$I59,$K59)</f>
        <v>NC</v>
      </c>
      <c r="P59" s="2474">
        <v>3</v>
      </c>
      <c r="Q59" s="2475" t="str">
        <f t="shared" si="18"/>
        <v>EB</v>
      </c>
      <c r="R59" s="2473" t="str">
        <f t="shared" si="19"/>
        <v>NC</v>
      </c>
      <c r="S59" s="2473"/>
      <c r="T59" s="2468" t="str">
        <f>IF(S59=$AA$3,$I59,$J59)</f>
        <v>EB</v>
      </c>
      <c r="U59" s="2474">
        <v>3</v>
      </c>
      <c r="V59" s="2466" t="str">
        <f>IF(S59=$AA$3,$I59,$K59)</f>
        <v>NC</v>
      </c>
      <c r="W59" s="2474">
        <v>3</v>
      </c>
      <c r="X59" s="319" t="str">
        <f t="shared" si="16"/>
        <v>EB</v>
      </c>
      <c r="Y59" s="316" t="str">
        <f t="shared" si="17"/>
        <v>NC</v>
      </c>
      <c r="Z59" s="222"/>
      <c r="AA59" s="282">
        <f>重み_前!M59</f>
        <v>0.5</v>
      </c>
      <c r="AB59" s="282">
        <f>重み_後!N59</f>
        <v>0.5</v>
      </c>
      <c r="AC59" s="252">
        <f>重み_前!D59</f>
        <v>0.5</v>
      </c>
      <c r="AD59" s="252"/>
      <c r="AE59" s="252">
        <f>重み_後!D59</f>
        <v>0.5</v>
      </c>
      <c r="AF59" s="252"/>
      <c r="AG59" s="252"/>
      <c r="AH59" s="253">
        <f>重み_前!N59</f>
        <v>0</v>
      </c>
      <c r="AI59" s="253">
        <f>重み_後!O59</f>
        <v>0</v>
      </c>
      <c r="AJ59" s="252">
        <f>重み_前!E59</f>
        <v>0</v>
      </c>
      <c r="AK59" s="252"/>
      <c r="AL59" s="252">
        <f>重み_後!E59</f>
        <v>0</v>
      </c>
    </row>
    <row r="60" spans="2:38" ht="14.25" thickBot="1">
      <c r="B60" s="348"/>
      <c r="C60" s="2401"/>
      <c r="D60" s="403">
        <v>2</v>
      </c>
      <c r="E60" s="307" t="s">
        <v>705</v>
      </c>
      <c r="F60" s="297" t="s">
        <v>706</v>
      </c>
      <c r="G60" s="297" t="s">
        <v>706</v>
      </c>
      <c r="H60" s="297" t="s">
        <v>637</v>
      </c>
      <c r="I60" s="297" t="s">
        <v>706</v>
      </c>
      <c r="J60" s="297" t="s">
        <v>706</v>
      </c>
      <c r="K60" s="315" t="s">
        <v>637</v>
      </c>
      <c r="L60" s="322"/>
      <c r="M60" s="2482" t="str">
        <f>IF(L60=$AA$3,$I60,$J60)</f>
        <v>EB</v>
      </c>
      <c r="N60" s="2474">
        <v>3</v>
      </c>
      <c r="O60" s="407" t="str">
        <f>IF(L60=$AA$3,$I60,$K60)</f>
        <v>NC</v>
      </c>
      <c r="P60" s="2474">
        <v>3</v>
      </c>
      <c r="Q60" s="2475" t="str">
        <f t="shared" si="18"/>
        <v>EB</v>
      </c>
      <c r="R60" s="2473" t="str">
        <f t="shared" si="19"/>
        <v>NC</v>
      </c>
      <c r="S60" s="2473"/>
      <c r="T60" s="2482" t="str">
        <f>IF(S60=$AA$3,$I60,$J60)</f>
        <v>EB</v>
      </c>
      <c r="U60" s="2474">
        <v>3</v>
      </c>
      <c r="V60" s="407" t="str">
        <f>IF(S60=$AA$3,$I60,$K60)</f>
        <v>NC</v>
      </c>
      <c r="W60" s="2474">
        <v>3</v>
      </c>
      <c r="X60" s="324" t="str">
        <f t="shared" si="16"/>
        <v>EB</v>
      </c>
      <c r="Y60" s="322" t="str">
        <f t="shared" si="17"/>
        <v>NC</v>
      </c>
      <c r="Z60" s="222"/>
      <c r="AA60" s="282">
        <f>重み_前!M60</f>
        <v>0.5</v>
      </c>
      <c r="AB60" s="282">
        <f>重み_後!N60</f>
        <v>0.5</v>
      </c>
      <c r="AC60" s="252">
        <f>重み_前!D60</f>
        <v>0.5</v>
      </c>
      <c r="AD60" s="252"/>
      <c r="AE60" s="252">
        <f>重み_後!D60</f>
        <v>0.5</v>
      </c>
      <c r="AF60" s="252"/>
      <c r="AG60" s="252"/>
      <c r="AH60" s="253">
        <f>重み_前!N60</f>
        <v>0</v>
      </c>
      <c r="AI60" s="253">
        <f>重み_後!O60</f>
        <v>0</v>
      </c>
      <c r="AJ60" s="252">
        <f>重み_前!E60</f>
        <v>0</v>
      </c>
      <c r="AK60" s="252"/>
      <c r="AL60" s="252">
        <f>重み_後!E60</f>
        <v>0</v>
      </c>
    </row>
    <row r="61" spans="2:38" ht="14.25" thickBot="1">
      <c r="B61" s="369" t="s">
        <v>707</v>
      </c>
      <c r="C61" s="370" t="s">
        <v>708</v>
      </c>
      <c r="D61" s="370"/>
      <c r="E61" s="370"/>
      <c r="F61" s="371"/>
      <c r="G61" s="371"/>
      <c r="H61" s="371"/>
      <c r="I61" s="371"/>
      <c r="J61" s="371"/>
      <c r="K61" s="372"/>
      <c r="L61" s="373"/>
      <c r="M61" s="2478"/>
      <c r="N61" s="2462"/>
      <c r="O61" s="2477"/>
      <c r="P61" s="2462"/>
      <c r="Q61" s="2480"/>
      <c r="R61" s="2478"/>
      <c r="S61" s="2478"/>
      <c r="T61" s="2478"/>
      <c r="U61" s="2462"/>
      <c r="V61" s="2477"/>
      <c r="W61" s="2462"/>
      <c r="X61" s="375"/>
      <c r="Y61" s="373"/>
      <c r="Z61" s="222"/>
      <c r="AA61" s="282">
        <f>重み_前!M61</f>
        <v>0.3</v>
      </c>
      <c r="AB61" s="282">
        <f>重み_後!N61</f>
        <v>0.3</v>
      </c>
      <c r="AC61" s="252">
        <f>重み_前!D61</f>
        <v>0.3</v>
      </c>
      <c r="AD61" s="252"/>
      <c r="AE61" s="252">
        <f>重み_後!D61</f>
        <v>0.3</v>
      </c>
      <c r="AF61" s="252"/>
      <c r="AG61" s="252"/>
      <c r="AH61" s="253">
        <f>重み_前!N61</f>
        <v>0</v>
      </c>
      <c r="AI61" s="253">
        <f>重み_後!O61</f>
        <v>0</v>
      </c>
      <c r="AJ61" s="252">
        <f>重み_前!E61</f>
        <v>0</v>
      </c>
      <c r="AK61" s="252"/>
      <c r="AL61" s="252">
        <f>重み_後!E61</f>
        <v>0</v>
      </c>
    </row>
    <row r="62" spans="2:38" ht="13.5">
      <c r="B62" s="293">
        <v>1</v>
      </c>
      <c r="C62" s="376" t="s">
        <v>709</v>
      </c>
      <c r="D62" s="377"/>
      <c r="E62" s="334"/>
      <c r="F62" s="297" t="s">
        <v>428</v>
      </c>
      <c r="G62" s="297" t="s">
        <v>428</v>
      </c>
      <c r="H62" s="297" t="s">
        <v>429</v>
      </c>
      <c r="I62" s="378"/>
      <c r="J62" s="378"/>
      <c r="K62" s="379"/>
      <c r="L62" s="300" t="str">
        <f>IF(COUNTIF(L63:L74,$AA$3)&gt;=ROWS(L63:L74),$AA$3,"")</f>
        <v/>
      </c>
      <c r="M62" s="380"/>
      <c r="N62" s="381"/>
      <c r="O62" s="379"/>
      <c r="P62" s="381"/>
      <c r="Q62" s="382" t="str">
        <f t="shared" ref="Q62:Q108" si="20">IF(L62=$AA$3,$F62,$G62)</f>
        <v>EB</v>
      </c>
      <c r="R62" s="383" t="str">
        <f t="shared" ref="R62:R108" si="21">IF(L62=$AA$3,$F62,$H62)</f>
        <v>NC</v>
      </c>
      <c r="S62" s="300" t="str">
        <f>IF(COUNTIF(S63:S74,$AA$3)&gt;=ROWS(S63:S74),$AA$3,"")</f>
        <v/>
      </c>
      <c r="T62" s="380"/>
      <c r="U62" s="381"/>
      <c r="V62" s="379"/>
      <c r="W62" s="381"/>
      <c r="X62" s="382" t="str">
        <f t="shared" ref="X62:X108" si="22">IF(S62=$AA$3,$F62,$G62)</f>
        <v>EB</v>
      </c>
      <c r="Y62" s="383" t="str">
        <f t="shared" ref="Y62:Y108" si="23">IF(S62=$AA$3,$F62,$H62)</f>
        <v>NC</v>
      </c>
      <c r="Z62" s="222"/>
      <c r="AA62" s="282">
        <f>重み_前!M62</f>
        <v>0.4</v>
      </c>
      <c r="AB62" s="282">
        <f>重み_後!N62</f>
        <v>0.39999999999999991</v>
      </c>
      <c r="AC62" s="252">
        <f>重み_前!D62</f>
        <v>0.4</v>
      </c>
      <c r="AD62" s="252"/>
      <c r="AE62" s="252">
        <f>重み_後!D62</f>
        <v>0.39999999999999991</v>
      </c>
      <c r="AF62" s="252"/>
      <c r="AG62" s="252"/>
      <c r="AH62" s="253">
        <f>重み_前!N62</f>
        <v>1</v>
      </c>
      <c r="AI62" s="253">
        <f>重み_後!O62</f>
        <v>0</v>
      </c>
      <c r="AJ62" s="252">
        <f>重み_前!E62</f>
        <v>0</v>
      </c>
      <c r="AK62" s="252"/>
      <c r="AL62" s="252">
        <f>重み_後!E62</f>
        <v>0</v>
      </c>
    </row>
    <row r="63" spans="2:38" ht="14.25" thickBot="1">
      <c r="B63" s="348"/>
      <c r="C63" s="325">
        <v>1.1000000000000001</v>
      </c>
      <c r="D63" s="307" t="s">
        <v>710</v>
      </c>
      <c r="E63" s="384"/>
      <c r="F63" s="297" t="s">
        <v>700</v>
      </c>
      <c r="G63" s="297" t="s">
        <v>700</v>
      </c>
      <c r="H63" s="297" t="s">
        <v>711</v>
      </c>
      <c r="I63" s="344"/>
      <c r="J63" s="344"/>
      <c r="K63" s="345"/>
      <c r="L63" s="309" t="str">
        <f>IF(COUNTIF(L64:L66,$AA$3)&gt;=ROWS(L64:L66),$AA$3,"")</f>
        <v/>
      </c>
      <c r="M63" s="346"/>
      <c r="N63" s="326"/>
      <c r="O63" s="345"/>
      <c r="P63" s="326"/>
      <c r="Q63" s="385" t="str">
        <f t="shared" si="20"/>
        <v>EB</v>
      </c>
      <c r="R63" s="309" t="str">
        <f t="shared" si="21"/>
        <v>NC</v>
      </c>
      <c r="S63" s="309" t="str">
        <f>IF(COUNTIF(S64:S66,$AA$3)&gt;=ROWS(S64:S66),$AA$3,"")</f>
        <v/>
      </c>
      <c r="T63" s="346"/>
      <c r="U63" s="326"/>
      <c r="V63" s="345"/>
      <c r="W63" s="326"/>
      <c r="X63" s="385" t="str">
        <f t="shared" si="22"/>
        <v>EB</v>
      </c>
      <c r="Y63" s="309" t="str">
        <f t="shared" si="23"/>
        <v>NC</v>
      </c>
      <c r="Z63" s="222"/>
      <c r="AA63" s="282">
        <f>重み_前!M63</f>
        <v>0.4</v>
      </c>
      <c r="AB63" s="282">
        <f>重み_後!N63</f>
        <v>0.4</v>
      </c>
      <c r="AC63" s="252">
        <f>重み_前!D63</f>
        <v>0.4</v>
      </c>
      <c r="AD63" s="252"/>
      <c r="AE63" s="252">
        <f>重み_後!D63</f>
        <v>0.4</v>
      </c>
      <c r="AF63" s="252"/>
      <c r="AG63" s="252"/>
      <c r="AH63" s="253">
        <f>重み_前!N63</f>
        <v>0</v>
      </c>
      <c r="AI63" s="253">
        <f>重み_後!O63</f>
        <v>0</v>
      </c>
      <c r="AJ63" s="252">
        <f>重み_前!E63</f>
        <v>0</v>
      </c>
      <c r="AK63" s="252"/>
      <c r="AL63" s="252">
        <f>重み_後!E63</f>
        <v>0</v>
      </c>
    </row>
    <row r="64" spans="2:38" ht="13.5">
      <c r="B64" s="348"/>
      <c r="C64" s="313"/>
      <c r="D64" s="314">
        <v>1</v>
      </c>
      <c r="E64" s="334" t="s">
        <v>712</v>
      </c>
      <c r="F64" s="297" t="s">
        <v>651</v>
      </c>
      <c r="G64" s="297" t="s">
        <v>651</v>
      </c>
      <c r="H64" s="297" t="s">
        <v>637</v>
      </c>
      <c r="I64" s="297" t="s">
        <v>651</v>
      </c>
      <c r="J64" s="297" t="s">
        <v>651</v>
      </c>
      <c r="K64" s="315" t="s">
        <v>637</v>
      </c>
      <c r="L64" s="316"/>
      <c r="M64" s="317" t="str">
        <f>IF(L64=$AA$3,$I64,$J64)</f>
        <v>EB</v>
      </c>
      <c r="N64" s="2469">
        <v>3</v>
      </c>
      <c r="O64" s="2466" t="str">
        <f>IF(L64=$AA$3,$I64,$K64)</f>
        <v>NC</v>
      </c>
      <c r="P64" s="2469">
        <v>3</v>
      </c>
      <c r="Q64" s="2475" t="str">
        <f t="shared" si="20"/>
        <v>EB</v>
      </c>
      <c r="R64" s="2473" t="str">
        <f t="shared" si="21"/>
        <v>NC</v>
      </c>
      <c r="S64" s="2469"/>
      <c r="T64" s="2468" t="str">
        <f>IF(S64=$AA$3,$I64,$J64)</f>
        <v>EB</v>
      </c>
      <c r="U64" s="2469">
        <v>3</v>
      </c>
      <c r="V64" s="2466" t="str">
        <f>IF(S64=$AA$3,$I64,$K64)</f>
        <v>NC</v>
      </c>
      <c r="W64" s="2469">
        <v>3</v>
      </c>
      <c r="X64" s="319" t="str">
        <f t="shared" si="22"/>
        <v>EB</v>
      </c>
      <c r="Y64" s="316" t="str">
        <f t="shared" si="23"/>
        <v>NC</v>
      </c>
      <c r="Z64" s="222"/>
      <c r="AA64" s="282">
        <f>重み_前!M64</f>
        <v>0.33333333333333331</v>
      </c>
      <c r="AB64" s="282">
        <f>重み_後!N64</f>
        <v>0.23333333333333331</v>
      </c>
      <c r="AC64" s="252">
        <f>重み_前!D64</f>
        <v>0.33333333333333331</v>
      </c>
      <c r="AD64" s="252"/>
      <c r="AE64" s="252">
        <f>重み_後!D64</f>
        <v>0.23333333333333331</v>
      </c>
      <c r="AF64" s="252"/>
      <c r="AG64" s="252"/>
      <c r="AH64" s="253">
        <f>重み_前!N64</f>
        <v>0</v>
      </c>
      <c r="AI64" s="253">
        <f>重み_後!O64</f>
        <v>0</v>
      </c>
      <c r="AJ64" s="252">
        <f>重み_前!E64</f>
        <v>0</v>
      </c>
      <c r="AK64" s="252"/>
      <c r="AL64" s="252">
        <f>重み_後!E64</f>
        <v>0</v>
      </c>
    </row>
    <row r="65" spans="2:38" ht="13.5">
      <c r="B65" s="348"/>
      <c r="C65" s="313"/>
      <c r="D65" s="314">
        <v>2</v>
      </c>
      <c r="E65" s="334" t="s">
        <v>713</v>
      </c>
      <c r="F65" s="297" t="s">
        <v>651</v>
      </c>
      <c r="G65" s="297" t="s">
        <v>651</v>
      </c>
      <c r="H65" s="297" t="s">
        <v>637</v>
      </c>
      <c r="I65" s="297" t="s">
        <v>651</v>
      </c>
      <c r="J65" s="297" t="s">
        <v>651</v>
      </c>
      <c r="K65" s="315" t="s">
        <v>637</v>
      </c>
      <c r="L65" s="329"/>
      <c r="M65" s="317" t="str">
        <f>IF(L65=$AA$3,$I65,$J65)</f>
        <v>EB</v>
      </c>
      <c r="N65" s="2474">
        <v>3</v>
      </c>
      <c r="O65" s="2466" t="str">
        <f>IF(L65=$AA$3,$I65,$K65)</f>
        <v>NC</v>
      </c>
      <c r="P65" s="2474">
        <v>3</v>
      </c>
      <c r="Q65" s="2475" t="str">
        <f t="shared" si="20"/>
        <v>EB</v>
      </c>
      <c r="R65" s="2473" t="str">
        <f t="shared" si="21"/>
        <v>NC</v>
      </c>
      <c r="S65" s="2474"/>
      <c r="T65" s="2468" t="str">
        <f>IF(S65=$AA$3,$I65,$J65)</f>
        <v>EB</v>
      </c>
      <c r="U65" s="2474">
        <v>0</v>
      </c>
      <c r="V65" s="2466" t="str">
        <f>IF(S65=$AA$3,$I65,$K65)</f>
        <v>NC</v>
      </c>
      <c r="W65" s="2474">
        <v>0</v>
      </c>
      <c r="X65" s="331" t="str">
        <f t="shared" si="22"/>
        <v>EB</v>
      </c>
      <c r="Y65" s="329" t="str">
        <f t="shared" si="23"/>
        <v>NC</v>
      </c>
      <c r="Z65" s="222"/>
      <c r="AA65" s="282">
        <f>重み_前!M65</f>
        <v>0.33333333333333331</v>
      </c>
      <c r="AB65" s="282">
        <f>重み_後!N65</f>
        <v>0.23333333333333331</v>
      </c>
      <c r="AC65" s="252">
        <f>重み_前!D65</f>
        <v>0.33333333333333331</v>
      </c>
      <c r="AD65" s="252"/>
      <c r="AE65" s="252">
        <f>重み_後!D65</f>
        <v>0.23333333333333331</v>
      </c>
      <c r="AF65" s="252"/>
      <c r="AG65" s="252"/>
      <c r="AH65" s="253">
        <f>重み_前!N65</f>
        <v>0</v>
      </c>
      <c r="AI65" s="253">
        <f>重み_後!O65</f>
        <v>0</v>
      </c>
      <c r="AJ65" s="252">
        <f>重み_前!E65</f>
        <v>0</v>
      </c>
      <c r="AK65" s="252"/>
      <c r="AL65" s="252">
        <f>重み_後!E65</f>
        <v>0</v>
      </c>
    </row>
    <row r="66" spans="2:38" ht="14.25" thickBot="1">
      <c r="B66" s="348"/>
      <c r="C66" s="320"/>
      <c r="D66" s="314">
        <v>3</v>
      </c>
      <c r="E66" s="334" t="s">
        <v>714</v>
      </c>
      <c r="F66" s="297" t="s">
        <v>678</v>
      </c>
      <c r="G66" s="297" t="s">
        <v>678</v>
      </c>
      <c r="H66" s="297" t="s">
        <v>637</v>
      </c>
      <c r="I66" s="297" t="s">
        <v>678</v>
      </c>
      <c r="J66" s="297" t="s">
        <v>678</v>
      </c>
      <c r="K66" s="315" t="s">
        <v>637</v>
      </c>
      <c r="L66" s="322"/>
      <c r="M66" s="317" t="str">
        <f>IF(L66=$AA$3,$I66,$J66)</f>
        <v>EB</v>
      </c>
      <c r="N66" s="2471">
        <v>3</v>
      </c>
      <c r="O66" s="2466" t="str">
        <f>IF(L66=$AA$3,$I66,$K66)</f>
        <v>NC</v>
      </c>
      <c r="P66" s="2471">
        <v>3</v>
      </c>
      <c r="Q66" s="2475" t="str">
        <f t="shared" si="20"/>
        <v>EB</v>
      </c>
      <c r="R66" s="2473" t="str">
        <f t="shared" si="21"/>
        <v>NC</v>
      </c>
      <c r="S66" s="2471"/>
      <c r="T66" s="2468" t="str">
        <f>IF(S66=$AA$3,$I66,$J66)</f>
        <v>EB</v>
      </c>
      <c r="U66" s="2471">
        <v>0</v>
      </c>
      <c r="V66" s="2466" t="str">
        <f>IF(S66=$AA$3,$I66,$K66)</f>
        <v>NC</v>
      </c>
      <c r="W66" s="2471">
        <v>0</v>
      </c>
      <c r="X66" s="324" t="str">
        <f t="shared" si="22"/>
        <v>EB</v>
      </c>
      <c r="Y66" s="322" t="str">
        <f t="shared" si="23"/>
        <v>NC</v>
      </c>
      <c r="Z66" s="222"/>
      <c r="AA66" s="282">
        <f>重み_前!M66</f>
        <v>0.33333333333333331</v>
      </c>
      <c r="AB66" s="282">
        <f>重み_後!N66</f>
        <v>0.53333333333333333</v>
      </c>
      <c r="AC66" s="252">
        <f>重み_前!D66</f>
        <v>0.33333333333333331</v>
      </c>
      <c r="AD66" s="252"/>
      <c r="AE66" s="252">
        <f>重み_後!D66</f>
        <v>0.53333333333333333</v>
      </c>
      <c r="AF66" s="252"/>
      <c r="AG66" s="252"/>
      <c r="AH66" s="253">
        <f>重み_前!N66</f>
        <v>0</v>
      </c>
      <c r="AI66" s="253">
        <f>重み_後!O66</f>
        <v>0</v>
      </c>
      <c r="AJ66" s="252">
        <f>重み_前!E66</f>
        <v>0</v>
      </c>
      <c r="AK66" s="252"/>
      <c r="AL66" s="252">
        <f>重み_後!E66</f>
        <v>0</v>
      </c>
    </row>
    <row r="67" spans="2:38" ht="14.25" thickBot="1">
      <c r="B67" s="348"/>
      <c r="C67" s="306">
        <v>1.2</v>
      </c>
      <c r="D67" s="307" t="s">
        <v>715</v>
      </c>
      <c r="E67" s="384"/>
      <c r="F67" s="297" t="s">
        <v>716</v>
      </c>
      <c r="G67" s="297" t="s">
        <v>716</v>
      </c>
      <c r="H67" s="297" t="s">
        <v>717</v>
      </c>
      <c r="I67" s="344"/>
      <c r="J67" s="344"/>
      <c r="K67" s="345"/>
      <c r="L67" s="309" t="str">
        <f>IF(COUNTIF(L68:L70,$AA$3)&gt;=ROWS(L68:L70),$AA$3,"")</f>
        <v/>
      </c>
      <c r="M67" s="346"/>
      <c r="N67" s="326"/>
      <c r="O67" s="345"/>
      <c r="P67" s="326"/>
      <c r="Q67" s="327" t="str">
        <f t="shared" si="20"/>
        <v>EB</v>
      </c>
      <c r="R67" s="328" t="str">
        <f t="shared" si="21"/>
        <v>NC</v>
      </c>
      <c r="S67" s="309" t="str">
        <f>IF(COUNTIF(S68:S70,$AA$3)&gt;=ROWS(S68:S70),$AA$3,"")</f>
        <v/>
      </c>
      <c r="T67" s="346"/>
      <c r="U67" s="326"/>
      <c r="V67" s="345"/>
      <c r="W67" s="326"/>
      <c r="X67" s="327" t="str">
        <f t="shared" si="22"/>
        <v>EB</v>
      </c>
      <c r="Y67" s="328" t="str">
        <f t="shared" si="23"/>
        <v>NC</v>
      </c>
      <c r="Z67" s="222"/>
      <c r="AA67" s="282">
        <f>重み_前!M67</f>
        <v>0.3</v>
      </c>
      <c r="AB67" s="282">
        <f>重み_後!N67</f>
        <v>0.30000000000000004</v>
      </c>
      <c r="AC67" s="252">
        <f>重み_前!D67</f>
        <v>0.3</v>
      </c>
      <c r="AD67" s="252"/>
      <c r="AE67" s="252">
        <f>重み_後!D67</f>
        <v>0.30000000000000004</v>
      </c>
      <c r="AF67" s="252"/>
      <c r="AG67" s="252"/>
      <c r="AH67" s="253">
        <f>重み_前!N67</f>
        <v>0</v>
      </c>
      <c r="AI67" s="253">
        <f>重み_後!O67</f>
        <v>0</v>
      </c>
      <c r="AJ67" s="252">
        <f>重み_前!E67</f>
        <v>0</v>
      </c>
      <c r="AK67" s="252"/>
      <c r="AL67" s="252">
        <f>重み_後!E67</f>
        <v>0</v>
      </c>
    </row>
    <row r="68" spans="2:38" ht="13.5">
      <c r="B68" s="348"/>
      <c r="C68" s="313"/>
      <c r="D68" s="314">
        <v>1</v>
      </c>
      <c r="E68" s="334" t="s">
        <v>718</v>
      </c>
      <c r="F68" s="297" t="s">
        <v>700</v>
      </c>
      <c r="G68" s="297" t="s">
        <v>700</v>
      </c>
      <c r="H68" s="297" t="s">
        <v>637</v>
      </c>
      <c r="I68" s="297" t="s">
        <v>700</v>
      </c>
      <c r="J68" s="297" t="s">
        <v>700</v>
      </c>
      <c r="K68" s="315" t="s">
        <v>637</v>
      </c>
      <c r="L68" s="316"/>
      <c r="M68" s="317" t="str">
        <f>IF(L68=$AA$3,$I68,$J68)</f>
        <v>EB</v>
      </c>
      <c r="N68" s="2469">
        <v>3</v>
      </c>
      <c r="O68" s="2466" t="str">
        <f>IF(L68=$AA$3,$I68,$K68)</f>
        <v>NC</v>
      </c>
      <c r="P68" s="2469">
        <v>3</v>
      </c>
      <c r="Q68" s="2475" t="str">
        <f t="shared" si="20"/>
        <v>EB</v>
      </c>
      <c r="R68" s="2473" t="str">
        <f t="shared" si="21"/>
        <v>NC</v>
      </c>
      <c r="S68" s="2469"/>
      <c r="T68" s="2468" t="str">
        <f>IF(S68=$AA$3,$I68,$J68)</f>
        <v>EB</v>
      </c>
      <c r="U68" s="2469">
        <v>3</v>
      </c>
      <c r="V68" s="2466" t="str">
        <f>IF(S68=$AA$3,$I68,$K68)</f>
        <v>NC</v>
      </c>
      <c r="W68" s="2469">
        <v>3</v>
      </c>
      <c r="X68" s="319" t="str">
        <f t="shared" si="22"/>
        <v>EB</v>
      </c>
      <c r="Y68" s="316" t="str">
        <f t="shared" si="23"/>
        <v>NC</v>
      </c>
      <c r="Z68" s="222"/>
      <c r="AA68" s="282">
        <f>重み_前!M68</f>
        <v>0.33333333333333331</v>
      </c>
      <c r="AB68" s="282">
        <f>重み_後!N68</f>
        <v>0.33333333333333331</v>
      </c>
      <c r="AC68" s="252">
        <f>重み_前!D68</f>
        <v>0.33333333333333331</v>
      </c>
      <c r="AD68" s="252"/>
      <c r="AE68" s="252">
        <f>重み_後!D68</f>
        <v>0.33333333333333331</v>
      </c>
      <c r="AF68" s="252"/>
      <c r="AG68" s="252"/>
      <c r="AH68" s="253">
        <f>重み_前!N68</f>
        <v>0</v>
      </c>
      <c r="AI68" s="253">
        <f>重み_後!O68</f>
        <v>0</v>
      </c>
      <c r="AJ68" s="252">
        <f>重み_前!E68</f>
        <v>0</v>
      </c>
      <c r="AK68" s="252"/>
      <c r="AL68" s="252">
        <f>重み_後!E68</f>
        <v>0</v>
      </c>
    </row>
    <row r="69" spans="2:38" ht="13.5">
      <c r="B69" s="348"/>
      <c r="C69" s="313"/>
      <c r="D69" s="314">
        <v>2</v>
      </c>
      <c r="E69" s="334" t="s">
        <v>719</v>
      </c>
      <c r="F69" s="297" t="s">
        <v>700</v>
      </c>
      <c r="G69" s="297" t="s">
        <v>700</v>
      </c>
      <c r="H69" s="297" t="s">
        <v>637</v>
      </c>
      <c r="I69" s="297" t="s">
        <v>700</v>
      </c>
      <c r="J69" s="297" t="s">
        <v>700</v>
      </c>
      <c r="K69" s="315" t="s">
        <v>637</v>
      </c>
      <c r="L69" s="329"/>
      <c r="M69" s="317" t="str">
        <f>IF(L69=$AA$3,$I69,$J69)</f>
        <v>EB</v>
      </c>
      <c r="N69" s="2474">
        <v>3</v>
      </c>
      <c r="O69" s="2466" t="str">
        <f>IF(L69=$AA$3,$I69,$K69)</f>
        <v>NC</v>
      </c>
      <c r="P69" s="2474">
        <v>3</v>
      </c>
      <c r="Q69" s="2475" t="str">
        <f t="shared" si="20"/>
        <v>EB</v>
      </c>
      <c r="R69" s="2473" t="str">
        <f t="shared" si="21"/>
        <v>NC</v>
      </c>
      <c r="S69" s="2474"/>
      <c r="T69" s="2468" t="str">
        <f>IF(S69=$AA$3,$I69,$J69)</f>
        <v>EB</v>
      </c>
      <c r="U69" s="2474">
        <v>3</v>
      </c>
      <c r="V69" s="2466" t="str">
        <f>IF(S69=$AA$3,$I69,$K69)</f>
        <v>NC</v>
      </c>
      <c r="W69" s="2474">
        <v>3</v>
      </c>
      <c r="X69" s="331" t="str">
        <f t="shared" si="22"/>
        <v>EB</v>
      </c>
      <c r="Y69" s="329" t="str">
        <f t="shared" si="23"/>
        <v>NC</v>
      </c>
      <c r="Z69" s="222"/>
      <c r="AA69" s="282">
        <f>重み_前!M69</f>
        <v>0.33333333333333331</v>
      </c>
      <c r="AB69" s="282">
        <f>重み_後!N69</f>
        <v>0.33333333333333331</v>
      </c>
      <c r="AC69" s="252">
        <f>重み_前!D69</f>
        <v>0.33333333333333331</v>
      </c>
      <c r="AD69" s="252"/>
      <c r="AE69" s="252">
        <f>重み_後!D69</f>
        <v>0.33333333333333331</v>
      </c>
      <c r="AF69" s="252"/>
      <c r="AG69" s="252"/>
      <c r="AH69" s="253">
        <f>重み_前!N69</f>
        <v>0</v>
      </c>
      <c r="AI69" s="253">
        <f>重み_後!O69</f>
        <v>0</v>
      </c>
      <c r="AJ69" s="252">
        <f>重み_前!E69</f>
        <v>0</v>
      </c>
      <c r="AK69" s="252"/>
      <c r="AL69" s="252">
        <f>重み_後!E69</f>
        <v>0</v>
      </c>
    </row>
    <row r="70" spans="2:38" ht="14.25" thickBot="1">
      <c r="B70" s="386"/>
      <c r="C70" s="320"/>
      <c r="D70" s="314">
        <v>3</v>
      </c>
      <c r="E70" s="334" t="s">
        <v>720</v>
      </c>
      <c r="F70" s="297" t="s">
        <v>700</v>
      </c>
      <c r="G70" s="297" t="s">
        <v>700</v>
      </c>
      <c r="H70" s="297" t="s">
        <v>637</v>
      </c>
      <c r="I70" s="297" t="s">
        <v>700</v>
      </c>
      <c r="J70" s="297" t="s">
        <v>700</v>
      </c>
      <c r="K70" s="315" t="s">
        <v>637</v>
      </c>
      <c r="L70" s="322"/>
      <c r="M70" s="317" t="str">
        <f>IF(L70=$AA$3,$I70,$J70)</f>
        <v>EB</v>
      </c>
      <c r="N70" s="2471">
        <v>3</v>
      </c>
      <c r="O70" s="2466" t="str">
        <f>IF(L70=$AA$3,$I70,$K70)</f>
        <v>NC</v>
      </c>
      <c r="P70" s="2471">
        <v>3</v>
      </c>
      <c r="Q70" s="2475" t="str">
        <f t="shared" si="20"/>
        <v>EB</v>
      </c>
      <c r="R70" s="2473" t="str">
        <f t="shared" si="21"/>
        <v>NC</v>
      </c>
      <c r="S70" s="2471"/>
      <c r="T70" s="2468" t="str">
        <f>IF(S70=$AA$3,$I70,$J70)</f>
        <v>EB</v>
      </c>
      <c r="U70" s="2471">
        <v>3</v>
      </c>
      <c r="V70" s="2466" t="str">
        <f>IF(S70=$AA$3,$I70,$K70)</f>
        <v>NC</v>
      </c>
      <c r="W70" s="2471">
        <v>3</v>
      </c>
      <c r="X70" s="324" t="str">
        <f t="shared" si="22"/>
        <v>EB</v>
      </c>
      <c r="Y70" s="322" t="str">
        <f t="shared" si="23"/>
        <v>NC</v>
      </c>
      <c r="Z70" s="222"/>
      <c r="AA70" s="282">
        <f>重み_前!M70</f>
        <v>0.33333333333333331</v>
      </c>
      <c r="AB70" s="282">
        <f>重み_後!N70</f>
        <v>0.33333333333333331</v>
      </c>
      <c r="AC70" s="252">
        <f>重み_前!D70</f>
        <v>0.33333333333333331</v>
      </c>
      <c r="AD70" s="252"/>
      <c r="AE70" s="252">
        <f>重み_後!D70</f>
        <v>0.33333333333333331</v>
      </c>
      <c r="AF70" s="252"/>
      <c r="AG70" s="252"/>
      <c r="AH70" s="253">
        <f>重み_前!N70</f>
        <v>0</v>
      </c>
      <c r="AI70" s="253">
        <f>重み_後!O70</f>
        <v>0</v>
      </c>
      <c r="AJ70" s="252">
        <f>重み_前!E70</f>
        <v>0</v>
      </c>
      <c r="AK70" s="252"/>
      <c r="AL70" s="252">
        <f>重み_後!E70</f>
        <v>0</v>
      </c>
    </row>
    <row r="71" spans="2:38" ht="14.25" thickBot="1">
      <c r="B71" s="348"/>
      <c r="C71" s="306">
        <v>1.3</v>
      </c>
      <c r="D71" s="307" t="s">
        <v>721</v>
      </c>
      <c r="E71" s="384"/>
      <c r="F71" s="297" t="s">
        <v>634</v>
      </c>
      <c r="G71" s="297" t="s">
        <v>634</v>
      </c>
      <c r="H71" s="297" t="s">
        <v>635</v>
      </c>
      <c r="I71" s="344"/>
      <c r="J71" s="344"/>
      <c r="K71" s="345"/>
      <c r="L71" s="309" t="str">
        <f>IF(COUNTIF(L72:L74,$AA$3)&gt;=ROWS(L72:L74),$AA$3,"")</f>
        <v/>
      </c>
      <c r="M71" s="346"/>
      <c r="N71" s="326"/>
      <c r="O71" s="345"/>
      <c r="P71" s="326"/>
      <c r="Q71" s="327" t="str">
        <f t="shared" si="20"/>
        <v>EB</v>
      </c>
      <c r="R71" s="328" t="str">
        <f t="shared" si="21"/>
        <v>NC</v>
      </c>
      <c r="S71" s="309" t="str">
        <f>IF(COUNTIF(S72:S74,$AA$3)&gt;=ROWS(S72:S74),$AA$3,"")</f>
        <v/>
      </c>
      <c r="T71" s="346"/>
      <c r="U71" s="326"/>
      <c r="V71" s="345"/>
      <c r="W71" s="326"/>
      <c r="X71" s="327" t="str">
        <f t="shared" si="22"/>
        <v>EB</v>
      </c>
      <c r="Y71" s="328" t="str">
        <f t="shared" si="23"/>
        <v>NC</v>
      </c>
      <c r="Z71" s="222"/>
      <c r="AA71" s="282">
        <f>重み_前!M71</f>
        <v>0.3</v>
      </c>
      <c r="AB71" s="282">
        <f>重み_後!N71</f>
        <v>0.30000000000000004</v>
      </c>
      <c r="AC71" s="252">
        <f>重み_前!D71</f>
        <v>0.3</v>
      </c>
      <c r="AD71" s="252"/>
      <c r="AE71" s="252">
        <f>重み_後!D71</f>
        <v>0.30000000000000004</v>
      </c>
      <c r="AF71" s="252"/>
      <c r="AG71" s="252"/>
      <c r="AH71" s="253">
        <f>重み_前!N71</f>
        <v>0</v>
      </c>
      <c r="AI71" s="253">
        <f>重み_後!O71</f>
        <v>0</v>
      </c>
      <c r="AJ71" s="252">
        <f>重み_前!E71</f>
        <v>0</v>
      </c>
      <c r="AK71" s="252"/>
      <c r="AL71" s="252">
        <f>重み_後!E71</f>
        <v>0</v>
      </c>
    </row>
    <row r="72" spans="2:38" ht="13.5">
      <c r="B72" s="348"/>
      <c r="C72" s="313"/>
      <c r="D72" s="314">
        <v>1</v>
      </c>
      <c r="E72" s="362" t="s">
        <v>846</v>
      </c>
      <c r="F72" s="297" t="s">
        <v>722</v>
      </c>
      <c r="G72" s="297" t="s">
        <v>722</v>
      </c>
      <c r="H72" s="297" t="s">
        <v>637</v>
      </c>
      <c r="I72" s="297" t="s">
        <v>722</v>
      </c>
      <c r="J72" s="297" t="s">
        <v>722</v>
      </c>
      <c r="K72" s="315" t="s">
        <v>637</v>
      </c>
      <c r="L72" s="316"/>
      <c r="M72" s="317" t="str">
        <f>IF(L72=$AA$3,$I72,$J72)</f>
        <v>EB</v>
      </c>
      <c r="N72" s="2469">
        <v>3</v>
      </c>
      <c r="O72" s="2466" t="str">
        <f>IF(L72=$AA$3,$I72,$K72)</f>
        <v>NC</v>
      </c>
      <c r="P72" s="2469">
        <v>3</v>
      </c>
      <c r="Q72" s="2475" t="str">
        <f t="shared" si="20"/>
        <v>EB</v>
      </c>
      <c r="R72" s="2473" t="str">
        <f t="shared" si="21"/>
        <v>NC</v>
      </c>
      <c r="S72" s="2473"/>
      <c r="T72" s="2468" t="str">
        <f>IF(S72=$AA$3,$I72,$J72)</f>
        <v>EB</v>
      </c>
      <c r="U72" s="2469">
        <v>0</v>
      </c>
      <c r="V72" s="2466" t="str">
        <f>IF(S72=$AA$3,$I72,$K72)</f>
        <v>NC</v>
      </c>
      <c r="W72" s="2469">
        <v>0</v>
      </c>
      <c r="X72" s="319" t="str">
        <f t="shared" si="22"/>
        <v>EB</v>
      </c>
      <c r="Y72" s="316" t="str">
        <f t="shared" si="23"/>
        <v>NC</v>
      </c>
      <c r="Z72" s="222"/>
      <c r="AA72" s="282">
        <f>重み_前!M72</f>
        <v>0.5</v>
      </c>
      <c r="AB72" s="282">
        <f>重み_後!N72</f>
        <v>0.5</v>
      </c>
      <c r="AC72" s="252">
        <f>重み_前!D72</f>
        <v>0.5</v>
      </c>
      <c r="AD72" s="252"/>
      <c r="AE72" s="252">
        <f>重み_後!D72</f>
        <v>0.5</v>
      </c>
      <c r="AF72" s="252"/>
      <c r="AG72" s="252"/>
      <c r="AH72" s="253">
        <f>重み_前!N72</f>
        <v>0</v>
      </c>
      <c r="AI72" s="253">
        <f>重み_後!O72</f>
        <v>0</v>
      </c>
      <c r="AJ72" s="252">
        <f>重み_前!E72</f>
        <v>0</v>
      </c>
      <c r="AK72" s="252"/>
      <c r="AL72" s="252">
        <f>重み_後!E72</f>
        <v>0</v>
      </c>
    </row>
    <row r="73" spans="2:38" ht="13.5">
      <c r="B73" s="348"/>
      <c r="C73" s="313"/>
      <c r="D73" s="314">
        <v>2</v>
      </c>
      <c r="E73" s="362" t="s">
        <v>723</v>
      </c>
      <c r="F73" s="297" t="s">
        <v>702</v>
      </c>
      <c r="G73" s="297" t="s">
        <v>702</v>
      </c>
      <c r="H73" s="297" t="s">
        <v>637</v>
      </c>
      <c r="I73" s="297" t="s">
        <v>702</v>
      </c>
      <c r="J73" s="297" t="s">
        <v>702</v>
      </c>
      <c r="K73" s="315" t="s">
        <v>637</v>
      </c>
      <c r="L73" s="329"/>
      <c r="M73" s="317" t="str">
        <f>IF(L73=$AA$3,$I73,$J73)</f>
        <v>EB</v>
      </c>
      <c r="N73" s="2474">
        <v>3</v>
      </c>
      <c r="O73" s="2466" t="str">
        <f>IF(L73=$AA$3,$I73,$K73)</f>
        <v>NC</v>
      </c>
      <c r="P73" s="2474">
        <v>3</v>
      </c>
      <c r="Q73" s="2475" t="str">
        <f t="shared" si="20"/>
        <v>EB</v>
      </c>
      <c r="R73" s="2473" t="str">
        <f t="shared" si="21"/>
        <v>NC</v>
      </c>
      <c r="S73" s="2473"/>
      <c r="T73" s="2468" t="str">
        <f>IF(S73=$AA$3,$I73,$J73)</f>
        <v>EB</v>
      </c>
      <c r="U73" s="2474">
        <v>0</v>
      </c>
      <c r="V73" s="2466" t="str">
        <f>IF(S73=$AA$3,$I73,$K73)</f>
        <v>NC</v>
      </c>
      <c r="W73" s="2474">
        <v>0</v>
      </c>
      <c r="X73" s="331" t="str">
        <f t="shared" si="22"/>
        <v>EB</v>
      </c>
      <c r="Y73" s="329" t="str">
        <f t="shared" si="23"/>
        <v>NC</v>
      </c>
      <c r="Z73" s="222"/>
      <c r="AA73" s="282">
        <f>重み_前!M73</f>
        <v>0.3</v>
      </c>
      <c r="AB73" s="282">
        <f>重み_後!N73</f>
        <v>0.5</v>
      </c>
      <c r="AC73" s="252">
        <f>重み_前!D73</f>
        <v>0.3</v>
      </c>
      <c r="AD73" s="252"/>
      <c r="AE73" s="252">
        <f>重み_後!D73</f>
        <v>0.5</v>
      </c>
      <c r="AF73" s="252"/>
      <c r="AG73" s="252"/>
      <c r="AH73" s="253">
        <f>重み_前!N73</f>
        <v>0</v>
      </c>
      <c r="AI73" s="253">
        <f>重み_後!O73</f>
        <v>0</v>
      </c>
      <c r="AJ73" s="252">
        <f>重み_前!E73</f>
        <v>0</v>
      </c>
      <c r="AK73" s="252"/>
      <c r="AL73" s="252">
        <f>重み_後!E73</f>
        <v>0</v>
      </c>
    </row>
    <row r="74" spans="2:38" ht="14.25" thickBot="1">
      <c r="B74" s="387"/>
      <c r="C74" s="320"/>
      <c r="D74" s="314">
        <v>3</v>
      </c>
      <c r="E74" s="334" t="s">
        <v>724</v>
      </c>
      <c r="F74" s="297" t="s">
        <v>702</v>
      </c>
      <c r="G74" s="297" t="s">
        <v>702</v>
      </c>
      <c r="H74" s="297" t="s">
        <v>637</v>
      </c>
      <c r="I74" s="297" t="s">
        <v>702</v>
      </c>
      <c r="J74" s="297" t="s">
        <v>702</v>
      </c>
      <c r="K74" s="388">
        <v>0</v>
      </c>
      <c r="L74" s="322"/>
      <c r="M74" s="317" t="str">
        <f>IF(L74=$AA$3,$I74,$J74)</f>
        <v>EB</v>
      </c>
      <c r="N74" s="2471">
        <v>3</v>
      </c>
      <c r="O74" s="2466">
        <f>IF(L74=$AA$3,$I74,$K74)</f>
        <v>0</v>
      </c>
      <c r="P74" s="2471">
        <v>3</v>
      </c>
      <c r="Q74" s="2475" t="str">
        <f t="shared" si="20"/>
        <v>EB</v>
      </c>
      <c r="R74" s="2473" t="str">
        <f t="shared" si="21"/>
        <v>NC</v>
      </c>
      <c r="S74" s="2473"/>
      <c r="T74" s="2468" t="str">
        <f>IF(S74=$AA$3,$I74,$J74)</f>
        <v>EB</v>
      </c>
      <c r="U74" s="2471">
        <v>0</v>
      </c>
      <c r="V74" s="2466">
        <f>IF(S74=$AA$3,$I74,$K74)</f>
        <v>0</v>
      </c>
      <c r="W74" s="2471">
        <v>0</v>
      </c>
      <c r="X74" s="324" t="str">
        <f t="shared" si="22"/>
        <v>EB</v>
      </c>
      <c r="Y74" s="322" t="str">
        <f t="shared" si="23"/>
        <v>NC</v>
      </c>
      <c r="Z74" s="222"/>
      <c r="AA74" s="282">
        <f>重み_前!M74</f>
        <v>0.2</v>
      </c>
      <c r="AB74" s="282">
        <f>重み_後!N74</f>
        <v>0</v>
      </c>
      <c r="AC74" s="252">
        <f>重み_前!D74</f>
        <v>0.2</v>
      </c>
      <c r="AD74" s="252"/>
      <c r="AE74" s="252">
        <f>重み_後!D74</f>
        <v>0</v>
      </c>
      <c r="AF74" s="252"/>
      <c r="AG74" s="252"/>
      <c r="AH74" s="253">
        <f>重み_前!N74</f>
        <v>0</v>
      </c>
      <c r="AI74" s="253">
        <f>重み_後!O74</f>
        <v>0</v>
      </c>
      <c r="AJ74" s="252">
        <f>重み_前!E74</f>
        <v>0</v>
      </c>
      <c r="AK74" s="252"/>
      <c r="AL74" s="252">
        <f>重み_後!E74</f>
        <v>0</v>
      </c>
    </row>
    <row r="75" spans="2:38" ht="13.5">
      <c r="B75" s="293">
        <v>2</v>
      </c>
      <c r="C75" s="336" t="s">
        <v>725</v>
      </c>
      <c r="D75" s="295"/>
      <c r="E75" s="384"/>
      <c r="F75" s="297" t="s">
        <v>726</v>
      </c>
      <c r="G75" s="297" t="s">
        <v>726</v>
      </c>
      <c r="H75" s="297" t="s">
        <v>727</v>
      </c>
      <c r="I75" s="344"/>
      <c r="J75" s="344"/>
      <c r="K75" s="345"/>
      <c r="L75" s="340" t="str">
        <f>IF(COUNTIF(L76:L95,$AA$3)&gt;=ROWS(L76:L95),$AA$3,"")</f>
        <v/>
      </c>
      <c r="M75" s="346"/>
      <c r="N75" s="342"/>
      <c r="O75" s="345"/>
      <c r="P75" s="342"/>
      <c r="Q75" s="303" t="str">
        <f t="shared" si="20"/>
        <v>EB</v>
      </c>
      <c r="R75" s="304" t="str">
        <f t="shared" si="21"/>
        <v>NC</v>
      </c>
      <c r="S75" s="340" t="str">
        <f>IF(COUNTIF(S76:S95,$AA$3)&gt;=ROWS(S76:S95),$AA$3,"")</f>
        <v/>
      </c>
      <c r="T75" s="346"/>
      <c r="U75" s="342"/>
      <c r="V75" s="345"/>
      <c r="W75" s="342"/>
      <c r="X75" s="303" t="str">
        <f t="shared" si="22"/>
        <v>EB</v>
      </c>
      <c r="Y75" s="304" t="str">
        <f t="shared" si="23"/>
        <v>NC</v>
      </c>
      <c r="Z75" s="222"/>
      <c r="AA75" s="282">
        <f>重み_前!M75</f>
        <v>0.3</v>
      </c>
      <c r="AB75" s="282">
        <f>重み_後!N75</f>
        <v>0.3</v>
      </c>
      <c r="AC75" s="252">
        <f>重み_前!D75</f>
        <v>0.3</v>
      </c>
      <c r="AD75" s="252"/>
      <c r="AE75" s="252">
        <f>重み_後!D75</f>
        <v>0.3</v>
      </c>
      <c r="AF75" s="252"/>
      <c r="AG75" s="252"/>
      <c r="AH75" s="253">
        <f>重み_前!N75</f>
        <v>1</v>
      </c>
      <c r="AI75" s="253">
        <f>重み_後!O75</f>
        <v>0</v>
      </c>
      <c r="AJ75" s="252">
        <f>重み_前!E75</f>
        <v>0</v>
      </c>
      <c r="AK75" s="252"/>
      <c r="AL75" s="252">
        <f>重み_後!E75</f>
        <v>0</v>
      </c>
    </row>
    <row r="76" spans="2:38" ht="14.25" thickBot="1">
      <c r="B76" s="348"/>
      <c r="C76" s="306">
        <v>2.1</v>
      </c>
      <c r="D76" s="343" t="s">
        <v>728</v>
      </c>
      <c r="E76" s="384"/>
      <c r="F76" s="297" t="s">
        <v>729</v>
      </c>
      <c r="G76" s="297" t="s">
        <v>729</v>
      </c>
      <c r="H76" s="297" t="s">
        <v>730</v>
      </c>
      <c r="I76" s="344"/>
      <c r="J76" s="344"/>
      <c r="K76" s="345"/>
      <c r="L76" s="312" t="str">
        <f>IF(COUNTIF(L77:L78,$AA$3)&gt;=ROWS(L77:L78),$AA$3,"")</f>
        <v/>
      </c>
      <c r="M76" s="346"/>
      <c r="N76" s="310"/>
      <c r="O76" s="345"/>
      <c r="P76" s="310"/>
      <c r="Q76" s="311" t="str">
        <f t="shared" si="20"/>
        <v>EB</v>
      </c>
      <c r="R76" s="312" t="str">
        <f t="shared" si="21"/>
        <v>NC</v>
      </c>
      <c r="S76" s="312" t="str">
        <f>IF(COUNTIF(S77:S78,$AA$3)&gt;=ROWS(S77:S78),$AA$3,"")</f>
        <v/>
      </c>
      <c r="T76" s="346"/>
      <c r="U76" s="310"/>
      <c r="V76" s="345"/>
      <c r="W76" s="310"/>
      <c r="X76" s="311" t="str">
        <f t="shared" si="22"/>
        <v>EB</v>
      </c>
      <c r="Y76" s="312" t="str">
        <f t="shared" si="23"/>
        <v>NC</v>
      </c>
      <c r="Z76" s="222"/>
      <c r="AA76" s="282">
        <f>重み_前!M76</f>
        <v>0.25</v>
      </c>
      <c r="AB76" s="282">
        <f>重み_後!N76</f>
        <v>0.49999999999999989</v>
      </c>
      <c r="AC76" s="252">
        <f>重み_前!D76</f>
        <v>0.25</v>
      </c>
      <c r="AD76" s="252"/>
      <c r="AE76" s="252">
        <f>重み_後!D76</f>
        <v>0.5</v>
      </c>
      <c r="AF76" s="252"/>
      <c r="AG76" s="252"/>
      <c r="AH76" s="253">
        <f>重み_前!N76</f>
        <v>0</v>
      </c>
      <c r="AI76" s="253">
        <f>重み_後!O76</f>
        <v>0</v>
      </c>
      <c r="AJ76" s="252">
        <f>重み_前!E76</f>
        <v>0</v>
      </c>
      <c r="AK76" s="252"/>
      <c r="AL76" s="252">
        <f>重み_後!E76</f>
        <v>0</v>
      </c>
    </row>
    <row r="77" spans="2:38" ht="13.5">
      <c r="B77" s="348"/>
      <c r="C77" s="347"/>
      <c r="D77" s="314">
        <v>1</v>
      </c>
      <c r="E77" s="334" t="s">
        <v>731</v>
      </c>
      <c r="F77" s="297" t="s">
        <v>729</v>
      </c>
      <c r="G77" s="297" t="s">
        <v>729</v>
      </c>
      <c r="H77" s="297" t="s">
        <v>637</v>
      </c>
      <c r="I77" s="297" t="s">
        <v>729</v>
      </c>
      <c r="J77" s="297" t="s">
        <v>729</v>
      </c>
      <c r="K77" s="315" t="s">
        <v>637</v>
      </c>
      <c r="L77" s="316"/>
      <c r="M77" s="317" t="str">
        <f>IF(L77=$AA$3,$I77,$J77)</f>
        <v>EB</v>
      </c>
      <c r="N77" s="2469">
        <v>3</v>
      </c>
      <c r="O77" s="2466" t="str">
        <f>IF(L77=$AA$3,$I77,$K77)</f>
        <v>NC</v>
      </c>
      <c r="P77" s="2469">
        <v>3</v>
      </c>
      <c r="Q77" s="2475" t="str">
        <f t="shared" si="20"/>
        <v>EB</v>
      </c>
      <c r="R77" s="2473" t="str">
        <f t="shared" si="21"/>
        <v>NC</v>
      </c>
      <c r="S77" s="2469"/>
      <c r="T77" s="2468" t="str">
        <f>IF(S77=$AA$3,$I77,$J77)</f>
        <v>EB</v>
      </c>
      <c r="U77" s="2469">
        <v>0</v>
      </c>
      <c r="V77" s="2466" t="str">
        <f>IF(S77=$AA$3,$I77,$K77)</f>
        <v>NC</v>
      </c>
      <c r="W77" s="2469">
        <v>0</v>
      </c>
      <c r="X77" s="319" t="str">
        <f t="shared" si="22"/>
        <v>EB</v>
      </c>
      <c r="Y77" s="316" t="str">
        <f t="shared" si="23"/>
        <v>NC</v>
      </c>
      <c r="Z77" s="222"/>
      <c r="AA77" s="282">
        <f>重み_前!M77</f>
        <v>0.8</v>
      </c>
      <c r="AB77" s="282">
        <f>重み_後!N77</f>
        <v>0.8</v>
      </c>
      <c r="AC77" s="252">
        <f>重み_前!D77</f>
        <v>0.8</v>
      </c>
      <c r="AD77" s="252"/>
      <c r="AE77" s="252">
        <f>重み_後!D77</f>
        <v>0.8</v>
      </c>
      <c r="AF77" s="252"/>
      <c r="AG77" s="252"/>
      <c r="AH77" s="253">
        <f>重み_前!N77</f>
        <v>0</v>
      </c>
      <c r="AI77" s="253">
        <f>重み_後!O77</f>
        <v>0</v>
      </c>
      <c r="AJ77" s="252">
        <f>重み_前!E77</f>
        <v>0</v>
      </c>
      <c r="AK77" s="252"/>
      <c r="AL77" s="252">
        <f>重み_後!E77</f>
        <v>0</v>
      </c>
    </row>
    <row r="78" spans="2:38" ht="14.25" thickBot="1">
      <c r="B78" s="348"/>
      <c r="C78" s="356"/>
      <c r="D78" s="314">
        <v>2</v>
      </c>
      <c r="E78" s="334" t="s">
        <v>732</v>
      </c>
      <c r="F78" s="297" t="s">
        <v>729</v>
      </c>
      <c r="G78" s="297" t="s">
        <v>729</v>
      </c>
      <c r="H78" s="297" t="s">
        <v>637</v>
      </c>
      <c r="I78" s="297" t="s">
        <v>733</v>
      </c>
      <c r="J78" s="297" t="s">
        <v>733</v>
      </c>
      <c r="K78" s="315" t="s">
        <v>637</v>
      </c>
      <c r="L78" s="322"/>
      <c r="M78" s="317" t="str">
        <f>IF(L78=$AA$3,$I78,$J78)</f>
        <v>EB</v>
      </c>
      <c r="N78" s="2471">
        <v>3</v>
      </c>
      <c r="O78" s="2466" t="str">
        <f>IF(L78=$AA$3,$I78,$K78)</f>
        <v>NC</v>
      </c>
      <c r="P78" s="2471">
        <v>3</v>
      </c>
      <c r="Q78" s="2475" t="str">
        <f t="shared" si="20"/>
        <v>EB</v>
      </c>
      <c r="R78" s="2473" t="str">
        <f t="shared" si="21"/>
        <v>NC</v>
      </c>
      <c r="S78" s="2471"/>
      <c r="T78" s="2468" t="str">
        <f>IF(S78=$AA$3,$I78,$J78)</f>
        <v>EB</v>
      </c>
      <c r="U78" s="2471">
        <v>0</v>
      </c>
      <c r="V78" s="2466" t="str">
        <f>IF(S78=$AA$3,$I78,$K78)</f>
        <v>NC</v>
      </c>
      <c r="W78" s="2471">
        <v>0</v>
      </c>
      <c r="X78" s="324" t="str">
        <f t="shared" si="22"/>
        <v>EB</v>
      </c>
      <c r="Y78" s="322" t="str">
        <f t="shared" si="23"/>
        <v>NC</v>
      </c>
      <c r="Z78" s="222"/>
      <c r="AA78" s="282">
        <f>重み_前!M78</f>
        <v>0.2</v>
      </c>
      <c r="AB78" s="282">
        <f>重み_後!N78</f>
        <v>0.2</v>
      </c>
      <c r="AC78" s="252">
        <f>重み_前!D78</f>
        <v>0.2</v>
      </c>
      <c r="AD78" s="252"/>
      <c r="AE78" s="252">
        <f>重み_後!D78</f>
        <v>0.2</v>
      </c>
      <c r="AF78" s="252"/>
      <c r="AG78" s="252"/>
      <c r="AH78" s="253">
        <f>重み_前!N78</f>
        <v>0</v>
      </c>
      <c r="AI78" s="253">
        <f>重み_後!O78</f>
        <v>0</v>
      </c>
      <c r="AJ78" s="252">
        <f>重み_前!E78</f>
        <v>0</v>
      </c>
      <c r="AK78" s="252"/>
      <c r="AL78" s="252">
        <f>重み_後!E78</f>
        <v>0</v>
      </c>
    </row>
    <row r="79" spans="2:38" ht="14.25" thickBot="1">
      <c r="B79" s="348"/>
      <c r="C79" s="325">
        <v>2.2000000000000002</v>
      </c>
      <c r="D79" s="343" t="s">
        <v>734</v>
      </c>
      <c r="E79" s="384"/>
      <c r="F79" s="297" t="s">
        <v>729</v>
      </c>
      <c r="G79" s="297" t="s">
        <v>729</v>
      </c>
      <c r="H79" s="297" t="s">
        <v>735</v>
      </c>
      <c r="I79" s="344"/>
      <c r="J79" s="344"/>
      <c r="K79" s="345"/>
      <c r="L79" s="309" t="str">
        <f>IF(COUNTIF(L80:L85,$AA$3)&gt;=ROWS(L80:L85),$AA$3,"")</f>
        <v/>
      </c>
      <c r="M79" s="346"/>
      <c r="N79" s="326"/>
      <c r="O79" s="345"/>
      <c r="P79" s="326"/>
      <c r="Q79" s="327" t="str">
        <f t="shared" si="20"/>
        <v>EB</v>
      </c>
      <c r="R79" s="328" t="str">
        <f t="shared" si="21"/>
        <v>NC</v>
      </c>
      <c r="S79" s="309" t="str">
        <f>IF(COUNTIF(S80:S85,$AA$3)&gt;=ROWS(S80:S85),$AA$3,"")</f>
        <v/>
      </c>
      <c r="T79" s="346"/>
      <c r="U79" s="326"/>
      <c r="V79" s="345"/>
      <c r="W79" s="326"/>
      <c r="X79" s="327" t="str">
        <f t="shared" si="22"/>
        <v>EB</v>
      </c>
      <c r="Y79" s="328" t="str">
        <f t="shared" si="23"/>
        <v>NC</v>
      </c>
      <c r="Z79" s="222"/>
      <c r="AA79" s="282">
        <f>重み_前!M79</f>
        <v>0.25</v>
      </c>
      <c r="AB79" s="282">
        <f>重み_後!N79</f>
        <v>0.3</v>
      </c>
      <c r="AC79" s="252">
        <f>重み_前!D79</f>
        <v>0.25</v>
      </c>
      <c r="AD79" s="252"/>
      <c r="AE79" s="252">
        <f>重み_後!D79</f>
        <v>0.30000000000000004</v>
      </c>
      <c r="AF79" s="252"/>
      <c r="AG79" s="252"/>
      <c r="AH79" s="253">
        <f>重み_前!N79</f>
        <v>0</v>
      </c>
      <c r="AI79" s="253">
        <f>重み_後!O79</f>
        <v>0</v>
      </c>
      <c r="AJ79" s="252">
        <f>重み_前!E79</f>
        <v>0</v>
      </c>
      <c r="AK79" s="252"/>
      <c r="AL79" s="252">
        <f>重み_後!E79</f>
        <v>0</v>
      </c>
    </row>
    <row r="80" spans="2:38" ht="13.5">
      <c r="B80" s="348"/>
      <c r="C80" s="347"/>
      <c r="D80" s="314">
        <v>1</v>
      </c>
      <c r="E80" s="334" t="s">
        <v>736</v>
      </c>
      <c r="F80" s="297" t="s">
        <v>729</v>
      </c>
      <c r="G80" s="297" t="s">
        <v>729</v>
      </c>
      <c r="H80" s="297" t="s">
        <v>637</v>
      </c>
      <c r="I80" s="297" t="s">
        <v>655</v>
      </c>
      <c r="J80" s="297" t="s">
        <v>655</v>
      </c>
      <c r="K80" s="315" t="s">
        <v>637</v>
      </c>
      <c r="L80" s="318"/>
      <c r="M80" s="317" t="str">
        <f t="shared" ref="M80:M85" si="24">IF(L80=$AA$3,$I80,$J80)</f>
        <v>EB</v>
      </c>
      <c r="N80" s="2474">
        <v>3</v>
      </c>
      <c r="O80" s="2466" t="str">
        <f t="shared" ref="O80:O85" si="25">IF(L80=$AA$3,$I80,$K80)</f>
        <v>NC</v>
      </c>
      <c r="P80" s="2474">
        <v>3</v>
      </c>
      <c r="Q80" s="2475" t="str">
        <f t="shared" si="20"/>
        <v>EB</v>
      </c>
      <c r="R80" s="2473" t="str">
        <f t="shared" si="21"/>
        <v>NC</v>
      </c>
      <c r="S80" s="2473"/>
      <c r="T80" s="2468" t="str">
        <f t="shared" ref="T80:T85" si="26">IF(S80=$AA$3,$I80,$J80)</f>
        <v>EB</v>
      </c>
      <c r="U80" s="2474">
        <v>0</v>
      </c>
      <c r="V80" s="2466" t="str">
        <f t="shared" ref="V80:V85" si="27">IF(S80=$AA$3,$I80,$K80)</f>
        <v>NC</v>
      </c>
      <c r="W80" s="2474">
        <v>0</v>
      </c>
      <c r="X80" s="318" t="str">
        <f t="shared" si="22"/>
        <v>EB</v>
      </c>
      <c r="Y80" s="318" t="str">
        <f t="shared" si="23"/>
        <v>NC</v>
      </c>
      <c r="Z80" s="222"/>
      <c r="AA80" s="282">
        <f>重み_前!M80</f>
        <v>0.2</v>
      </c>
      <c r="AB80" s="282">
        <f>重み_後!N80</f>
        <v>0.19999999999999998</v>
      </c>
      <c r="AC80" s="252">
        <f>重み_前!D80</f>
        <v>0.25</v>
      </c>
      <c r="AD80" s="252"/>
      <c r="AE80" s="252">
        <f>重み_後!D80</f>
        <v>0.2</v>
      </c>
      <c r="AF80" s="252"/>
      <c r="AG80" s="252"/>
      <c r="AH80" s="253">
        <f>重み_前!N80</f>
        <v>0</v>
      </c>
      <c r="AI80" s="253">
        <f>重み_後!O80</f>
        <v>0</v>
      </c>
      <c r="AJ80" s="252">
        <f>重み_前!E80</f>
        <v>0</v>
      </c>
      <c r="AK80" s="252"/>
      <c r="AL80" s="252">
        <f>重み_後!E80</f>
        <v>0</v>
      </c>
    </row>
    <row r="81" spans="2:38" ht="13.5">
      <c r="B81" s="348"/>
      <c r="C81" s="347"/>
      <c r="D81" s="314">
        <v>2</v>
      </c>
      <c r="E81" s="362" t="s">
        <v>739</v>
      </c>
      <c r="F81" s="297" t="s">
        <v>729</v>
      </c>
      <c r="G81" s="297" t="s">
        <v>729</v>
      </c>
      <c r="H81" s="297" t="s">
        <v>637</v>
      </c>
      <c r="I81" s="297" t="s">
        <v>655</v>
      </c>
      <c r="J81" s="297" t="s">
        <v>655</v>
      </c>
      <c r="K81" s="315" t="s">
        <v>637</v>
      </c>
      <c r="L81" s="330"/>
      <c r="M81" s="317" t="str">
        <f t="shared" si="24"/>
        <v>EB</v>
      </c>
      <c r="N81" s="2474">
        <v>3</v>
      </c>
      <c r="O81" s="2466" t="str">
        <f t="shared" si="25"/>
        <v>NC</v>
      </c>
      <c r="P81" s="2474">
        <v>3</v>
      </c>
      <c r="Q81" s="2475" t="str">
        <f t="shared" si="20"/>
        <v>EB</v>
      </c>
      <c r="R81" s="2473" t="str">
        <f t="shared" si="21"/>
        <v>NC</v>
      </c>
      <c r="S81" s="2473"/>
      <c r="T81" s="2468" t="str">
        <f t="shared" si="26"/>
        <v>EB</v>
      </c>
      <c r="U81" s="2474">
        <v>0</v>
      </c>
      <c r="V81" s="2466" t="str">
        <f t="shared" si="27"/>
        <v>NC</v>
      </c>
      <c r="W81" s="2474">
        <v>0</v>
      </c>
      <c r="X81" s="330" t="str">
        <f t="shared" si="22"/>
        <v>EB</v>
      </c>
      <c r="Y81" s="330" t="str">
        <f t="shared" si="23"/>
        <v>NC</v>
      </c>
      <c r="Z81" s="222"/>
      <c r="AA81" s="282">
        <f>重み_前!M81</f>
        <v>0.2</v>
      </c>
      <c r="AB81" s="282">
        <f>重み_後!N81</f>
        <v>0.19999999999999998</v>
      </c>
      <c r="AC81" s="252">
        <f>重み_前!D81</f>
        <v>0.25</v>
      </c>
      <c r="AD81" s="252"/>
      <c r="AE81" s="252">
        <f>重み_後!D81</f>
        <v>0.2</v>
      </c>
      <c r="AF81" s="252"/>
      <c r="AG81" s="252"/>
      <c r="AH81" s="253">
        <f>重み_前!N81</f>
        <v>0</v>
      </c>
      <c r="AI81" s="253">
        <f>重み_後!O81</f>
        <v>0</v>
      </c>
      <c r="AJ81" s="252">
        <f>重み_前!E81</f>
        <v>0</v>
      </c>
      <c r="AK81" s="252"/>
      <c r="AL81" s="252">
        <f>重み_後!E81</f>
        <v>0</v>
      </c>
    </row>
    <row r="82" spans="2:38" ht="13.5">
      <c r="B82" s="348"/>
      <c r="C82" s="347"/>
      <c r="D82" s="314">
        <v>3</v>
      </c>
      <c r="E82" s="362" t="s">
        <v>740</v>
      </c>
      <c r="F82" s="297" t="s">
        <v>729</v>
      </c>
      <c r="G82" s="297" t="s">
        <v>729</v>
      </c>
      <c r="H82" s="297" t="s">
        <v>637</v>
      </c>
      <c r="I82" s="389" t="s">
        <v>866</v>
      </c>
      <c r="J82" s="389" t="s">
        <v>866</v>
      </c>
      <c r="K82" s="315" t="s">
        <v>637</v>
      </c>
      <c r="L82" s="330"/>
      <c r="M82" s="317" t="str">
        <f t="shared" si="24"/>
        <v>-</v>
      </c>
      <c r="N82" s="2474">
        <v>0</v>
      </c>
      <c r="O82" s="2466" t="str">
        <f t="shared" si="25"/>
        <v>NC</v>
      </c>
      <c r="P82" s="2474">
        <v>3</v>
      </c>
      <c r="Q82" s="2475" t="str">
        <f t="shared" si="20"/>
        <v>EB</v>
      </c>
      <c r="R82" s="2473" t="str">
        <f t="shared" si="21"/>
        <v>NC</v>
      </c>
      <c r="S82" s="2473"/>
      <c r="T82" s="2468" t="str">
        <f t="shared" si="26"/>
        <v>-</v>
      </c>
      <c r="U82" s="2474">
        <v>0</v>
      </c>
      <c r="V82" s="2466" t="str">
        <f t="shared" si="27"/>
        <v>NC</v>
      </c>
      <c r="W82" s="2474">
        <v>0</v>
      </c>
      <c r="X82" s="331" t="str">
        <f t="shared" si="22"/>
        <v>EB</v>
      </c>
      <c r="Y82" s="329" t="str">
        <f t="shared" si="23"/>
        <v>NC</v>
      </c>
      <c r="Z82" s="222"/>
      <c r="AA82" s="282">
        <f>重み_前!M82</f>
        <v>0</v>
      </c>
      <c r="AB82" s="282">
        <f>重み_後!N82</f>
        <v>9.9999999999999992E-2</v>
      </c>
      <c r="AC82" s="252">
        <f>重み_前!D82</f>
        <v>0</v>
      </c>
      <c r="AD82" s="252"/>
      <c r="AE82" s="252">
        <f>重み_後!D82</f>
        <v>0.1</v>
      </c>
      <c r="AF82" s="252"/>
      <c r="AG82" s="252"/>
      <c r="AH82" s="253">
        <f>重み_前!N82</f>
        <v>0</v>
      </c>
      <c r="AI82" s="253">
        <f>重み_後!O82</f>
        <v>0</v>
      </c>
      <c r="AJ82" s="252">
        <f>重み_前!E82</f>
        <v>0</v>
      </c>
      <c r="AK82" s="252"/>
      <c r="AL82" s="252">
        <f>重み_後!E82</f>
        <v>0</v>
      </c>
    </row>
    <row r="83" spans="2:38" ht="13.5">
      <c r="B83" s="348"/>
      <c r="C83" s="347"/>
      <c r="D83" s="314">
        <v>4</v>
      </c>
      <c r="E83" s="362" t="s">
        <v>741</v>
      </c>
      <c r="F83" s="297" t="s">
        <v>729</v>
      </c>
      <c r="G83" s="297" t="s">
        <v>729</v>
      </c>
      <c r="H83" s="297" t="s">
        <v>637</v>
      </c>
      <c r="I83" s="297" t="s">
        <v>655</v>
      </c>
      <c r="J83" s="297" t="s">
        <v>655</v>
      </c>
      <c r="K83" s="315" t="s">
        <v>637</v>
      </c>
      <c r="L83" s="330"/>
      <c r="M83" s="317" t="str">
        <f t="shared" si="24"/>
        <v>EB</v>
      </c>
      <c r="N83" s="2474">
        <v>3</v>
      </c>
      <c r="O83" s="2466" t="str">
        <f t="shared" si="25"/>
        <v>NC</v>
      </c>
      <c r="P83" s="2474">
        <v>3</v>
      </c>
      <c r="Q83" s="2475" t="str">
        <f t="shared" si="20"/>
        <v>EB</v>
      </c>
      <c r="R83" s="2473" t="str">
        <f t="shared" si="21"/>
        <v>NC</v>
      </c>
      <c r="S83" s="2473"/>
      <c r="T83" s="2468" t="str">
        <f t="shared" si="26"/>
        <v>EB</v>
      </c>
      <c r="U83" s="2474">
        <v>0</v>
      </c>
      <c r="V83" s="2466" t="str">
        <f t="shared" si="27"/>
        <v>NC</v>
      </c>
      <c r="W83" s="2474">
        <v>0</v>
      </c>
      <c r="X83" s="331" t="str">
        <f t="shared" si="22"/>
        <v>EB</v>
      </c>
      <c r="Y83" s="329" t="str">
        <f t="shared" si="23"/>
        <v>NC</v>
      </c>
      <c r="Z83" s="222"/>
      <c r="AA83" s="282">
        <f>重み_前!M83</f>
        <v>0.1</v>
      </c>
      <c r="AB83" s="282">
        <f>重み_後!N83</f>
        <v>9.9999999999999992E-2</v>
      </c>
      <c r="AC83" s="252">
        <f>重み_前!D83</f>
        <v>0.125</v>
      </c>
      <c r="AD83" s="252"/>
      <c r="AE83" s="252">
        <f>重み_後!D83</f>
        <v>0.1</v>
      </c>
      <c r="AF83" s="252"/>
      <c r="AG83" s="252"/>
      <c r="AH83" s="253">
        <f>重み_前!N83</f>
        <v>0</v>
      </c>
      <c r="AI83" s="253">
        <f>重み_後!O83</f>
        <v>0</v>
      </c>
      <c r="AJ83" s="252">
        <f>重み_前!E83</f>
        <v>0</v>
      </c>
      <c r="AK83" s="252"/>
      <c r="AL83" s="252">
        <f>重み_後!E83</f>
        <v>0</v>
      </c>
    </row>
    <row r="84" spans="2:38" ht="13.5">
      <c r="B84" s="348"/>
      <c r="C84" s="347"/>
      <c r="D84" s="314">
        <v>5</v>
      </c>
      <c r="E84" s="362" t="s">
        <v>742</v>
      </c>
      <c r="F84" s="297" t="s">
        <v>729</v>
      </c>
      <c r="G84" s="297" t="s">
        <v>729</v>
      </c>
      <c r="H84" s="297" t="s">
        <v>637</v>
      </c>
      <c r="I84" s="297" t="s">
        <v>655</v>
      </c>
      <c r="J84" s="297" t="s">
        <v>655</v>
      </c>
      <c r="K84" s="315" t="s">
        <v>637</v>
      </c>
      <c r="L84" s="330"/>
      <c r="M84" s="317" t="str">
        <f t="shared" si="24"/>
        <v>EB</v>
      </c>
      <c r="N84" s="2474">
        <v>3</v>
      </c>
      <c r="O84" s="2466" t="str">
        <f t="shared" si="25"/>
        <v>NC</v>
      </c>
      <c r="P84" s="2474">
        <v>3</v>
      </c>
      <c r="Q84" s="2475" t="str">
        <f t="shared" si="20"/>
        <v>EB</v>
      </c>
      <c r="R84" s="2473" t="str">
        <f t="shared" si="21"/>
        <v>NC</v>
      </c>
      <c r="S84" s="2473"/>
      <c r="T84" s="2468" t="str">
        <f t="shared" si="26"/>
        <v>EB</v>
      </c>
      <c r="U84" s="2474">
        <v>0</v>
      </c>
      <c r="V84" s="2466" t="str">
        <f t="shared" si="27"/>
        <v>NC</v>
      </c>
      <c r="W84" s="2474">
        <v>0</v>
      </c>
      <c r="X84" s="331" t="str">
        <f t="shared" si="22"/>
        <v>EB</v>
      </c>
      <c r="Y84" s="329" t="str">
        <f t="shared" si="23"/>
        <v>NC</v>
      </c>
      <c r="Z84" s="222"/>
      <c r="AA84" s="282">
        <f>重み_前!M84</f>
        <v>0.1</v>
      </c>
      <c r="AB84" s="282">
        <f>重み_後!N84</f>
        <v>0.19999999999999998</v>
      </c>
      <c r="AC84" s="252">
        <f>重み_前!D84</f>
        <v>0.125</v>
      </c>
      <c r="AD84" s="252"/>
      <c r="AE84" s="252">
        <f>重み_後!D84</f>
        <v>0.2</v>
      </c>
      <c r="AF84" s="252"/>
      <c r="AG84" s="252"/>
      <c r="AH84" s="253">
        <f>重み_前!N84</f>
        <v>0</v>
      </c>
      <c r="AI84" s="253">
        <f>重み_後!O84</f>
        <v>0</v>
      </c>
      <c r="AJ84" s="252">
        <f>重み_前!E84</f>
        <v>0</v>
      </c>
      <c r="AK84" s="252"/>
      <c r="AL84" s="252">
        <f>重み_後!E84</f>
        <v>0</v>
      </c>
    </row>
    <row r="85" spans="2:38" ht="14.25" thickBot="1">
      <c r="B85" s="348"/>
      <c r="C85" s="356"/>
      <c r="D85" s="314">
        <v>6</v>
      </c>
      <c r="E85" s="362" t="s">
        <v>743</v>
      </c>
      <c r="F85" s="297" t="s">
        <v>729</v>
      </c>
      <c r="G85" s="297" t="s">
        <v>729</v>
      </c>
      <c r="H85" s="297" t="s">
        <v>637</v>
      </c>
      <c r="I85" s="297" t="s">
        <v>655</v>
      </c>
      <c r="J85" s="297" t="s">
        <v>655</v>
      </c>
      <c r="K85" s="315" t="s">
        <v>637</v>
      </c>
      <c r="L85" s="323"/>
      <c r="M85" s="317" t="str">
        <f t="shared" si="24"/>
        <v>EB</v>
      </c>
      <c r="N85" s="2474">
        <v>3</v>
      </c>
      <c r="O85" s="2466" t="str">
        <f t="shared" si="25"/>
        <v>NC</v>
      </c>
      <c r="P85" s="2474">
        <v>3</v>
      </c>
      <c r="Q85" s="2475" t="str">
        <f t="shared" si="20"/>
        <v>EB</v>
      </c>
      <c r="R85" s="2473" t="str">
        <f t="shared" si="21"/>
        <v>NC</v>
      </c>
      <c r="S85" s="2473"/>
      <c r="T85" s="2468" t="str">
        <f t="shared" si="26"/>
        <v>EB</v>
      </c>
      <c r="U85" s="2474">
        <v>0</v>
      </c>
      <c r="V85" s="2466" t="str">
        <f t="shared" si="27"/>
        <v>NC</v>
      </c>
      <c r="W85" s="2474">
        <v>0</v>
      </c>
      <c r="X85" s="324" t="str">
        <f t="shared" si="22"/>
        <v>EB</v>
      </c>
      <c r="Y85" s="322" t="str">
        <f t="shared" si="23"/>
        <v>NC</v>
      </c>
      <c r="Z85" s="222"/>
      <c r="AA85" s="282">
        <f>重み_前!M85</f>
        <v>0.2</v>
      </c>
      <c r="AB85" s="282">
        <f>重み_後!N85</f>
        <v>0.19999999999999998</v>
      </c>
      <c r="AC85" s="252">
        <f>重み_前!D85</f>
        <v>0.25</v>
      </c>
      <c r="AD85" s="252"/>
      <c r="AE85" s="252">
        <f>重み_後!D85</f>
        <v>0.2</v>
      </c>
      <c r="AF85" s="252"/>
      <c r="AG85" s="252"/>
      <c r="AH85" s="253">
        <f>重み_前!N85</f>
        <v>0</v>
      </c>
      <c r="AI85" s="253">
        <f>重み_後!O85</f>
        <v>0</v>
      </c>
      <c r="AJ85" s="252">
        <f>重み_前!E85</f>
        <v>0</v>
      </c>
      <c r="AK85" s="252"/>
      <c r="AL85" s="252">
        <f>重み_後!E85</f>
        <v>0</v>
      </c>
    </row>
    <row r="86" spans="2:38" ht="14.25" thickBot="1">
      <c r="B86" s="348"/>
      <c r="C86" s="306">
        <v>2.2999999999999998</v>
      </c>
      <c r="D86" s="164" t="s">
        <v>744</v>
      </c>
      <c r="E86" s="164"/>
      <c r="F86" s="297" t="s">
        <v>729</v>
      </c>
      <c r="G86" s="297" t="s">
        <v>729</v>
      </c>
      <c r="H86" s="297" t="s">
        <v>679</v>
      </c>
      <c r="I86" s="344"/>
      <c r="J86" s="344"/>
      <c r="K86" s="345"/>
      <c r="L86" s="390" t="str">
        <f>IF(COUNTIF(L87:L89,$AA$3)&gt;=ROWS(L87:L89),$AA$3,"")</f>
        <v/>
      </c>
      <c r="M86" s="346"/>
      <c r="N86" s="391"/>
      <c r="O86" s="345"/>
      <c r="P86" s="391"/>
      <c r="Q86" s="392" t="str">
        <f t="shared" si="20"/>
        <v>EB</v>
      </c>
      <c r="R86" s="393" t="str">
        <f t="shared" si="21"/>
        <v>NC</v>
      </c>
      <c r="S86" s="390" t="str">
        <f>IF(COUNTIF(S87:S89,$AA$3)&gt;=ROWS(S87:S89),$AA$3,"")</f>
        <v/>
      </c>
      <c r="T86" s="346"/>
      <c r="U86" s="391"/>
      <c r="V86" s="345"/>
      <c r="W86" s="391"/>
      <c r="X86" s="327" t="str">
        <f t="shared" si="22"/>
        <v>EB</v>
      </c>
      <c r="Y86" s="328" t="str">
        <f t="shared" si="23"/>
        <v>NC</v>
      </c>
      <c r="Z86" s="222"/>
      <c r="AA86" s="282">
        <f>重み_前!M86</f>
        <v>0.25</v>
      </c>
      <c r="AB86" s="282">
        <f>重み_後!N86</f>
        <v>0</v>
      </c>
      <c r="AC86" s="252">
        <f>重み_前!D86</f>
        <v>0.25</v>
      </c>
      <c r="AD86" s="252"/>
      <c r="AE86" s="252">
        <f>重み_後!D86</f>
        <v>0</v>
      </c>
      <c r="AF86" s="252"/>
      <c r="AG86" s="252"/>
      <c r="AH86" s="253">
        <f>重み_前!N86</f>
        <v>0</v>
      </c>
      <c r="AI86" s="253">
        <f>重み_後!O86</f>
        <v>0</v>
      </c>
      <c r="AJ86" s="252">
        <f>重み_前!E86</f>
        <v>0</v>
      </c>
      <c r="AK86" s="252"/>
      <c r="AL86" s="252">
        <f>重み_後!E86</f>
        <v>0</v>
      </c>
    </row>
    <row r="87" spans="2:38" ht="13.5">
      <c r="B87" s="348"/>
      <c r="C87" s="394"/>
      <c r="D87" s="314">
        <v>1</v>
      </c>
      <c r="E87" s="362" t="s">
        <v>227</v>
      </c>
      <c r="F87" s="297" t="s">
        <v>729</v>
      </c>
      <c r="G87" s="297" t="s">
        <v>729</v>
      </c>
      <c r="H87" s="297" t="s">
        <v>679</v>
      </c>
      <c r="I87" s="297" t="s">
        <v>678</v>
      </c>
      <c r="J87" s="297" t="s">
        <v>678</v>
      </c>
      <c r="K87" s="388">
        <v>0</v>
      </c>
      <c r="L87" s="318"/>
      <c r="M87" s="317" t="str">
        <f>IF(L87=$AA$3,$I87,$J87)</f>
        <v>EB</v>
      </c>
      <c r="N87" s="2469">
        <v>3</v>
      </c>
      <c r="O87" s="2466">
        <f>IF(L87=$AA$3,$I87,$K87)</f>
        <v>0</v>
      </c>
      <c r="P87" s="2469">
        <v>3</v>
      </c>
      <c r="Q87" s="2475" t="str">
        <f t="shared" si="20"/>
        <v>EB</v>
      </c>
      <c r="R87" s="2473" t="str">
        <f t="shared" si="21"/>
        <v>NC</v>
      </c>
      <c r="S87" s="2469"/>
      <c r="T87" s="2468" t="str">
        <f>IF(S87=$AA$3,$I87,$J87)</f>
        <v>EB</v>
      </c>
      <c r="U87" s="2469">
        <v>0</v>
      </c>
      <c r="V87" s="2466">
        <f>IF(S87=$AA$3,$I87,$K87)</f>
        <v>0</v>
      </c>
      <c r="W87" s="2469">
        <v>0</v>
      </c>
      <c r="X87" s="319" t="str">
        <f t="shared" si="22"/>
        <v>EB</v>
      </c>
      <c r="Y87" s="318" t="str">
        <f t="shared" si="23"/>
        <v>NC</v>
      </c>
      <c r="Z87" s="222"/>
      <c r="AA87" s="282">
        <f>重み_前!M87</f>
        <v>0.33333333333333331</v>
      </c>
      <c r="AB87" s="282">
        <f>重み_後!N87</f>
        <v>0</v>
      </c>
      <c r="AC87" s="252">
        <f>重み_前!D87</f>
        <v>0.41666666666666663</v>
      </c>
      <c r="AD87" s="252"/>
      <c r="AE87" s="252">
        <f>重み_後!D87</f>
        <v>0</v>
      </c>
      <c r="AF87" s="252"/>
      <c r="AG87" s="252"/>
      <c r="AH87" s="253">
        <f>重み_前!N87</f>
        <v>0</v>
      </c>
      <c r="AI87" s="253">
        <f>重み_後!O87</f>
        <v>0</v>
      </c>
      <c r="AJ87" s="252">
        <f>重み_前!E87</f>
        <v>0</v>
      </c>
      <c r="AK87" s="252"/>
      <c r="AL87" s="252">
        <f>重み_後!E87</f>
        <v>0</v>
      </c>
    </row>
    <row r="88" spans="2:38" ht="13.5">
      <c r="B88" s="348"/>
      <c r="C88" s="394"/>
      <c r="D88" s="314">
        <v>2</v>
      </c>
      <c r="E88" s="334" t="s">
        <v>746</v>
      </c>
      <c r="F88" s="297" t="s">
        <v>729</v>
      </c>
      <c r="G88" s="297" t="s">
        <v>729</v>
      </c>
      <c r="H88" s="297" t="s">
        <v>679</v>
      </c>
      <c r="I88" s="297" t="s">
        <v>678</v>
      </c>
      <c r="J88" s="297" t="s">
        <v>678</v>
      </c>
      <c r="K88" s="388">
        <v>0</v>
      </c>
      <c r="L88" s="329"/>
      <c r="M88" s="317" t="str">
        <f>IF(L88=$AA$3,$I88,$J88)</f>
        <v>EB</v>
      </c>
      <c r="N88" s="2474">
        <v>3</v>
      </c>
      <c r="O88" s="2466">
        <f>IF(L88=$AA$3,$I88,$K88)</f>
        <v>0</v>
      </c>
      <c r="P88" s="2474">
        <v>3</v>
      </c>
      <c r="Q88" s="2475" t="str">
        <f t="shared" si="20"/>
        <v>EB</v>
      </c>
      <c r="R88" s="2473" t="str">
        <f t="shared" si="21"/>
        <v>NC</v>
      </c>
      <c r="S88" s="2474"/>
      <c r="T88" s="2468" t="str">
        <f>IF(S88=$AA$3,$I88,$J88)</f>
        <v>EB</v>
      </c>
      <c r="U88" s="2474">
        <v>0</v>
      </c>
      <c r="V88" s="2466">
        <f>IF(S88=$AA$3,$I88,$K88)</f>
        <v>0</v>
      </c>
      <c r="W88" s="2474">
        <v>0</v>
      </c>
      <c r="X88" s="331" t="str">
        <f t="shared" si="22"/>
        <v>EB</v>
      </c>
      <c r="Y88" s="329" t="str">
        <f t="shared" si="23"/>
        <v>NC</v>
      </c>
      <c r="Z88" s="222"/>
      <c r="AA88" s="282">
        <f>重み_前!M88</f>
        <v>0.33333333333333331</v>
      </c>
      <c r="AB88" s="282">
        <f>重み_後!N88</f>
        <v>0</v>
      </c>
      <c r="AC88" s="252">
        <f>重み_前!D88</f>
        <v>0.41666666666666663</v>
      </c>
      <c r="AD88" s="252"/>
      <c r="AE88" s="252">
        <f>重み_後!D88</f>
        <v>0</v>
      </c>
      <c r="AF88" s="252"/>
      <c r="AG88" s="252"/>
      <c r="AH88" s="253">
        <f>重み_前!N88</f>
        <v>0</v>
      </c>
      <c r="AI88" s="253">
        <f>重み_後!O88</f>
        <v>0</v>
      </c>
      <c r="AJ88" s="252">
        <f>重み_前!E88</f>
        <v>0</v>
      </c>
      <c r="AK88" s="252"/>
      <c r="AL88" s="252">
        <f>重み_後!E88</f>
        <v>0</v>
      </c>
    </row>
    <row r="89" spans="2:38" ht="14.25" thickBot="1">
      <c r="B89" s="348"/>
      <c r="C89" s="86"/>
      <c r="D89" s="314">
        <v>3</v>
      </c>
      <c r="E89" s="334" t="s">
        <v>747</v>
      </c>
      <c r="F89" s="297" t="s">
        <v>729</v>
      </c>
      <c r="G89" s="297" t="s">
        <v>729</v>
      </c>
      <c r="H89" s="297" t="s">
        <v>679</v>
      </c>
      <c r="I89" s="297" t="s">
        <v>678</v>
      </c>
      <c r="J89" s="297" t="s">
        <v>678</v>
      </c>
      <c r="K89" s="388">
        <v>0</v>
      </c>
      <c r="L89" s="322"/>
      <c r="M89" s="317" t="str">
        <f>IF(L89=$AA$3,$I89,$J89)</f>
        <v>EB</v>
      </c>
      <c r="N89" s="2471">
        <v>3</v>
      </c>
      <c r="O89" s="2466">
        <f>IF(L89=$AA$3,$I89,$K89)</f>
        <v>0</v>
      </c>
      <c r="P89" s="2471">
        <v>3</v>
      </c>
      <c r="Q89" s="2475" t="str">
        <f t="shared" si="20"/>
        <v>EB</v>
      </c>
      <c r="R89" s="2473" t="str">
        <f t="shared" si="21"/>
        <v>NC</v>
      </c>
      <c r="S89" s="2471"/>
      <c r="T89" s="2468" t="str">
        <f>IF(S89=$AA$3,$I89,$J89)</f>
        <v>EB</v>
      </c>
      <c r="U89" s="2471">
        <v>0</v>
      </c>
      <c r="V89" s="2466">
        <f>IF(S89=$AA$3,$I89,$K89)</f>
        <v>0</v>
      </c>
      <c r="W89" s="2471">
        <v>0</v>
      </c>
      <c r="X89" s="324" t="str">
        <f t="shared" si="22"/>
        <v>EB</v>
      </c>
      <c r="Y89" s="322" t="str">
        <f t="shared" si="23"/>
        <v>NC</v>
      </c>
      <c r="Z89" s="222"/>
      <c r="AA89" s="282">
        <f>重み_前!M89</f>
        <v>0.33333333333333331</v>
      </c>
      <c r="AB89" s="282">
        <f>重み_後!N89</f>
        <v>0</v>
      </c>
      <c r="AC89" s="252">
        <f>重み_前!D89</f>
        <v>0.41666666666666663</v>
      </c>
      <c r="AD89" s="252"/>
      <c r="AE89" s="252">
        <f>重み_後!D89</f>
        <v>0</v>
      </c>
      <c r="AF89" s="252"/>
      <c r="AG89" s="252"/>
      <c r="AH89" s="253">
        <f>重み_前!N89</f>
        <v>0</v>
      </c>
      <c r="AI89" s="253">
        <f>重み_後!O89</f>
        <v>0</v>
      </c>
      <c r="AJ89" s="252">
        <f>重み_前!E89</f>
        <v>0</v>
      </c>
      <c r="AK89" s="252"/>
      <c r="AL89" s="252">
        <f>重み_後!E89</f>
        <v>0</v>
      </c>
    </row>
    <row r="90" spans="2:38" ht="14.25" thickBot="1">
      <c r="B90" s="348"/>
      <c r="C90" s="306">
        <v>2.4</v>
      </c>
      <c r="D90" s="343" t="s">
        <v>748</v>
      </c>
      <c r="E90" s="384"/>
      <c r="F90" s="297" t="s">
        <v>729</v>
      </c>
      <c r="G90" s="297" t="s">
        <v>729</v>
      </c>
      <c r="H90" s="297" t="s">
        <v>679</v>
      </c>
      <c r="I90" s="344"/>
      <c r="J90" s="344"/>
      <c r="K90" s="345"/>
      <c r="L90" s="309" t="str">
        <f>IF(COUNTIF(L91:L95,$AA$3)&gt;=ROWS(L91:L95),$AA$3,"")</f>
        <v/>
      </c>
      <c r="M90" s="346"/>
      <c r="N90" s="326"/>
      <c r="O90" s="345"/>
      <c r="P90" s="326"/>
      <c r="Q90" s="351" t="str">
        <f t="shared" si="20"/>
        <v>EB</v>
      </c>
      <c r="R90" s="352" t="str">
        <f t="shared" si="21"/>
        <v>NC</v>
      </c>
      <c r="S90" s="309" t="str">
        <f>IF(COUNTIF(S91:S95,$AA$3)&gt;=ROWS(S91:S95),$AA$3,"")</f>
        <v/>
      </c>
      <c r="T90" s="346"/>
      <c r="U90" s="326"/>
      <c r="V90" s="345"/>
      <c r="W90" s="326"/>
      <c r="X90" s="351" t="str">
        <f t="shared" si="22"/>
        <v>EB</v>
      </c>
      <c r="Y90" s="352" t="str">
        <f t="shared" si="23"/>
        <v>NC</v>
      </c>
      <c r="Z90" s="222"/>
      <c r="AA90" s="282">
        <f>重み_前!M90</f>
        <v>0.25</v>
      </c>
      <c r="AB90" s="282">
        <f>重み_後!N90</f>
        <v>0.19999999999999996</v>
      </c>
      <c r="AC90" s="252">
        <f>重み_前!D90</f>
        <v>0.25</v>
      </c>
      <c r="AD90" s="252"/>
      <c r="AE90" s="252">
        <f>重み_後!D90</f>
        <v>0.2</v>
      </c>
      <c r="AF90" s="252"/>
      <c r="AG90" s="252"/>
      <c r="AH90" s="253">
        <f>重み_前!N90</f>
        <v>0</v>
      </c>
      <c r="AI90" s="253">
        <f>重み_後!O90</f>
        <v>0</v>
      </c>
      <c r="AJ90" s="252">
        <f>重み_前!E90</f>
        <v>0</v>
      </c>
      <c r="AK90" s="252"/>
      <c r="AL90" s="252">
        <f>重み_後!E90</f>
        <v>0</v>
      </c>
    </row>
    <row r="91" spans="2:38" ht="13.5">
      <c r="B91" s="305"/>
      <c r="C91" s="347"/>
      <c r="D91" s="314">
        <v>1</v>
      </c>
      <c r="E91" s="334" t="s">
        <v>749</v>
      </c>
      <c r="F91" s="297" t="s">
        <v>729</v>
      </c>
      <c r="G91" s="297" t="s">
        <v>729</v>
      </c>
      <c r="H91" s="297" t="s">
        <v>637</v>
      </c>
      <c r="I91" s="297" t="s">
        <v>636</v>
      </c>
      <c r="J91" s="297" t="s">
        <v>636</v>
      </c>
      <c r="K91" s="315" t="s">
        <v>637</v>
      </c>
      <c r="L91" s="316"/>
      <c r="M91" s="317" t="str">
        <f t="shared" ref="M91:M96" si="28">IF(L91=$AA$3,$I91,$J91)</f>
        <v>EB</v>
      </c>
      <c r="N91" s="2469">
        <v>3</v>
      </c>
      <c r="O91" s="2466" t="str">
        <f t="shared" ref="O91:O96" si="29">IF(L91=$AA$3,$I91,$K91)</f>
        <v>NC</v>
      </c>
      <c r="P91" s="2469">
        <v>3</v>
      </c>
      <c r="Q91" s="2475" t="str">
        <f t="shared" si="20"/>
        <v>EB</v>
      </c>
      <c r="R91" s="2473" t="str">
        <f t="shared" si="21"/>
        <v>NC</v>
      </c>
      <c r="S91" s="2469"/>
      <c r="T91" s="2468" t="str">
        <f t="shared" ref="T91:T96" si="30">IF(S91=$AA$3,$I91,$J91)</f>
        <v>EB</v>
      </c>
      <c r="U91" s="2469">
        <v>0</v>
      </c>
      <c r="V91" s="2466" t="str">
        <f t="shared" ref="V91:V96" si="31">IF(S91=$AA$3,$I91,$K91)</f>
        <v>NC</v>
      </c>
      <c r="W91" s="2469">
        <v>0</v>
      </c>
      <c r="X91" s="319" t="str">
        <f t="shared" si="22"/>
        <v>EB</v>
      </c>
      <c r="Y91" s="316" t="str">
        <f t="shared" si="23"/>
        <v>NC</v>
      </c>
      <c r="Z91" s="222"/>
      <c r="AA91" s="282">
        <f>重み_前!M91</f>
        <v>0.2</v>
      </c>
      <c r="AB91" s="282">
        <f>重み_後!N91</f>
        <v>0.2</v>
      </c>
      <c r="AC91" s="252">
        <f>重み_前!D91</f>
        <v>0.2</v>
      </c>
      <c r="AD91" s="252"/>
      <c r="AE91" s="252">
        <f>重み_後!D91</f>
        <v>0.2</v>
      </c>
      <c r="AF91" s="252"/>
      <c r="AG91" s="252"/>
      <c r="AH91" s="253">
        <f>重み_前!N91</f>
        <v>0</v>
      </c>
      <c r="AI91" s="253">
        <f>重み_後!O91</f>
        <v>0</v>
      </c>
      <c r="AJ91" s="252">
        <f>重み_前!E91</f>
        <v>0</v>
      </c>
      <c r="AK91" s="252"/>
      <c r="AL91" s="252">
        <f>重み_後!E91</f>
        <v>0</v>
      </c>
    </row>
    <row r="92" spans="2:38" ht="13.5">
      <c r="B92" s="305"/>
      <c r="C92" s="347"/>
      <c r="D92" s="314">
        <v>2</v>
      </c>
      <c r="E92" s="334" t="s">
        <v>750</v>
      </c>
      <c r="F92" s="297" t="s">
        <v>729</v>
      </c>
      <c r="G92" s="297" t="s">
        <v>729</v>
      </c>
      <c r="H92" s="297" t="s">
        <v>637</v>
      </c>
      <c r="I92" s="297" t="s">
        <v>674</v>
      </c>
      <c r="J92" s="297" t="s">
        <v>674</v>
      </c>
      <c r="K92" s="315" t="s">
        <v>637</v>
      </c>
      <c r="L92" s="329"/>
      <c r="M92" s="317" t="str">
        <f t="shared" si="28"/>
        <v>EB</v>
      </c>
      <c r="N92" s="2474">
        <v>3</v>
      </c>
      <c r="O92" s="2466" t="str">
        <f t="shared" si="29"/>
        <v>NC</v>
      </c>
      <c r="P92" s="2474">
        <v>3</v>
      </c>
      <c r="Q92" s="2475" t="str">
        <f t="shared" si="20"/>
        <v>EB</v>
      </c>
      <c r="R92" s="2473" t="str">
        <f t="shared" si="21"/>
        <v>NC</v>
      </c>
      <c r="S92" s="2474"/>
      <c r="T92" s="2468" t="str">
        <f t="shared" si="30"/>
        <v>EB</v>
      </c>
      <c r="U92" s="2474">
        <v>0</v>
      </c>
      <c r="V92" s="2466" t="str">
        <f t="shared" si="31"/>
        <v>NC</v>
      </c>
      <c r="W92" s="2474">
        <v>0</v>
      </c>
      <c r="X92" s="331" t="str">
        <f t="shared" si="22"/>
        <v>EB</v>
      </c>
      <c r="Y92" s="329" t="str">
        <f t="shared" si="23"/>
        <v>NC</v>
      </c>
      <c r="Z92" s="222"/>
      <c r="AA92" s="282">
        <f>重み_前!M92</f>
        <v>0.2</v>
      </c>
      <c r="AB92" s="282">
        <f>重み_後!N92</f>
        <v>0.2</v>
      </c>
      <c r="AC92" s="252">
        <f>重み_前!D92</f>
        <v>0.2</v>
      </c>
      <c r="AD92" s="252"/>
      <c r="AE92" s="252">
        <f>重み_後!D92</f>
        <v>0.2</v>
      </c>
      <c r="AF92" s="252"/>
      <c r="AG92" s="252"/>
      <c r="AH92" s="253">
        <f>重み_前!N92</f>
        <v>0</v>
      </c>
      <c r="AI92" s="253">
        <f>重み_後!O92</f>
        <v>0</v>
      </c>
      <c r="AJ92" s="252">
        <f>重み_前!E92</f>
        <v>0</v>
      </c>
      <c r="AK92" s="252"/>
      <c r="AL92" s="252">
        <f>重み_後!E92</f>
        <v>0</v>
      </c>
    </row>
    <row r="93" spans="2:38" ht="13.5">
      <c r="B93" s="305"/>
      <c r="C93" s="347"/>
      <c r="D93" s="314">
        <v>3</v>
      </c>
      <c r="E93" s="334" t="s">
        <v>751</v>
      </c>
      <c r="F93" s="297" t="s">
        <v>729</v>
      </c>
      <c r="G93" s="297" t="s">
        <v>729</v>
      </c>
      <c r="H93" s="297" t="s">
        <v>637</v>
      </c>
      <c r="I93" s="297" t="s">
        <v>634</v>
      </c>
      <c r="J93" s="297" t="s">
        <v>634</v>
      </c>
      <c r="K93" s="315" t="s">
        <v>637</v>
      </c>
      <c r="L93" s="329"/>
      <c r="M93" s="317" t="str">
        <f t="shared" si="28"/>
        <v>EB</v>
      </c>
      <c r="N93" s="2474">
        <v>3</v>
      </c>
      <c r="O93" s="2466" t="str">
        <f t="shared" si="29"/>
        <v>NC</v>
      </c>
      <c r="P93" s="2474">
        <v>3</v>
      </c>
      <c r="Q93" s="2475" t="str">
        <f t="shared" si="20"/>
        <v>EB</v>
      </c>
      <c r="R93" s="2473" t="str">
        <f t="shared" si="21"/>
        <v>NC</v>
      </c>
      <c r="S93" s="2474"/>
      <c r="T93" s="2468" t="str">
        <f t="shared" si="30"/>
        <v>EB</v>
      </c>
      <c r="U93" s="2474">
        <v>0</v>
      </c>
      <c r="V93" s="2466" t="str">
        <f t="shared" si="31"/>
        <v>NC</v>
      </c>
      <c r="W93" s="2474">
        <v>0</v>
      </c>
      <c r="X93" s="331" t="str">
        <f t="shared" si="22"/>
        <v>EB</v>
      </c>
      <c r="Y93" s="329" t="str">
        <f t="shared" si="23"/>
        <v>NC</v>
      </c>
      <c r="Z93" s="222"/>
      <c r="AA93" s="282">
        <f>重み_前!M93</f>
        <v>0.2</v>
      </c>
      <c r="AB93" s="282">
        <f>重み_後!N93</f>
        <v>0.2</v>
      </c>
      <c r="AC93" s="252">
        <f>重み_前!D93</f>
        <v>0.2</v>
      </c>
      <c r="AD93" s="252"/>
      <c r="AE93" s="252">
        <f>重み_後!D93</f>
        <v>0.2</v>
      </c>
      <c r="AF93" s="252"/>
      <c r="AG93" s="252"/>
      <c r="AH93" s="253">
        <f>重み_前!N93</f>
        <v>0</v>
      </c>
      <c r="AI93" s="253">
        <f>重み_後!O93</f>
        <v>0</v>
      </c>
      <c r="AJ93" s="252">
        <f>重み_前!E93</f>
        <v>0</v>
      </c>
      <c r="AK93" s="252"/>
      <c r="AL93" s="252">
        <f>重み_後!E93</f>
        <v>0</v>
      </c>
    </row>
    <row r="94" spans="2:38" ht="13.5">
      <c r="B94" s="305"/>
      <c r="C94" s="347"/>
      <c r="D94" s="314">
        <v>4</v>
      </c>
      <c r="E94" s="334" t="s">
        <v>752</v>
      </c>
      <c r="F94" s="297" t="s">
        <v>636</v>
      </c>
      <c r="G94" s="297" t="s">
        <v>636</v>
      </c>
      <c r="H94" s="297" t="s">
        <v>637</v>
      </c>
      <c r="I94" s="297" t="s">
        <v>636</v>
      </c>
      <c r="J94" s="297" t="s">
        <v>636</v>
      </c>
      <c r="K94" s="315" t="s">
        <v>637</v>
      </c>
      <c r="L94" s="329"/>
      <c r="M94" s="317" t="str">
        <f t="shared" si="28"/>
        <v>EB</v>
      </c>
      <c r="N94" s="2474">
        <v>3</v>
      </c>
      <c r="O94" s="2466" t="str">
        <f t="shared" si="29"/>
        <v>NC</v>
      </c>
      <c r="P94" s="2474">
        <v>3</v>
      </c>
      <c r="Q94" s="2475" t="str">
        <f t="shared" si="20"/>
        <v>EB</v>
      </c>
      <c r="R94" s="2473" t="str">
        <f t="shared" si="21"/>
        <v>NC</v>
      </c>
      <c r="S94" s="2474"/>
      <c r="T94" s="2468" t="str">
        <f t="shared" si="30"/>
        <v>EB</v>
      </c>
      <c r="U94" s="2474">
        <v>0</v>
      </c>
      <c r="V94" s="2466" t="str">
        <f t="shared" si="31"/>
        <v>NC</v>
      </c>
      <c r="W94" s="2474">
        <v>0</v>
      </c>
      <c r="X94" s="331" t="str">
        <f t="shared" si="22"/>
        <v>EB</v>
      </c>
      <c r="Y94" s="329" t="str">
        <f t="shared" si="23"/>
        <v>NC</v>
      </c>
      <c r="Z94" s="222"/>
      <c r="AA94" s="282">
        <f>重み_前!M94</f>
        <v>0.2</v>
      </c>
      <c r="AB94" s="282">
        <f>重み_後!N94</f>
        <v>0.2</v>
      </c>
      <c r="AC94" s="252">
        <f>重み_前!D94</f>
        <v>0.2</v>
      </c>
      <c r="AD94" s="252"/>
      <c r="AE94" s="252">
        <f>重み_後!D94</f>
        <v>0.2</v>
      </c>
      <c r="AF94" s="252"/>
      <c r="AG94" s="252"/>
      <c r="AH94" s="253">
        <f>重み_前!N94</f>
        <v>0</v>
      </c>
      <c r="AI94" s="253">
        <f>重み_後!O94</f>
        <v>0</v>
      </c>
      <c r="AJ94" s="252">
        <f>重み_前!E94</f>
        <v>0</v>
      </c>
      <c r="AK94" s="252"/>
      <c r="AL94" s="252">
        <f>重み_後!E94</f>
        <v>0</v>
      </c>
    </row>
    <row r="95" spans="2:38" ht="14.25" thickBot="1">
      <c r="B95" s="395"/>
      <c r="C95" s="356"/>
      <c r="D95" s="314">
        <v>5</v>
      </c>
      <c r="E95" s="334" t="s">
        <v>753</v>
      </c>
      <c r="F95" s="297" t="s">
        <v>651</v>
      </c>
      <c r="G95" s="297" t="s">
        <v>651</v>
      </c>
      <c r="H95" s="297" t="s">
        <v>637</v>
      </c>
      <c r="I95" s="297" t="s">
        <v>651</v>
      </c>
      <c r="J95" s="297" t="s">
        <v>651</v>
      </c>
      <c r="K95" s="315" t="s">
        <v>637</v>
      </c>
      <c r="L95" s="322"/>
      <c r="M95" s="317" t="str">
        <f t="shared" si="28"/>
        <v>EB</v>
      </c>
      <c r="N95" s="2471">
        <v>3</v>
      </c>
      <c r="O95" s="2466" t="str">
        <f t="shared" si="29"/>
        <v>NC</v>
      </c>
      <c r="P95" s="2471">
        <v>3</v>
      </c>
      <c r="Q95" s="2475" t="str">
        <f t="shared" si="20"/>
        <v>EB</v>
      </c>
      <c r="R95" s="2473" t="str">
        <f t="shared" si="21"/>
        <v>NC</v>
      </c>
      <c r="S95" s="2471"/>
      <c r="T95" s="2468" t="str">
        <f t="shared" si="30"/>
        <v>EB</v>
      </c>
      <c r="U95" s="2471">
        <v>0</v>
      </c>
      <c r="V95" s="2466" t="str">
        <f t="shared" si="31"/>
        <v>NC</v>
      </c>
      <c r="W95" s="2471">
        <v>0</v>
      </c>
      <c r="X95" s="324" t="str">
        <f t="shared" si="22"/>
        <v>EB</v>
      </c>
      <c r="Y95" s="322" t="str">
        <f t="shared" si="23"/>
        <v>NC</v>
      </c>
      <c r="Z95" s="222"/>
      <c r="AA95" s="282">
        <f>重み_前!M95</f>
        <v>0.2</v>
      </c>
      <c r="AB95" s="282">
        <f>重み_後!N95</f>
        <v>0.2</v>
      </c>
      <c r="AC95" s="252">
        <f>重み_前!D95</f>
        <v>0.2</v>
      </c>
      <c r="AD95" s="252"/>
      <c r="AE95" s="252">
        <f>重み_後!D95</f>
        <v>0.2</v>
      </c>
      <c r="AF95" s="252"/>
      <c r="AG95" s="252"/>
      <c r="AH95" s="253">
        <f>重み_前!N95</f>
        <v>0</v>
      </c>
      <c r="AI95" s="253">
        <f>重み_後!O95</f>
        <v>0</v>
      </c>
      <c r="AJ95" s="252">
        <f>重み_前!E95</f>
        <v>0</v>
      </c>
      <c r="AK95" s="252"/>
      <c r="AL95" s="252">
        <f>重み_後!E95</f>
        <v>0</v>
      </c>
    </row>
    <row r="96" spans="2:38" ht="13.5" hidden="1">
      <c r="B96" s="1800"/>
      <c r="C96" s="1801"/>
      <c r="D96" s="1802"/>
      <c r="E96" s="1803"/>
      <c r="F96" s="1804"/>
      <c r="G96" s="1804"/>
      <c r="H96" s="1804"/>
      <c r="I96" s="1804"/>
      <c r="J96" s="1804"/>
      <c r="K96" s="1805"/>
      <c r="L96" s="397"/>
      <c r="M96" s="398">
        <f t="shared" si="28"/>
        <v>0</v>
      </c>
      <c r="N96" s="2461"/>
      <c r="O96" s="396">
        <f t="shared" si="29"/>
        <v>0</v>
      </c>
      <c r="P96" s="2460"/>
      <c r="Q96" s="399">
        <f t="shared" si="20"/>
        <v>0</v>
      </c>
      <c r="R96" s="397">
        <f t="shared" si="21"/>
        <v>0</v>
      </c>
      <c r="S96" s="2459"/>
      <c r="T96" s="398">
        <f t="shared" si="30"/>
        <v>0</v>
      </c>
      <c r="U96" s="2461"/>
      <c r="V96" s="396">
        <f t="shared" si="31"/>
        <v>0</v>
      </c>
      <c r="W96" s="2460"/>
      <c r="X96" s="399">
        <f t="shared" si="22"/>
        <v>0</v>
      </c>
      <c r="Y96" s="397">
        <f t="shared" si="23"/>
        <v>0</v>
      </c>
      <c r="Z96" s="222"/>
      <c r="AA96" s="282">
        <f>重み_前!M96</f>
        <v>0</v>
      </c>
      <c r="AB96" s="282">
        <f>重み_後!N96</f>
        <v>0</v>
      </c>
      <c r="AC96" s="252">
        <f>重み_前!D96</f>
        <v>0</v>
      </c>
      <c r="AD96" s="252"/>
      <c r="AE96" s="252">
        <f>重み_後!D96</f>
        <v>0</v>
      </c>
      <c r="AF96" s="252"/>
      <c r="AG96" s="252"/>
      <c r="AH96" s="253">
        <f>重み_前!N96</f>
        <v>0</v>
      </c>
      <c r="AI96" s="253">
        <f>重み_後!O96</f>
        <v>0</v>
      </c>
      <c r="AJ96" s="252">
        <f>重み_前!E96</f>
        <v>0</v>
      </c>
      <c r="AK96" s="252"/>
      <c r="AL96" s="252">
        <f>重み_後!E96</f>
        <v>0</v>
      </c>
    </row>
    <row r="97" spans="1:38" ht="13.5">
      <c r="B97" s="400">
        <v>3</v>
      </c>
      <c r="C97" s="401" t="s">
        <v>754</v>
      </c>
      <c r="D97" s="401"/>
      <c r="E97" s="401"/>
      <c r="F97" s="297" t="s">
        <v>755</v>
      </c>
      <c r="G97" s="297" t="s">
        <v>755</v>
      </c>
      <c r="H97" s="297" t="s">
        <v>756</v>
      </c>
      <c r="I97" s="344"/>
      <c r="J97" s="344"/>
      <c r="K97" s="345"/>
      <c r="L97" s="355" t="str">
        <f>IF(COUNTIF(L98:L108,$AA$3)&gt;=ROWS(L98:L108),$AA$3,"")</f>
        <v/>
      </c>
      <c r="M97" s="346"/>
      <c r="N97" s="402"/>
      <c r="O97" s="345"/>
      <c r="P97" s="402"/>
      <c r="Q97" s="327" t="str">
        <f t="shared" si="20"/>
        <v>EB</v>
      </c>
      <c r="R97" s="328" t="str">
        <f t="shared" si="21"/>
        <v>NC</v>
      </c>
      <c r="S97" s="355" t="str">
        <f>IF(COUNTIF(S98:S108,$AA$3)&gt;=ROWS(S98:S108),$AA$3,"")</f>
        <v/>
      </c>
      <c r="T97" s="346"/>
      <c r="U97" s="402"/>
      <c r="V97" s="345"/>
      <c r="W97" s="402"/>
      <c r="X97" s="327" t="str">
        <f t="shared" si="22"/>
        <v>EB</v>
      </c>
      <c r="Y97" s="328" t="str">
        <f t="shared" si="23"/>
        <v>NC</v>
      </c>
      <c r="Z97" s="222"/>
      <c r="AA97" s="282">
        <f>重み_前!M97</f>
        <v>0.3</v>
      </c>
      <c r="AB97" s="282">
        <f>重み_後!N97</f>
        <v>0.30000000000000004</v>
      </c>
      <c r="AC97" s="252">
        <f>重み_前!D97</f>
        <v>0.3</v>
      </c>
      <c r="AD97" s="252"/>
      <c r="AE97" s="252">
        <f>重み_後!D97</f>
        <v>0.30000000000000004</v>
      </c>
      <c r="AF97" s="252"/>
      <c r="AG97" s="252"/>
      <c r="AH97" s="253">
        <f>重み_前!N97</f>
        <v>1</v>
      </c>
      <c r="AI97" s="253">
        <f>重み_後!O97</f>
        <v>0</v>
      </c>
      <c r="AJ97" s="252">
        <f>重み_前!E97</f>
        <v>0</v>
      </c>
      <c r="AK97" s="252"/>
      <c r="AL97" s="252">
        <f>重み_後!E97</f>
        <v>0</v>
      </c>
    </row>
    <row r="98" spans="1:38" ht="14.25" thickBot="1">
      <c r="B98" s="348"/>
      <c r="C98" s="306">
        <v>3.1</v>
      </c>
      <c r="D98" s="343" t="s">
        <v>757</v>
      </c>
      <c r="E98" s="307"/>
      <c r="F98" s="297" t="s">
        <v>755</v>
      </c>
      <c r="G98" s="297" t="s">
        <v>755</v>
      </c>
      <c r="H98" s="297" t="s">
        <v>756</v>
      </c>
      <c r="I98" s="344"/>
      <c r="J98" s="344"/>
      <c r="K98" s="345"/>
      <c r="L98" s="309" t="str">
        <f>IF(COUNTIF(L99:L100,$AA$3)&gt;=ROWS(L99:L100),$AA$3,"")</f>
        <v/>
      </c>
      <c r="M98" s="346"/>
      <c r="N98" s="310"/>
      <c r="O98" s="345"/>
      <c r="P98" s="310"/>
      <c r="Q98" s="311" t="str">
        <f t="shared" si="20"/>
        <v>EB</v>
      </c>
      <c r="R98" s="312" t="str">
        <f t="shared" si="21"/>
        <v>NC</v>
      </c>
      <c r="S98" s="309" t="str">
        <f>IF(COUNTIF(S99:S100,$AA$3)&gt;=ROWS(S99:S100),$AA$3,"")</f>
        <v/>
      </c>
      <c r="T98" s="346"/>
      <c r="U98" s="310"/>
      <c r="V98" s="345"/>
      <c r="W98" s="310"/>
      <c r="X98" s="311" t="str">
        <f t="shared" si="22"/>
        <v>EB</v>
      </c>
      <c r="Y98" s="312" t="str">
        <f t="shared" si="23"/>
        <v>NC</v>
      </c>
      <c r="Z98" s="222"/>
      <c r="AA98" s="282">
        <f>重み_前!M98</f>
        <v>0.3</v>
      </c>
      <c r="AB98" s="282">
        <f>重み_後!N98</f>
        <v>0.29999999999999993</v>
      </c>
      <c r="AC98" s="252">
        <f>重み_前!D98</f>
        <v>0.3</v>
      </c>
      <c r="AD98" s="252"/>
      <c r="AE98" s="252">
        <f>重み_後!D98</f>
        <v>0.3</v>
      </c>
      <c r="AF98" s="252"/>
      <c r="AG98" s="252"/>
      <c r="AH98" s="253">
        <f>重み_前!N98</f>
        <v>0</v>
      </c>
      <c r="AI98" s="253">
        <f>重み_後!O98</f>
        <v>0</v>
      </c>
      <c r="AJ98" s="252">
        <f>重み_前!E98</f>
        <v>0</v>
      </c>
      <c r="AK98" s="252"/>
      <c r="AL98" s="252">
        <f>重み_後!E98</f>
        <v>0</v>
      </c>
    </row>
    <row r="99" spans="1:38" ht="13.5">
      <c r="B99" s="348"/>
      <c r="C99" s="347"/>
      <c r="D99" s="314">
        <v>1</v>
      </c>
      <c r="E99" s="334" t="s">
        <v>758</v>
      </c>
      <c r="F99" s="297" t="s">
        <v>759</v>
      </c>
      <c r="G99" s="297" t="s">
        <v>759</v>
      </c>
      <c r="H99" s="297" t="s">
        <v>637</v>
      </c>
      <c r="I99" s="297" t="s">
        <v>759</v>
      </c>
      <c r="J99" s="297" t="s">
        <v>759</v>
      </c>
      <c r="K99" s="315" t="s">
        <v>637</v>
      </c>
      <c r="L99" s="316"/>
      <c r="M99" s="317" t="str">
        <f>IF(L99=$AA$3,$I99,$J99)</f>
        <v>EB</v>
      </c>
      <c r="N99" s="2469">
        <v>3</v>
      </c>
      <c r="O99" s="2466" t="str">
        <f>IF(L99=$AA$3,$I99,$K99)</f>
        <v>NC</v>
      </c>
      <c r="P99" s="2469">
        <v>3</v>
      </c>
      <c r="Q99" s="2475" t="str">
        <f t="shared" si="20"/>
        <v>EB</v>
      </c>
      <c r="R99" s="2473" t="str">
        <f t="shared" si="21"/>
        <v>NC</v>
      </c>
      <c r="S99" s="2469"/>
      <c r="T99" s="2468" t="str">
        <f>IF(S99=$AA$3,$I99,$J99)</f>
        <v>EB</v>
      </c>
      <c r="U99" s="2469">
        <v>3</v>
      </c>
      <c r="V99" s="2466" t="str">
        <f>IF(S99=$AA$3,$I99,$K99)</f>
        <v>NC</v>
      </c>
      <c r="W99" s="2469">
        <v>3</v>
      </c>
      <c r="X99" s="319" t="str">
        <f t="shared" si="22"/>
        <v>EB</v>
      </c>
      <c r="Y99" s="316" t="str">
        <f t="shared" si="23"/>
        <v>NC</v>
      </c>
      <c r="Z99" s="222"/>
      <c r="AA99" s="282">
        <f>重み_前!M99</f>
        <v>0.6</v>
      </c>
      <c r="AB99" s="282">
        <f>重み_後!N99</f>
        <v>0.6</v>
      </c>
      <c r="AC99" s="252">
        <f>重み_前!D99</f>
        <v>0.6</v>
      </c>
      <c r="AD99" s="252"/>
      <c r="AE99" s="252">
        <f>重み_後!D99</f>
        <v>0.6</v>
      </c>
      <c r="AF99" s="252"/>
      <c r="AG99" s="252"/>
      <c r="AH99" s="253">
        <f>重み_前!N99</f>
        <v>0</v>
      </c>
      <c r="AI99" s="253">
        <f>重み_後!O99</f>
        <v>0</v>
      </c>
      <c r="AJ99" s="252">
        <f>重み_前!E99</f>
        <v>0</v>
      </c>
      <c r="AK99" s="252"/>
      <c r="AL99" s="252">
        <f>重み_後!E99</f>
        <v>0</v>
      </c>
    </row>
    <row r="100" spans="1:38" ht="13.5">
      <c r="B100" s="348"/>
      <c r="C100" s="347"/>
      <c r="D100" s="403">
        <v>2</v>
      </c>
      <c r="E100" s="307" t="s">
        <v>760</v>
      </c>
      <c r="F100" s="297" t="s">
        <v>759</v>
      </c>
      <c r="G100" s="297" t="s">
        <v>759</v>
      </c>
      <c r="H100" s="297" t="s">
        <v>637</v>
      </c>
      <c r="I100" s="297" t="s">
        <v>759</v>
      </c>
      <c r="J100" s="297" t="s">
        <v>759</v>
      </c>
      <c r="K100" s="315" t="s">
        <v>637</v>
      </c>
      <c r="L100" s="329"/>
      <c r="M100" s="317" t="str">
        <f>IF(L100=$AA$3,$I100,$J100)</f>
        <v>EB</v>
      </c>
      <c r="N100" s="2474">
        <v>3</v>
      </c>
      <c r="O100" s="2466" t="str">
        <f>IF(L100=$AA$3,$I100,$K100)</f>
        <v>NC</v>
      </c>
      <c r="P100" s="2474">
        <v>3</v>
      </c>
      <c r="Q100" s="2475" t="str">
        <f t="shared" si="20"/>
        <v>EB</v>
      </c>
      <c r="R100" s="2473" t="str">
        <f t="shared" si="21"/>
        <v>NC</v>
      </c>
      <c r="S100" s="2474"/>
      <c r="T100" s="2468" t="str">
        <f>IF(S100=$AA$3,$I100,$J100)</f>
        <v>EB</v>
      </c>
      <c r="U100" s="2474">
        <v>3</v>
      </c>
      <c r="V100" s="2466" t="str">
        <f>IF(S100=$AA$3,$I100,$K100)</f>
        <v>NC</v>
      </c>
      <c r="W100" s="2474">
        <v>3</v>
      </c>
      <c r="X100" s="330" t="str">
        <f t="shared" si="22"/>
        <v>EB</v>
      </c>
      <c r="Y100" s="330" t="str">
        <f t="shared" si="23"/>
        <v>NC</v>
      </c>
      <c r="Z100" s="222"/>
      <c r="AA100" s="282">
        <f>重み_前!M100</f>
        <v>0.4</v>
      </c>
      <c r="AB100" s="282">
        <f>重み_後!N100</f>
        <v>0.39999999999999997</v>
      </c>
      <c r="AC100" s="252">
        <f>重み_前!D100</f>
        <v>0.4</v>
      </c>
      <c r="AD100" s="252"/>
      <c r="AE100" s="252">
        <f>重み_後!D100</f>
        <v>0.39999999999999997</v>
      </c>
      <c r="AF100" s="252"/>
      <c r="AG100" s="252"/>
      <c r="AH100" s="253">
        <f>重み_前!N100</f>
        <v>0</v>
      </c>
      <c r="AI100" s="253">
        <f>重み_後!O100</f>
        <v>0</v>
      </c>
      <c r="AJ100" s="252">
        <f>重み_前!E100</f>
        <v>0</v>
      </c>
      <c r="AK100" s="252"/>
      <c r="AL100" s="252">
        <f>重み_後!E100</f>
        <v>0</v>
      </c>
    </row>
    <row r="101" spans="1:38" ht="14.25" thickBot="1">
      <c r="B101" s="348"/>
      <c r="C101" s="333">
        <v>3.2</v>
      </c>
      <c r="D101" s="404" t="s">
        <v>761</v>
      </c>
      <c r="E101" s="334"/>
      <c r="F101" s="297" t="s">
        <v>759</v>
      </c>
      <c r="G101" s="297" t="s">
        <v>759</v>
      </c>
      <c r="H101" s="297" t="s">
        <v>637</v>
      </c>
      <c r="I101" s="297" t="s">
        <v>759</v>
      </c>
      <c r="J101" s="297" t="s">
        <v>759</v>
      </c>
      <c r="K101" s="315" t="s">
        <v>637</v>
      </c>
      <c r="L101" s="322"/>
      <c r="M101" s="317" t="str">
        <f>IF(L101=$AA$3,$I101,$J101)</f>
        <v>EB</v>
      </c>
      <c r="N101" s="2476">
        <v>3</v>
      </c>
      <c r="O101" s="2466" t="str">
        <f>IF(L101=$AA$3,$I101,$K101)</f>
        <v>NC</v>
      </c>
      <c r="P101" s="2476">
        <v>3</v>
      </c>
      <c r="Q101" s="2475" t="str">
        <f t="shared" si="20"/>
        <v>EB</v>
      </c>
      <c r="R101" s="2473" t="str">
        <f t="shared" si="21"/>
        <v>NC</v>
      </c>
      <c r="S101" s="2471"/>
      <c r="T101" s="2468" t="str">
        <f>IF(S101=$AA$3,$I101,$J101)</f>
        <v>EB</v>
      </c>
      <c r="U101" s="2476">
        <v>3</v>
      </c>
      <c r="V101" s="2466" t="str">
        <f>IF(S101=$AA$3,$I101,$K101)</f>
        <v>NC</v>
      </c>
      <c r="W101" s="2476">
        <v>3</v>
      </c>
      <c r="X101" s="323" t="str">
        <f t="shared" si="22"/>
        <v>EB</v>
      </c>
      <c r="Y101" s="323" t="str">
        <f t="shared" si="23"/>
        <v>NC</v>
      </c>
      <c r="Z101" s="222"/>
      <c r="AA101" s="282">
        <f>重み_前!M101</f>
        <v>0.3</v>
      </c>
      <c r="AB101" s="282">
        <f>重み_後!N101</f>
        <v>0.29999999999999993</v>
      </c>
      <c r="AC101" s="252">
        <f>重み_前!D101</f>
        <v>0.3</v>
      </c>
      <c r="AD101" s="252"/>
      <c r="AE101" s="252">
        <f>重み_後!D101</f>
        <v>0.3</v>
      </c>
      <c r="AF101" s="252"/>
      <c r="AG101" s="252"/>
      <c r="AH101" s="253">
        <f>重み_前!N101</f>
        <v>0</v>
      </c>
      <c r="AI101" s="253">
        <f>重み_後!O101</f>
        <v>0</v>
      </c>
      <c r="AJ101" s="252">
        <f>重み_前!E101</f>
        <v>0</v>
      </c>
      <c r="AK101" s="252"/>
      <c r="AL101" s="252">
        <f>重み_後!E101</f>
        <v>0</v>
      </c>
    </row>
    <row r="102" spans="1:38" ht="14.25" thickBot="1">
      <c r="B102" s="348"/>
      <c r="C102" s="325">
        <v>3.3</v>
      </c>
      <c r="D102" s="343" t="s">
        <v>762</v>
      </c>
      <c r="E102" s="307"/>
      <c r="F102" s="297" t="s">
        <v>763</v>
      </c>
      <c r="G102" s="297" t="s">
        <v>763</v>
      </c>
      <c r="H102" s="297" t="s">
        <v>764</v>
      </c>
      <c r="I102" s="344"/>
      <c r="J102" s="344"/>
      <c r="K102" s="345"/>
      <c r="L102" s="309" t="str">
        <f>IF(COUNTIF(L103:L108,$AA$3)&gt;=ROWS(L103:L108),$AA$3,"")</f>
        <v/>
      </c>
      <c r="M102" s="346"/>
      <c r="N102" s="326"/>
      <c r="O102" s="345"/>
      <c r="P102" s="326"/>
      <c r="Q102" s="327" t="str">
        <f t="shared" si="20"/>
        <v>EB</v>
      </c>
      <c r="R102" s="328" t="str">
        <f t="shared" si="21"/>
        <v>NC</v>
      </c>
      <c r="S102" s="2489"/>
      <c r="T102" s="2468"/>
      <c r="U102" s="2494"/>
      <c r="V102" s="2466"/>
      <c r="W102" s="2494"/>
      <c r="X102" s="327" t="str">
        <f t="shared" si="22"/>
        <v>EB</v>
      </c>
      <c r="Y102" s="328" t="str">
        <f t="shared" si="23"/>
        <v>NC</v>
      </c>
      <c r="Z102" s="222"/>
      <c r="AA102" s="282">
        <f>重み_前!M102</f>
        <v>0.4</v>
      </c>
      <c r="AB102" s="282">
        <f>重み_後!N102</f>
        <v>0.39999999999999986</v>
      </c>
      <c r="AC102" s="252">
        <f>重み_前!D102</f>
        <v>0.4</v>
      </c>
      <c r="AD102" s="252"/>
      <c r="AE102" s="252">
        <f>重み_後!D102</f>
        <v>0.39999999999999997</v>
      </c>
      <c r="AF102" s="252"/>
      <c r="AG102" s="252"/>
      <c r="AH102" s="253">
        <f>重み_前!N102</f>
        <v>0</v>
      </c>
      <c r="AI102" s="253">
        <f>重み_後!O102</f>
        <v>0</v>
      </c>
      <c r="AJ102" s="252">
        <f>重み_前!E102</f>
        <v>0</v>
      </c>
      <c r="AK102" s="252"/>
      <c r="AL102" s="252">
        <f>重み_後!E102</f>
        <v>0</v>
      </c>
    </row>
    <row r="103" spans="1:38" ht="13.5">
      <c r="B103" s="348"/>
      <c r="C103" s="347"/>
      <c r="D103" s="314">
        <v>1</v>
      </c>
      <c r="E103" s="334" t="s">
        <v>765</v>
      </c>
      <c r="F103" s="297" t="s">
        <v>759</v>
      </c>
      <c r="G103" s="297" t="s">
        <v>759</v>
      </c>
      <c r="H103" s="297" t="s">
        <v>637</v>
      </c>
      <c r="I103" s="297" t="s">
        <v>759</v>
      </c>
      <c r="J103" s="297" t="s">
        <v>759</v>
      </c>
      <c r="K103" s="315" t="s">
        <v>637</v>
      </c>
      <c r="L103" s="316"/>
      <c r="M103" s="317" t="str">
        <f t="shared" ref="M103:M108" si="32">IF(L103=$AA$3,$I103,$J103)</f>
        <v>EB</v>
      </c>
      <c r="N103" s="2474">
        <v>3</v>
      </c>
      <c r="O103" s="2466" t="str">
        <f t="shared" ref="O103:O108" si="33">IF(L103=$AA$3,$I103,$K103)</f>
        <v>NC</v>
      </c>
      <c r="P103" s="2474">
        <v>3</v>
      </c>
      <c r="Q103" s="2475" t="str">
        <f t="shared" si="20"/>
        <v>EB</v>
      </c>
      <c r="R103" s="2473" t="str">
        <f t="shared" si="21"/>
        <v>NC</v>
      </c>
      <c r="S103" s="2489"/>
      <c r="T103" s="2468"/>
      <c r="U103" s="2494"/>
      <c r="V103" s="2466"/>
      <c r="W103" s="2494"/>
      <c r="X103" s="319" t="str">
        <f t="shared" si="22"/>
        <v>EB</v>
      </c>
      <c r="Y103" s="316" t="str">
        <f t="shared" si="23"/>
        <v>NC</v>
      </c>
      <c r="Z103" s="222"/>
      <c r="AA103" s="282">
        <f>重み_前!M103</f>
        <v>0.2</v>
      </c>
      <c r="AB103" s="282">
        <f>重み_後!N103</f>
        <v>0.2</v>
      </c>
      <c r="AC103" s="252">
        <f>重み_前!D103</f>
        <v>0.2</v>
      </c>
      <c r="AD103" s="252"/>
      <c r="AE103" s="252">
        <f>重み_後!D103</f>
        <v>0.2</v>
      </c>
      <c r="AF103" s="252"/>
      <c r="AG103" s="252"/>
      <c r="AH103" s="253">
        <f>重み_前!N103</f>
        <v>0</v>
      </c>
      <c r="AI103" s="253">
        <f>重み_後!O103</f>
        <v>0</v>
      </c>
      <c r="AJ103" s="252">
        <f>重み_前!E103</f>
        <v>0</v>
      </c>
      <c r="AK103" s="252"/>
      <c r="AL103" s="252">
        <f>重み_後!E103</f>
        <v>0</v>
      </c>
    </row>
    <row r="104" spans="1:38" ht="13.5">
      <c r="B104" s="348"/>
      <c r="C104" s="347"/>
      <c r="D104" s="403">
        <v>2</v>
      </c>
      <c r="E104" s="307" t="s">
        <v>766</v>
      </c>
      <c r="F104" s="297" t="s">
        <v>759</v>
      </c>
      <c r="G104" s="297" t="s">
        <v>759</v>
      </c>
      <c r="H104" s="297" t="s">
        <v>637</v>
      </c>
      <c r="I104" s="297" t="s">
        <v>759</v>
      </c>
      <c r="J104" s="297" t="s">
        <v>759</v>
      </c>
      <c r="K104" s="315" t="s">
        <v>637</v>
      </c>
      <c r="L104" s="329"/>
      <c r="M104" s="317" t="str">
        <f t="shared" si="32"/>
        <v>EB</v>
      </c>
      <c r="N104" s="2474">
        <v>3</v>
      </c>
      <c r="O104" s="2466" t="str">
        <f t="shared" si="33"/>
        <v>NC</v>
      </c>
      <c r="P104" s="2474">
        <v>3</v>
      </c>
      <c r="Q104" s="2475" t="str">
        <f t="shared" si="20"/>
        <v>EB</v>
      </c>
      <c r="R104" s="2473" t="str">
        <f t="shared" si="21"/>
        <v>NC</v>
      </c>
      <c r="S104" s="2489"/>
      <c r="T104" s="2468"/>
      <c r="U104" s="2494"/>
      <c r="V104" s="2466"/>
      <c r="W104" s="2494"/>
      <c r="X104" s="331" t="str">
        <f t="shared" si="22"/>
        <v>EB</v>
      </c>
      <c r="Y104" s="329" t="str">
        <f t="shared" si="23"/>
        <v>NC</v>
      </c>
      <c r="Z104" s="222"/>
      <c r="AA104" s="282">
        <f>重み_前!M104</f>
        <v>0.2</v>
      </c>
      <c r="AB104" s="282">
        <f>重み_後!N104</f>
        <v>0.2</v>
      </c>
      <c r="AC104" s="252">
        <f>重み_前!D104</f>
        <v>0.2</v>
      </c>
      <c r="AD104" s="252"/>
      <c r="AE104" s="252">
        <f>重み_後!D104</f>
        <v>0.2</v>
      </c>
      <c r="AF104" s="252"/>
      <c r="AG104" s="252"/>
      <c r="AH104" s="253">
        <f>重み_前!N104</f>
        <v>0</v>
      </c>
      <c r="AI104" s="253">
        <f>重み_後!O104</f>
        <v>0</v>
      </c>
      <c r="AJ104" s="252">
        <f>重み_前!E104</f>
        <v>0</v>
      </c>
      <c r="AK104" s="252"/>
      <c r="AL104" s="252">
        <f>重み_後!E104</f>
        <v>0</v>
      </c>
    </row>
    <row r="105" spans="1:38" ht="13.5">
      <c r="B105" s="348"/>
      <c r="C105" s="347"/>
      <c r="D105" s="314">
        <v>3</v>
      </c>
      <c r="E105" s="334" t="s">
        <v>767</v>
      </c>
      <c r="F105" s="297" t="s">
        <v>759</v>
      </c>
      <c r="G105" s="297" t="s">
        <v>759</v>
      </c>
      <c r="H105" s="297" t="s">
        <v>637</v>
      </c>
      <c r="I105" s="297" t="s">
        <v>759</v>
      </c>
      <c r="J105" s="297" t="s">
        <v>759</v>
      </c>
      <c r="K105" s="315" t="s">
        <v>637</v>
      </c>
      <c r="L105" s="329"/>
      <c r="M105" s="317" t="str">
        <f t="shared" si="32"/>
        <v>EB</v>
      </c>
      <c r="N105" s="2474">
        <v>3</v>
      </c>
      <c r="O105" s="2466" t="str">
        <f t="shared" si="33"/>
        <v>NC</v>
      </c>
      <c r="P105" s="2474">
        <v>3</v>
      </c>
      <c r="Q105" s="2475" t="str">
        <f t="shared" si="20"/>
        <v>EB</v>
      </c>
      <c r="R105" s="2473" t="str">
        <f t="shared" si="21"/>
        <v>NC</v>
      </c>
      <c r="S105" s="2489"/>
      <c r="T105" s="2468"/>
      <c r="U105" s="2494"/>
      <c r="V105" s="2466"/>
      <c r="W105" s="2494"/>
      <c r="X105" s="331" t="str">
        <f t="shared" si="22"/>
        <v>EB</v>
      </c>
      <c r="Y105" s="329" t="str">
        <f t="shared" si="23"/>
        <v>NC</v>
      </c>
      <c r="Z105" s="222"/>
      <c r="AA105" s="282">
        <f>重み_前!M105</f>
        <v>0.1</v>
      </c>
      <c r="AB105" s="282">
        <f>重み_後!N105</f>
        <v>0.1</v>
      </c>
      <c r="AC105" s="252">
        <f>重み_前!D105</f>
        <v>0.1</v>
      </c>
      <c r="AD105" s="252"/>
      <c r="AE105" s="252">
        <f>重み_後!D105</f>
        <v>0.1</v>
      </c>
      <c r="AF105" s="252"/>
      <c r="AG105" s="252"/>
      <c r="AH105" s="253">
        <f>重み_前!N105</f>
        <v>0</v>
      </c>
      <c r="AI105" s="253">
        <f>重み_後!O105</f>
        <v>0</v>
      </c>
      <c r="AJ105" s="252">
        <f>重み_前!E105</f>
        <v>0</v>
      </c>
      <c r="AK105" s="252"/>
      <c r="AL105" s="252">
        <f>重み_後!E105</f>
        <v>0</v>
      </c>
    </row>
    <row r="106" spans="1:38" ht="13.5">
      <c r="B106" s="348"/>
      <c r="C106" s="347"/>
      <c r="D106" s="403">
        <v>4</v>
      </c>
      <c r="E106" s="307" t="s">
        <v>768</v>
      </c>
      <c r="F106" s="297" t="s">
        <v>759</v>
      </c>
      <c r="G106" s="297" t="s">
        <v>759</v>
      </c>
      <c r="H106" s="297" t="s">
        <v>637</v>
      </c>
      <c r="I106" s="297" t="s">
        <v>759</v>
      </c>
      <c r="J106" s="297" t="s">
        <v>759</v>
      </c>
      <c r="K106" s="315" t="s">
        <v>637</v>
      </c>
      <c r="L106" s="329"/>
      <c r="M106" s="317" t="str">
        <f t="shared" si="32"/>
        <v>EB</v>
      </c>
      <c r="N106" s="2474">
        <v>3</v>
      </c>
      <c r="O106" s="2466" t="str">
        <f t="shared" si="33"/>
        <v>NC</v>
      </c>
      <c r="P106" s="2474">
        <v>3</v>
      </c>
      <c r="Q106" s="2475" t="str">
        <f t="shared" si="20"/>
        <v>EB</v>
      </c>
      <c r="R106" s="2473" t="str">
        <f t="shared" si="21"/>
        <v>NC</v>
      </c>
      <c r="S106" s="2489"/>
      <c r="T106" s="2468"/>
      <c r="U106" s="2494"/>
      <c r="V106" s="2466"/>
      <c r="W106" s="2494"/>
      <c r="X106" s="331" t="str">
        <f t="shared" si="22"/>
        <v>EB</v>
      </c>
      <c r="Y106" s="329" t="str">
        <f t="shared" si="23"/>
        <v>NC</v>
      </c>
      <c r="Z106" s="222"/>
      <c r="AA106" s="282">
        <f>重み_前!M106</f>
        <v>0.1</v>
      </c>
      <c r="AB106" s="282">
        <f>重み_後!N106</f>
        <v>0.1</v>
      </c>
      <c r="AC106" s="252">
        <f>重み_前!D106</f>
        <v>0.1</v>
      </c>
      <c r="AD106" s="252"/>
      <c r="AE106" s="252">
        <f>重み_後!D106</f>
        <v>0.1</v>
      </c>
      <c r="AF106" s="252"/>
      <c r="AG106" s="252"/>
      <c r="AH106" s="253">
        <f>重み_前!N106</f>
        <v>0</v>
      </c>
      <c r="AI106" s="253">
        <f>重み_後!O106</f>
        <v>0</v>
      </c>
      <c r="AJ106" s="252">
        <f>重み_前!E106</f>
        <v>0</v>
      </c>
      <c r="AK106" s="252"/>
      <c r="AL106" s="252">
        <f>重み_後!E106</f>
        <v>0</v>
      </c>
    </row>
    <row r="107" spans="1:38" ht="13.5">
      <c r="B107" s="348"/>
      <c r="C107" s="347"/>
      <c r="D107" s="314">
        <v>5</v>
      </c>
      <c r="E107" s="334" t="s">
        <v>769</v>
      </c>
      <c r="F107" s="297" t="s">
        <v>759</v>
      </c>
      <c r="G107" s="297" t="s">
        <v>759</v>
      </c>
      <c r="H107" s="297" t="s">
        <v>637</v>
      </c>
      <c r="I107" s="297" t="s">
        <v>759</v>
      </c>
      <c r="J107" s="297" t="s">
        <v>759</v>
      </c>
      <c r="K107" s="315" t="s">
        <v>637</v>
      </c>
      <c r="L107" s="329"/>
      <c r="M107" s="317" t="str">
        <f t="shared" si="32"/>
        <v>EB</v>
      </c>
      <c r="N107" s="2474">
        <v>3</v>
      </c>
      <c r="O107" s="2466" t="str">
        <f t="shared" si="33"/>
        <v>NC</v>
      </c>
      <c r="P107" s="2474">
        <v>3</v>
      </c>
      <c r="Q107" s="2475" t="str">
        <f t="shared" si="20"/>
        <v>EB</v>
      </c>
      <c r="R107" s="2473" t="str">
        <f t="shared" si="21"/>
        <v>NC</v>
      </c>
      <c r="S107" s="2489"/>
      <c r="T107" s="2468"/>
      <c r="U107" s="2494"/>
      <c r="V107" s="2466"/>
      <c r="W107" s="2494"/>
      <c r="X107" s="331" t="str">
        <f t="shared" si="22"/>
        <v>EB</v>
      </c>
      <c r="Y107" s="329" t="str">
        <f t="shared" si="23"/>
        <v>NC</v>
      </c>
      <c r="Z107" s="222"/>
      <c r="AA107" s="282">
        <f>重み_前!M107</f>
        <v>0.2</v>
      </c>
      <c r="AB107" s="282">
        <f>重み_後!N107</f>
        <v>0.2</v>
      </c>
      <c r="AC107" s="252">
        <f>重み_前!D107</f>
        <v>0.2</v>
      </c>
      <c r="AD107" s="252"/>
      <c r="AE107" s="252">
        <f>重み_後!D107</f>
        <v>0.2</v>
      </c>
      <c r="AF107" s="252"/>
      <c r="AG107" s="252"/>
      <c r="AH107" s="253">
        <f>重み_前!N107</f>
        <v>0</v>
      </c>
      <c r="AI107" s="253">
        <f>重み_後!O107</f>
        <v>0</v>
      </c>
      <c r="AJ107" s="252">
        <f>重み_前!E107</f>
        <v>0</v>
      </c>
      <c r="AK107" s="252"/>
      <c r="AL107" s="252">
        <f>重み_後!E107</f>
        <v>0</v>
      </c>
    </row>
    <row r="108" spans="1:38" ht="14.25" thickBot="1">
      <c r="B108" s="363"/>
      <c r="C108" s="405"/>
      <c r="D108" s="365">
        <v>6</v>
      </c>
      <c r="E108" s="366" t="s">
        <v>770</v>
      </c>
      <c r="F108" s="297" t="s">
        <v>759</v>
      </c>
      <c r="G108" s="297" t="s">
        <v>759</v>
      </c>
      <c r="H108" s="297" t="s">
        <v>637</v>
      </c>
      <c r="I108" s="297" t="s">
        <v>759</v>
      </c>
      <c r="J108" s="297" t="s">
        <v>759</v>
      </c>
      <c r="K108" s="315" t="s">
        <v>637</v>
      </c>
      <c r="L108" s="2473"/>
      <c r="M108" s="406" t="str">
        <f t="shared" si="32"/>
        <v>EB</v>
      </c>
      <c r="N108" s="2474">
        <v>3</v>
      </c>
      <c r="O108" s="407" t="str">
        <f t="shared" si="33"/>
        <v>NC</v>
      </c>
      <c r="P108" s="2474">
        <v>3</v>
      </c>
      <c r="Q108" s="2475" t="str">
        <f t="shared" si="20"/>
        <v>EB</v>
      </c>
      <c r="R108" s="2473" t="str">
        <f t="shared" si="21"/>
        <v>NC</v>
      </c>
      <c r="S108" s="2489"/>
      <c r="T108" s="2468"/>
      <c r="U108" s="2494"/>
      <c r="V108" s="2466"/>
      <c r="W108" s="2494"/>
      <c r="X108" s="324" t="str">
        <f t="shared" si="22"/>
        <v>EB</v>
      </c>
      <c r="Y108" s="322" t="str">
        <f t="shared" si="23"/>
        <v>NC</v>
      </c>
      <c r="Z108" s="222"/>
      <c r="AA108" s="282">
        <f>重み_前!M108</f>
        <v>0.2</v>
      </c>
      <c r="AB108" s="282">
        <f>重み_後!N108</f>
        <v>0.2</v>
      </c>
      <c r="AC108" s="252">
        <f>重み_前!D108</f>
        <v>0.2</v>
      </c>
      <c r="AD108" s="252"/>
      <c r="AE108" s="252">
        <f>重み_後!D108</f>
        <v>0.2</v>
      </c>
      <c r="AF108" s="252"/>
      <c r="AG108" s="252"/>
      <c r="AH108" s="253">
        <f>重み_前!N108</f>
        <v>0</v>
      </c>
      <c r="AI108" s="253">
        <f>重み_後!O108</f>
        <v>0</v>
      </c>
      <c r="AJ108" s="252">
        <f>重み_前!E108</f>
        <v>0</v>
      </c>
      <c r="AK108" s="252"/>
      <c r="AL108" s="252">
        <f>重み_後!E108</f>
        <v>0</v>
      </c>
    </row>
    <row r="109" spans="1:38" ht="14.25" thickBot="1">
      <c r="A109" s="408"/>
      <c r="B109" s="369" t="s">
        <v>771</v>
      </c>
      <c r="C109" s="409" t="s">
        <v>772</v>
      </c>
      <c r="D109" s="409"/>
      <c r="E109" s="409"/>
      <c r="F109" s="371"/>
      <c r="G109" s="371"/>
      <c r="H109" s="371"/>
      <c r="I109" s="371"/>
      <c r="J109" s="371"/>
      <c r="K109" s="372"/>
      <c r="L109" s="2478"/>
      <c r="M109" s="2478"/>
      <c r="N109" s="2483"/>
      <c r="O109" s="2477"/>
      <c r="P109" s="2483"/>
      <c r="Q109" s="2480"/>
      <c r="R109" s="2478"/>
      <c r="S109" s="2478"/>
      <c r="T109" s="2478"/>
      <c r="U109" s="2462"/>
      <c r="V109" s="2477"/>
      <c r="W109" s="2462"/>
      <c r="X109" s="375"/>
      <c r="Y109" s="373"/>
      <c r="Z109" s="222"/>
      <c r="AA109" s="282">
        <f>重み_前!M109</f>
        <v>0.3</v>
      </c>
      <c r="AB109" s="282">
        <f>重み_後!N109</f>
        <v>0.3</v>
      </c>
      <c r="AC109" s="252">
        <f>重み_前!D109</f>
        <v>0.3</v>
      </c>
      <c r="AD109" s="252"/>
      <c r="AE109" s="252">
        <f>重み_後!D109</f>
        <v>0.3</v>
      </c>
      <c r="AF109" s="252"/>
      <c r="AG109" s="252"/>
      <c r="AH109" s="253">
        <f>重み_前!N109</f>
        <v>0</v>
      </c>
      <c r="AI109" s="253">
        <f>重み_後!O109</f>
        <v>0</v>
      </c>
      <c r="AJ109" s="252">
        <f>重み_前!E109</f>
        <v>0</v>
      </c>
      <c r="AK109" s="252"/>
      <c r="AL109" s="252">
        <f>重み_後!E109</f>
        <v>0</v>
      </c>
    </row>
    <row r="110" spans="1:38" ht="13.5">
      <c r="A110" s="408"/>
      <c r="B110" s="293">
        <v>1</v>
      </c>
      <c r="C110" s="377" t="s">
        <v>773</v>
      </c>
      <c r="D110" s="84"/>
      <c r="E110" s="411"/>
      <c r="F110" s="297" t="s">
        <v>759</v>
      </c>
      <c r="G110" s="297" t="s">
        <v>759</v>
      </c>
      <c r="H110" s="297" t="s">
        <v>635</v>
      </c>
      <c r="I110" s="297" t="s">
        <v>759</v>
      </c>
      <c r="J110" s="297" t="s">
        <v>759</v>
      </c>
      <c r="K110" s="315" t="s">
        <v>637</v>
      </c>
      <c r="L110" s="318"/>
      <c r="M110" s="317" t="str">
        <f>IF(L110=$AA$3,$I110,$J110)</f>
        <v>EB</v>
      </c>
      <c r="N110" s="2485">
        <v>3</v>
      </c>
      <c r="O110" s="2466" t="str">
        <f>IF(L110=$AA$3,$I110,$K110)</f>
        <v>NC</v>
      </c>
      <c r="P110" s="2485">
        <v>3</v>
      </c>
      <c r="Q110" s="2475" t="str">
        <f t="shared" ref="Q110:Q115" si="34">IF(L110=$AA$3,$F110,$G110)</f>
        <v>EB</v>
      </c>
      <c r="R110" s="2473" t="str">
        <f t="shared" ref="R110:R115" si="35">IF(L110=$AA$3,$F110,$H110)</f>
        <v>NC</v>
      </c>
      <c r="S110" s="2489"/>
      <c r="T110" s="2468"/>
      <c r="U110" s="2494"/>
      <c r="V110" s="2466"/>
      <c r="W110" s="2494"/>
      <c r="X110" s="318" t="str">
        <f t="shared" ref="X110:X115" si="36">IF(S110=$AA$3,$F110,$G110)</f>
        <v>EB</v>
      </c>
      <c r="Y110" s="318" t="str">
        <f t="shared" ref="Y110:Y115" si="37">IF(S110=$AA$3,$F110,$H110)</f>
        <v>NC</v>
      </c>
      <c r="Z110" s="222"/>
      <c r="AA110" s="282">
        <f>重み_前!M110</f>
        <v>0.3</v>
      </c>
      <c r="AB110" s="282">
        <f>重み_後!N110</f>
        <v>0.3</v>
      </c>
      <c r="AC110" s="252">
        <f>重み_前!D110</f>
        <v>0.3</v>
      </c>
      <c r="AD110" s="252"/>
      <c r="AE110" s="252">
        <f>重み_後!D110</f>
        <v>0.3</v>
      </c>
      <c r="AF110" s="252"/>
      <c r="AG110" s="252"/>
      <c r="AH110" s="253">
        <f>重み_前!N110</f>
        <v>0</v>
      </c>
      <c r="AI110" s="253">
        <f>重み_後!O110</f>
        <v>0</v>
      </c>
      <c r="AJ110" s="252">
        <f>重み_前!E110</f>
        <v>0</v>
      </c>
      <c r="AK110" s="252"/>
      <c r="AL110" s="252">
        <f>重み_後!E110</f>
        <v>0</v>
      </c>
    </row>
    <row r="111" spans="1:38" ht="14.25" thickBot="1">
      <c r="A111" s="408"/>
      <c r="B111" s="413">
        <v>2</v>
      </c>
      <c r="C111" s="414" t="s">
        <v>774</v>
      </c>
      <c r="D111" s="334"/>
      <c r="E111" s="334"/>
      <c r="F111" s="297" t="s">
        <v>759</v>
      </c>
      <c r="G111" s="297" t="s">
        <v>759</v>
      </c>
      <c r="H111" s="297" t="s">
        <v>637</v>
      </c>
      <c r="I111" s="297" t="s">
        <v>759</v>
      </c>
      <c r="J111" s="297" t="s">
        <v>759</v>
      </c>
      <c r="K111" s="315" t="s">
        <v>637</v>
      </c>
      <c r="L111" s="323"/>
      <c r="M111" s="317" t="str">
        <f>IF(L111=$AA$3,$I111,$J111)</f>
        <v>EB</v>
      </c>
      <c r="N111" s="2476">
        <v>3</v>
      </c>
      <c r="O111" s="2466" t="str">
        <f>IF(L111=$AA$3,$I111,$K111)</f>
        <v>NC</v>
      </c>
      <c r="P111" s="2476">
        <v>3</v>
      </c>
      <c r="Q111" s="2475" t="str">
        <f t="shared" si="34"/>
        <v>EB</v>
      </c>
      <c r="R111" s="2473" t="str">
        <f t="shared" si="35"/>
        <v>NC</v>
      </c>
      <c r="S111" s="2489"/>
      <c r="T111" s="2468"/>
      <c r="U111" s="2494"/>
      <c r="V111" s="2466"/>
      <c r="W111" s="2494"/>
      <c r="X111" s="323" t="str">
        <f t="shared" si="36"/>
        <v>EB</v>
      </c>
      <c r="Y111" s="323" t="str">
        <f t="shared" si="37"/>
        <v>NC</v>
      </c>
      <c r="Z111" s="222"/>
      <c r="AA111" s="282">
        <f>重み_前!M111</f>
        <v>0.4</v>
      </c>
      <c r="AB111" s="282">
        <f>重み_後!N111</f>
        <v>0.39999999999999997</v>
      </c>
      <c r="AC111" s="252">
        <f>重み_前!D111</f>
        <v>0.4</v>
      </c>
      <c r="AD111" s="252"/>
      <c r="AE111" s="252">
        <f>重み_後!D111</f>
        <v>0.39999999999999997</v>
      </c>
      <c r="AF111" s="252"/>
      <c r="AG111" s="252"/>
      <c r="AH111" s="253">
        <f>重み_前!N111</f>
        <v>0</v>
      </c>
      <c r="AI111" s="253">
        <f>重み_後!O111</f>
        <v>0</v>
      </c>
      <c r="AJ111" s="252">
        <f>重み_前!E111</f>
        <v>0</v>
      </c>
      <c r="AK111" s="252"/>
      <c r="AL111" s="252">
        <f>重み_後!E111</f>
        <v>0</v>
      </c>
    </row>
    <row r="112" spans="1:38" ht="14.25" thickBot="1">
      <c r="A112" s="408"/>
      <c r="B112" s="400">
        <v>3</v>
      </c>
      <c r="C112" s="415" t="s">
        <v>775</v>
      </c>
      <c r="D112" s="308"/>
      <c r="E112" s="308"/>
      <c r="F112" s="297" t="s">
        <v>776</v>
      </c>
      <c r="G112" s="297" t="s">
        <v>776</v>
      </c>
      <c r="H112" s="297" t="s">
        <v>777</v>
      </c>
      <c r="I112" s="344"/>
      <c r="J112" s="344"/>
      <c r="K112" s="345"/>
      <c r="L112" s="312" t="str">
        <f>IF(COUNTIF(L113:L114,$AA$3)&gt;=ROWS(L113:L114),$AA$3,"")</f>
        <v/>
      </c>
      <c r="M112" s="346"/>
      <c r="N112" s="330"/>
      <c r="O112" s="315"/>
      <c r="P112" s="330"/>
      <c r="Q112" s="327" t="str">
        <f t="shared" si="34"/>
        <v>EB</v>
      </c>
      <c r="R112" s="328" t="str">
        <f t="shared" si="35"/>
        <v>NC</v>
      </c>
      <c r="S112" s="454"/>
      <c r="T112" s="317"/>
      <c r="U112" s="2488"/>
      <c r="V112" s="315"/>
      <c r="W112" s="2488"/>
      <c r="X112" s="327" t="str">
        <f t="shared" si="36"/>
        <v>EB</v>
      </c>
      <c r="Y112" s="328" t="str">
        <f t="shared" si="37"/>
        <v>NC</v>
      </c>
      <c r="Z112" s="222"/>
      <c r="AA112" s="282">
        <f>重み_前!M112</f>
        <v>0.3</v>
      </c>
      <c r="AB112" s="282">
        <f>重み_後!N112</f>
        <v>0.3</v>
      </c>
      <c r="AC112" s="252">
        <f>重み_前!D112</f>
        <v>0.3</v>
      </c>
      <c r="AD112" s="252"/>
      <c r="AE112" s="252">
        <f>重み_後!D112</f>
        <v>0.3</v>
      </c>
      <c r="AF112" s="252"/>
      <c r="AG112" s="252"/>
      <c r="AH112" s="253">
        <f>重み_前!N112</f>
        <v>0</v>
      </c>
      <c r="AI112" s="253">
        <f>重み_後!O112</f>
        <v>0</v>
      </c>
      <c r="AJ112" s="252">
        <f>重み_前!E112</f>
        <v>0</v>
      </c>
      <c r="AK112" s="252"/>
      <c r="AL112" s="252">
        <f>重み_後!E112</f>
        <v>0</v>
      </c>
    </row>
    <row r="113" spans="1:38" ht="13.5">
      <c r="A113" s="408"/>
      <c r="B113" s="293"/>
      <c r="C113" s="416">
        <v>3.1</v>
      </c>
      <c r="D113" s="417" t="s">
        <v>778</v>
      </c>
      <c r="E113" s="418"/>
      <c r="F113" s="297" t="s">
        <v>759</v>
      </c>
      <c r="G113" s="297" t="s">
        <v>759</v>
      </c>
      <c r="H113" s="297" t="s">
        <v>635</v>
      </c>
      <c r="I113" s="297" t="s">
        <v>759</v>
      </c>
      <c r="J113" s="297" t="s">
        <v>759</v>
      </c>
      <c r="K113" s="315" t="s">
        <v>637</v>
      </c>
      <c r="L113" s="316"/>
      <c r="M113" s="317" t="str">
        <f>IF(L113=$AA$3,$I113,$J113)</f>
        <v>EB</v>
      </c>
      <c r="N113" s="2485">
        <v>3</v>
      </c>
      <c r="O113" s="2466" t="str">
        <f>IF(L113=$AA$3,$I113,$K113)</f>
        <v>NC</v>
      </c>
      <c r="P113" s="2485">
        <v>3</v>
      </c>
      <c r="Q113" s="319" t="str">
        <f t="shared" si="34"/>
        <v>EB</v>
      </c>
      <c r="R113" s="316" t="str">
        <f t="shared" si="35"/>
        <v>NC</v>
      </c>
      <c r="S113" s="454"/>
      <c r="T113" s="317"/>
      <c r="U113" s="2114"/>
      <c r="V113" s="315"/>
      <c r="W113" s="2114"/>
      <c r="X113" s="319" t="str">
        <f t="shared" si="36"/>
        <v>EB</v>
      </c>
      <c r="Y113" s="316" t="str">
        <f t="shared" si="37"/>
        <v>NC</v>
      </c>
      <c r="Z113" s="222"/>
      <c r="AA113" s="282">
        <f>重み_前!M113</f>
        <v>0.5</v>
      </c>
      <c r="AB113" s="282">
        <f>重み_後!N113</f>
        <v>0.5</v>
      </c>
      <c r="AC113" s="252">
        <f>重み_前!D113</f>
        <v>0.5</v>
      </c>
      <c r="AD113" s="252"/>
      <c r="AE113" s="252">
        <f>重み_後!D113</f>
        <v>0.5</v>
      </c>
      <c r="AF113" s="252"/>
      <c r="AG113" s="252"/>
      <c r="AH113" s="253">
        <f>重み_前!N113</f>
        <v>0</v>
      </c>
      <c r="AI113" s="253">
        <f>重み_後!O113</f>
        <v>0</v>
      </c>
      <c r="AJ113" s="252">
        <f>重み_前!E113</f>
        <v>0</v>
      </c>
      <c r="AK113" s="252"/>
      <c r="AL113" s="252">
        <f>重み_後!E113</f>
        <v>0</v>
      </c>
    </row>
    <row r="114" spans="1:38" ht="14.25" thickBot="1">
      <c r="A114" s="408"/>
      <c r="B114" s="293"/>
      <c r="C114" s="419">
        <v>3.2</v>
      </c>
      <c r="D114" s="404" t="s">
        <v>779</v>
      </c>
      <c r="E114" s="420"/>
      <c r="F114" s="297" t="s">
        <v>759</v>
      </c>
      <c r="G114" s="297" t="s">
        <v>759</v>
      </c>
      <c r="H114" s="297" t="s">
        <v>637</v>
      </c>
      <c r="I114" s="297" t="s">
        <v>759</v>
      </c>
      <c r="J114" s="297" t="s">
        <v>759</v>
      </c>
      <c r="K114" s="315" t="s">
        <v>637</v>
      </c>
      <c r="L114" s="322"/>
      <c r="M114" s="367" t="str">
        <f>IF(L114=$AA$3,$I114,$J114)</f>
        <v>EB</v>
      </c>
      <c r="N114" s="2476">
        <v>3</v>
      </c>
      <c r="O114" s="2466" t="str">
        <f>IF(L114=$AA$3,$I114,$K114)</f>
        <v>NC</v>
      </c>
      <c r="P114" s="2476">
        <v>3</v>
      </c>
      <c r="Q114" s="324" t="str">
        <f t="shared" si="34"/>
        <v>EB</v>
      </c>
      <c r="R114" s="322" t="str">
        <f t="shared" si="35"/>
        <v>NC</v>
      </c>
      <c r="S114" s="454"/>
      <c r="T114" s="367"/>
      <c r="U114" s="310"/>
      <c r="V114" s="368"/>
      <c r="W114" s="310"/>
      <c r="X114" s="324" t="str">
        <f t="shared" si="36"/>
        <v>EB</v>
      </c>
      <c r="Y114" s="322" t="str">
        <f t="shared" si="37"/>
        <v>NC</v>
      </c>
      <c r="Z114" s="222"/>
      <c r="AA114" s="282">
        <f>重み_前!M114</f>
        <v>0.5</v>
      </c>
      <c r="AB114" s="282">
        <f>重み_後!N114</f>
        <v>0.5</v>
      </c>
      <c r="AC114" s="252">
        <f>重み_前!D114</f>
        <v>0.5</v>
      </c>
      <c r="AD114" s="252"/>
      <c r="AE114" s="252">
        <f>重み_後!D114</f>
        <v>0.5</v>
      </c>
      <c r="AF114" s="252"/>
      <c r="AG114" s="252"/>
      <c r="AH114" s="253">
        <f>重み_前!N114</f>
        <v>0</v>
      </c>
      <c r="AI114" s="253">
        <f>重み_後!O114</f>
        <v>0</v>
      </c>
      <c r="AJ114" s="252">
        <f>重み_前!E114</f>
        <v>0</v>
      </c>
      <c r="AK114" s="252"/>
      <c r="AL114" s="252">
        <f>重み_後!E114</f>
        <v>0</v>
      </c>
    </row>
    <row r="115" spans="1:38" ht="14.25" hidden="1" thickBot="1">
      <c r="A115" s="408"/>
      <c r="B115" s="1806"/>
      <c r="C115" s="1807"/>
      <c r="D115" s="1808"/>
      <c r="E115" s="1809"/>
      <c r="F115" s="1810"/>
      <c r="G115" s="1810"/>
      <c r="H115" s="1810"/>
      <c r="I115" s="1810"/>
      <c r="J115" s="1810"/>
      <c r="K115" s="1811"/>
      <c r="L115" s="422"/>
      <c r="M115" s="423">
        <f>IF(L115=$AA$3,$I115,$J115)</f>
        <v>0</v>
      </c>
      <c r="N115" s="2491"/>
      <c r="O115" s="2458">
        <f>IF(L115=$AA$3,$I115,$K115)</f>
        <v>0</v>
      </c>
      <c r="P115" s="2491"/>
      <c r="Q115" s="425">
        <f t="shared" si="34"/>
        <v>0</v>
      </c>
      <c r="R115" s="422">
        <f t="shared" si="35"/>
        <v>0</v>
      </c>
      <c r="S115" s="426"/>
      <c r="T115" s="423"/>
      <c r="U115" s="427"/>
      <c r="V115" s="421"/>
      <c r="W115" s="427"/>
      <c r="X115" s="425">
        <f t="shared" si="36"/>
        <v>0</v>
      </c>
      <c r="Y115" s="422">
        <f t="shared" si="37"/>
        <v>0</v>
      </c>
      <c r="Z115" s="222"/>
      <c r="AA115" s="282">
        <f>重み_前!M115</f>
        <v>0</v>
      </c>
      <c r="AB115" s="282">
        <f>重み_後!N115</f>
        <v>0</v>
      </c>
      <c r="AC115" s="252">
        <f>重み_前!D115</f>
        <v>0</v>
      </c>
      <c r="AD115" s="252"/>
      <c r="AE115" s="252">
        <f>重み_後!D115</f>
        <v>0</v>
      </c>
      <c r="AF115" s="252"/>
      <c r="AG115" s="252"/>
      <c r="AH115" s="253">
        <f>重み_前!N115</f>
        <v>0</v>
      </c>
      <c r="AI115" s="253">
        <f>重み_後!O115</f>
        <v>0</v>
      </c>
      <c r="AJ115" s="252">
        <f>重み_前!E115</f>
        <v>0</v>
      </c>
      <c r="AK115" s="252"/>
      <c r="AL115" s="252">
        <f>重み_後!E115</f>
        <v>0</v>
      </c>
    </row>
    <row r="116" spans="1:38" ht="15" thickBot="1">
      <c r="A116" s="408"/>
      <c r="B116" s="428" t="s">
        <v>780</v>
      </c>
      <c r="C116" s="429"/>
      <c r="D116" s="429"/>
      <c r="E116" s="429"/>
      <c r="F116" s="431"/>
      <c r="G116" s="431"/>
      <c r="H116" s="431"/>
      <c r="I116" s="431"/>
      <c r="J116" s="431"/>
      <c r="K116" s="430"/>
      <c r="L116" s="2457"/>
      <c r="M116" s="2456"/>
      <c r="N116" s="2455"/>
      <c r="O116" s="2456"/>
      <c r="P116" s="2455"/>
      <c r="Q116" s="2493"/>
      <c r="R116" s="2492"/>
      <c r="S116" s="2454"/>
      <c r="T116" s="2456"/>
      <c r="U116" s="2455"/>
      <c r="V116" s="2456"/>
      <c r="W116" s="2455"/>
      <c r="X116" s="432"/>
      <c r="Y116" s="433"/>
      <c r="Z116" s="222"/>
      <c r="AA116" s="282">
        <f>重み_前!M116</f>
        <v>0</v>
      </c>
      <c r="AB116" s="282">
        <f>重み_後!N116</f>
        <v>0</v>
      </c>
      <c r="AC116" s="252">
        <f>重み_前!D116</f>
        <v>0</v>
      </c>
      <c r="AD116" s="252"/>
      <c r="AE116" s="252">
        <f>重み_後!D116</f>
        <v>0</v>
      </c>
      <c r="AF116" s="252"/>
      <c r="AG116" s="252"/>
      <c r="AH116" s="253">
        <f>重み_前!N116</f>
        <v>0</v>
      </c>
      <c r="AI116" s="253">
        <f>重み_後!O116</f>
        <v>0</v>
      </c>
      <c r="AJ116" s="252">
        <f>重み_前!E116</f>
        <v>0</v>
      </c>
      <c r="AK116" s="252"/>
      <c r="AL116" s="252">
        <f>重み_後!E116</f>
        <v>0</v>
      </c>
    </row>
    <row r="117" spans="1:38" ht="14.25" thickBot="1">
      <c r="A117" s="408"/>
      <c r="B117" s="434" t="s">
        <v>781</v>
      </c>
      <c r="C117" s="284" t="s">
        <v>782</v>
      </c>
      <c r="D117" s="284"/>
      <c r="E117" s="284"/>
      <c r="F117" s="288"/>
      <c r="G117" s="288"/>
      <c r="H117" s="288"/>
      <c r="I117" s="288"/>
      <c r="J117" s="288"/>
      <c r="K117" s="286"/>
      <c r="L117" s="435"/>
      <c r="M117" s="291"/>
      <c r="N117" s="290"/>
      <c r="O117" s="436"/>
      <c r="P117" s="290"/>
      <c r="Q117" s="437"/>
      <c r="R117" s="438"/>
      <c r="S117" s="439"/>
      <c r="T117" s="291"/>
      <c r="U117" s="290"/>
      <c r="V117" s="436"/>
      <c r="W117" s="290"/>
      <c r="X117" s="437"/>
      <c r="Y117" s="438"/>
      <c r="Z117" s="222"/>
      <c r="AA117" s="282">
        <f>重み_前!M117</f>
        <v>0.4</v>
      </c>
      <c r="AB117" s="282">
        <f>重み_後!N117</f>
        <v>0.39999999999999997</v>
      </c>
      <c r="AC117" s="252">
        <f>重み_前!D117</f>
        <v>0.4</v>
      </c>
      <c r="AD117" s="252"/>
      <c r="AE117" s="252">
        <f>重み_後!D117</f>
        <v>0.39999999999999997</v>
      </c>
      <c r="AF117" s="252"/>
      <c r="AG117" s="252"/>
      <c r="AH117" s="253">
        <f>重み_前!N117</f>
        <v>0</v>
      </c>
      <c r="AI117" s="253">
        <f>重み_後!O117</f>
        <v>0</v>
      </c>
      <c r="AJ117" s="252">
        <f>重み_前!E117</f>
        <v>0</v>
      </c>
      <c r="AK117" s="252"/>
      <c r="AL117" s="252">
        <f>重み_後!E117</f>
        <v>0</v>
      </c>
    </row>
    <row r="118" spans="1:38" ht="14.25" thickBot="1">
      <c r="A118" s="408"/>
      <c r="B118" s="293">
        <v>1</v>
      </c>
      <c r="C118" s="295" t="s">
        <v>1570</v>
      </c>
      <c r="D118" s="295"/>
      <c r="E118" s="295"/>
      <c r="F118" s="297" t="s">
        <v>759</v>
      </c>
      <c r="G118" s="297" t="s">
        <v>759</v>
      </c>
      <c r="H118" s="297" t="s">
        <v>637</v>
      </c>
      <c r="I118" s="297" t="s">
        <v>759</v>
      </c>
      <c r="J118" s="297" t="s">
        <v>759</v>
      </c>
      <c r="K118" s="315" t="s">
        <v>637</v>
      </c>
      <c r="L118" s="441"/>
      <c r="M118" s="315" t="str">
        <f t="shared" ref="M118:M123" si="38">IF(L118=$AA$3,$I118,$J118)</f>
        <v>EB</v>
      </c>
      <c r="N118" s="2114"/>
      <c r="O118" s="442" t="str">
        <f t="shared" ref="O118:O123" si="39">IF(L118=$AA$3,$I118,$K118)</f>
        <v>NC</v>
      </c>
      <c r="P118" s="2114"/>
      <c r="Q118" s="443" t="str">
        <f t="shared" ref="Q118:Q136" si="40">IF(L118=$AA$3,$F118,$G118)</f>
        <v>EB</v>
      </c>
      <c r="R118" s="444" t="str">
        <f t="shared" ref="R118:R136" si="41">IF(L118=$AA$3,$F118,$H118)</f>
        <v>NC</v>
      </c>
      <c r="S118" s="454"/>
      <c r="T118" s="317"/>
      <c r="U118" s="2114"/>
      <c r="V118" s="315"/>
      <c r="W118" s="2114"/>
      <c r="X118" s="443" t="str">
        <f t="shared" ref="X118:X136" si="42">IF(S118=$AA$3,$F118,$G118)</f>
        <v>EB</v>
      </c>
      <c r="Y118" s="444" t="str">
        <f t="shared" ref="Y118:Y136" si="43">IF(S118=$AA$3,$F118,$H118)</f>
        <v>NC</v>
      </c>
      <c r="Z118" s="222"/>
      <c r="AA118" s="282">
        <f>重み_前!M118</f>
        <v>0.2</v>
      </c>
      <c r="AB118" s="282">
        <f>重み_後!N118</f>
        <v>0.19999999999999998</v>
      </c>
      <c r="AC118" s="252">
        <f>重み_前!D118</f>
        <v>0.2</v>
      </c>
      <c r="AD118" s="252"/>
      <c r="AE118" s="252">
        <f>重み_後!D118</f>
        <v>0.19999999999999998</v>
      </c>
      <c r="AF118" s="252"/>
      <c r="AG118" s="252"/>
      <c r="AH118" s="253">
        <f>重み_前!N118</f>
        <v>0</v>
      </c>
      <c r="AI118" s="253">
        <f>重み_後!O118</f>
        <v>0</v>
      </c>
      <c r="AJ118" s="252">
        <f>重み_前!E118</f>
        <v>0</v>
      </c>
      <c r="AK118" s="252"/>
      <c r="AL118" s="252">
        <f>重み_後!E118</f>
        <v>0</v>
      </c>
    </row>
    <row r="119" spans="1:38" ht="14.25" thickBot="1">
      <c r="A119" s="408"/>
      <c r="B119" s="445">
        <v>2</v>
      </c>
      <c r="C119" s="336" t="s">
        <v>783</v>
      </c>
      <c r="D119" s="336"/>
      <c r="E119" s="336"/>
      <c r="F119" s="297" t="s">
        <v>759</v>
      </c>
      <c r="G119" s="297" t="s">
        <v>759</v>
      </c>
      <c r="H119" s="297" t="s">
        <v>637</v>
      </c>
      <c r="I119" s="297" t="s">
        <v>759</v>
      </c>
      <c r="J119" s="297" t="s">
        <v>759</v>
      </c>
      <c r="K119" s="315" t="s">
        <v>637</v>
      </c>
      <c r="L119" s="2433"/>
      <c r="M119" s="317" t="str">
        <f t="shared" si="38"/>
        <v>EB</v>
      </c>
      <c r="N119" s="2481"/>
      <c r="O119" s="315" t="str">
        <f t="shared" si="39"/>
        <v>NC</v>
      </c>
      <c r="P119" s="2481"/>
      <c r="Q119" s="450" t="str">
        <f t="shared" ref="Q119" si="44">IF(L119=$AA$3,$F119,$G119)</f>
        <v>EB</v>
      </c>
      <c r="R119" s="448" t="str">
        <f t="shared" ref="R119" si="45">IF(L119=$AA$3,$F119,$H119)</f>
        <v>NC</v>
      </c>
      <c r="S119" s="454"/>
      <c r="T119" s="317"/>
      <c r="U119" s="2114"/>
      <c r="V119" s="315"/>
      <c r="W119" s="2114"/>
      <c r="X119" s="450" t="str">
        <f t="shared" ref="X119" si="46">IF(S119=$AA$3,$F119,$G119)</f>
        <v>EB</v>
      </c>
      <c r="Y119" s="448" t="str">
        <f t="shared" ref="Y119" si="47">IF(S119=$AA$3,$F119,$H119)</f>
        <v>NC</v>
      </c>
      <c r="Z119" s="222"/>
      <c r="AA119" s="282">
        <f>重み_前!M119</f>
        <v>0.1</v>
      </c>
      <c r="AB119" s="282">
        <f>重み_後!N119</f>
        <v>9.9999999999999992E-2</v>
      </c>
      <c r="AC119" s="252">
        <f>重み_前!D119</f>
        <v>0.1</v>
      </c>
      <c r="AD119" s="252"/>
      <c r="AE119" s="252">
        <f>重み_後!D119</f>
        <v>9.9999999999999992E-2</v>
      </c>
      <c r="AF119" s="252"/>
      <c r="AG119" s="252"/>
      <c r="AH119" s="253">
        <f>重み_前!N119</f>
        <v>0</v>
      </c>
      <c r="AI119" s="253">
        <f>重み_後!O119</f>
        <v>0</v>
      </c>
      <c r="AJ119" s="252">
        <f>重み_前!E119</f>
        <v>0</v>
      </c>
      <c r="AK119" s="252"/>
      <c r="AL119" s="252">
        <f>重み_後!E119</f>
        <v>0</v>
      </c>
    </row>
    <row r="120" spans="1:38" ht="14.25" thickBot="1">
      <c r="A120" s="408"/>
      <c r="B120" s="447"/>
      <c r="C120" s="2421" t="s">
        <v>1829</v>
      </c>
      <c r="D120" s="404" t="s">
        <v>1836</v>
      </c>
      <c r="E120" s="336"/>
      <c r="F120" s="297" t="s">
        <v>759</v>
      </c>
      <c r="G120" s="297" t="s">
        <v>759</v>
      </c>
      <c r="H120" s="297" t="s">
        <v>637</v>
      </c>
      <c r="I120" s="297" t="s">
        <v>759</v>
      </c>
      <c r="J120" s="297" t="s">
        <v>759</v>
      </c>
      <c r="K120" s="315" t="s">
        <v>637</v>
      </c>
      <c r="L120" s="2432" t="str">
        <f>IF(L119="","",L119)</f>
        <v/>
      </c>
      <c r="M120" s="317" t="str">
        <f t="shared" si="38"/>
        <v>EB</v>
      </c>
      <c r="N120" s="2485"/>
      <c r="O120" s="2466" t="str">
        <f t="shared" si="39"/>
        <v>NC</v>
      </c>
      <c r="P120" s="2485"/>
      <c r="Q120" s="450" t="str">
        <f t="shared" si="40"/>
        <v>EB</v>
      </c>
      <c r="R120" s="448" t="str">
        <f t="shared" si="41"/>
        <v>NC</v>
      </c>
      <c r="S120" s="454"/>
      <c r="T120" s="317"/>
      <c r="U120" s="2114"/>
      <c r="V120" s="315"/>
      <c r="W120" s="2114"/>
      <c r="X120" s="450" t="str">
        <f t="shared" si="42"/>
        <v>EB</v>
      </c>
      <c r="Y120" s="448" t="str">
        <f t="shared" si="43"/>
        <v>NC</v>
      </c>
      <c r="Z120" s="222"/>
      <c r="AA120" s="282">
        <f>重み_前!M120</f>
        <v>0</v>
      </c>
      <c r="AB120" s="282">
        <f>重み_後!N120</f>
        <v>0</v>
      </c>
      <c r="AC120" s="252">
        <f>重み_前!D120</f>
        <v>0</v>
      </c>
      <c r="AD120" s="252"/>
      <c r="AE120" s="252">
        <f>重み_後!D120</f>
        <v>0</v>
      </c>
      <c r="AF120" s="252"/>
      <c r="AG120" s="252"/>
      <c r="AH120" s="253">
        <f>重み_前!N120</f>
        <v>0</v>
      </c>
      <c r="AI120" s="253">
        <f>重み_後!O120</f>
        <v>0</v>
      </c>
      <c r="AJ120" s="252">
        <f>重み_前!E120</f>
        <v>0</v>
      </c>
      <c r="AK120" s="252"/>
      <c r="AL120" s="252">
        <f>重み_後!E120</f>
        <v>0</v>
      </c>
    </row>
    <row r="121" spans="1:38" ht="14.25" thickBot="1">
      <c r="A121" s="408"/>
      <c r="B121" s="447"/>
      <c r="C121" s="2421" t="s">
        <v>1831</v>
      </c>
      <c r="D121" s="404" t="s">
        <v>1837</v>
      </c>
      <c r="E121" s="336"/>
      <c r="F121" s="297" t="s">
        <v>694</v>
      </c>
      <c r="G121" s="297" t="s">
        <v>694</v>
      </c>
      <c r="H121" s="297" t="s">
        <v>695</v>
      </c>
      <c r="I121" s="297" t="s">
        <v>759</v>
      </c>
      <c r="J121" s="297" t="s">
        <v>759</v>
      </c>
      <c r="K121" s="315" t="s">
        <v>637</v>
      </c>
      <c r="L121" s="2432" t="str">
        <f>IF(L119="","",L119)</f>
        <v/>
      </c>
      <c r="M121" s="317" t="str">
        <f t="shared" si="38"/>
        <v>EB</v>
      </c>
      <c r="N121" s="2476">
        <v>3</v>
      </c>
      <c r="O121" s="2466" t="str">
        <f t="shared" si="39"/>
        <v>NC</v>
      </c>
      <c r="P121" s="2476">
        <v>3</v>
      </c>
      <c r="Q121" s="450" t="str">
        <f t="shared" ref="Q121" si="48">IF(L121=$AA$3,$F121,$G121)</f>
        <v>EB</v>
      </c>
      <c r="R121" s="448" t="str">
        <f t="shared" ref="R121" si="49">IF(L121=$AA$3,$F121,$H121)</f>
        <v>NC</v>
      </c>
      <c r="S121" s="454"/>
      <c r="T121" s="317"/>
      <c r="U121" s="2114"/>
      <c r="V121" s="315"/>
      <c r="W121" s="2114"/>
      <c r="X121" s="351" t="str">
        <f t="shared" si="42"/>
        <v>EB</v>
      </c>
      <c r="Y121" s="352" t="str">
        <f t="shared" si="43"/>
        <v>NC</v>
      </c>
      <c r="Z121" s="222"/>
      <c r="AA121" s="282">
        <f>重み_前!M121</f>
        <v>1</v>
      </c>
      <c r="AB121" s="282">
        <f>重み_後!N121</f>
        <v>1</v>
      </c>
      <c r="AC121" s="252">
        <f>重み_前!D121</f>
        <v>1</v>
      </c>
      <c r="AD121" s="252"/>
      <c r="AE121" s="252">
        <f>重み_後!D121</f>
        <v>1</v>
      </c>
      <c r="AF121" s="252"/>
      <c r="AG121" s="252"/>
      <c r="AH121" s="253">
        <f>重み_前!N121</f>
        <v>0</v>
      </c>
      <c r="AI121" s="253">
        <f>重み_後!O121</f>
        <v>0</v>
      </c>
      <c r="AJ121" s="252">
        <f>重み_前!E121</f>
        <v>0</v>
      </c>
      <c r="AK121" s="252"/>
      <c r="AL121" s="252">
        <f>重み_後!E121</f>
        <v>0</v>
      </c>
    </row>
    <row r="122" spans="1:38" ht="14.25" hidden="1" thickBot="1">
      <c r="A122" s="408"/>
      <c r="B122" s="447"/>
      <c r="C122" s="451"/>
      <c r="D122" s="404"/>
      <c r="E122" s="336"/>
      <c r="F122" s="297" t="s">
        <v>694</v>
      </c>
      <c r="G122" s="297" t="s">
        <v>759</v>
      </c>
      <c r="H122" s="297" t="s">
        <v>637</v>
      </c>
      <c r="I122" s="297" t="s">
        <v>694</v>
      </c>
      <c r="J122" s="297" t="s">
        <v>759</v>
      </c>
      <c r="K122" s="315" t="s">
        <v>637</v>
      </c>
      <c r="L122" s="316"/>
      <c r="M122" s="317" t="str">
        <f t="shared" si="38"/>
        <v>EB</v>
      </c>
      <c r="N122" s="412">
        <v>0</v>
      </c>
      <c r="O122" s="315" t="str">
        <f t="shared" si="39"/>
        <v>NC</v>
      </c>
      <c r="P122" s="412">
        <v>0</v>
      </c>
      <c r="Q122" s="450" t="str">
        <f t="shared" si="40"/>
        <v>EB</v>
      </c>
      <c r="R122" s="448" t="str">
        <f t="shared" si="41"/>
        <v>NC</v>
      </c>
      <c r="S122" s="454"/>
      <c r="T122" s="317"/>
      <c r="U122" s="2114"/>
      <c r="V122" s="315"/>
      <c r="W122" s="2114"/>
      <c r="X122" s="450" t="str">
        <f t="shared" si="42"/>
        <v>EB</v>
      </c>
      <c r="Y122" s="448" t="str">
        <f t="shared" si="43"/>
        <v>NC</v>
      </c>
      <c r="Z122" s="222"/>
      <c r="AA122" s="282">
        <f>重み_前!M122</f>
        <v>0</v>
      </c>
      <c r="AB122" s="282">
        <f>重み_後!N122</f>
        <v>0</v>
      </c>
      <c r="AC122" s="252">
        <f>重み_前!D122</f>
        <v>0</v>
      </c>
      <c r="AD122" s="252"/>
      <c r="AE122" s="252">
        <f>重み_後!D122</f>
        <v>0</v>
      </c>
      <c r="AF122" s="252"/>
      <c r="AG122" s="252"/>
      <c r="AH122" s="253">
        <f>重み_前!N122</f>
        <v>0</v>
      </c>
      <c r="AI122" s="253">
        <f>重み_後!O122</f>
        <v>0</v>
      </c>
      <c r="AJ122" s="252">
        <f>重み_前!E122</f>
        <v>0</v>
      </c>
      <c r="AK122" s="252"/>
      <c r="AL122" s="252">
        <f>重み_後!E122</f>
        <v>0</v>
      </c>
    </row>
    <row r="123" spans="1:38" ht="14.25" hidden="1" thickBot="1">
      <c r="A123" s="408"/>
      <c r="B123" s="452"/>
      <c r="C123" s="451"/>
      <c r="D123" s="404"/>
      <c r="E123" s="336"/>
      <c r="F123" s="297" t="s">
        <v>759</v>
      </c>
      <c r="G123" s="297" t="s">
        <v>759</v>
      </c>
      <c r="H123" s="297" t="s">
        <v>637</v>
      </c>
      <c r="I123" s="297" t="s">
        <v>759</v>
      </c>
      <c r="J123" s="297" t="s">
        <v>759</v>
      </c>
      <c r="K123" s="315" t="s">
        <v>637</v>
      </c>
      <c r="L123" s="322"/>
      <c r="M123" s="453" t="str">
        <f t="shared" si="38"/>
        <v>EB</v>
      </c>
      <c r="N123" s="335">
        <v>0</v>
      </c>
      <c r="O123" s="453" t="str">
        <f t="shared" si="39"/>
        <v>NC</v>
      </c>
      <c r="P123" s="335">
        <v>0</v>
      </c>
      <c r="Q123" s="450" t="str">
        <f t="shared" si="40"/>
        <v>EB</v>
      </c>
      <c r="R123" s="448" t="str">
        <f t="shared" si="41"/>
        <v>NC</v>
      </c>
      <c r="S123" s="454"/>
      <c r="T123" s="317"/>
      <c r="U123" s="2114"/>
      <c r="V123" s="315"/>
      <c r="W123" s="2114"/>
      <c r="X123" s="450" t="str">
        <f t="shared" si="42"/>
        <v>EB</v>
      </c>
      <c r="Y123" s="448" t="str">
        <f t="shared" si="43"/>
        <v>NC</v>
      </c>
      <c r="Z123" s="222"/>
      <c r="AA123" s="282">
        <f>重み_前!M123</f>
        <v>0</v>
      </c>
      <c r="AB123" s="282">
        <f>重み_後!N123</f>
        <v>0</v>
      </c>
      <c r="AC123" s="252">
        <f>重み_前!D123</f>
        <v>0</v>
      </c>
      <c r="AD123" s="252"/>
      <c r="AE123" s="252">
        <f>重み_後!D123</f>
        <v>0</v>
      </c>
      <c r="AF123" s="252"/>
      <c r="AG123" s="252"/>
      <c r="AH123" s="253">
        <f>重み_前!N123</f>
        <v>0</v>
      </c>
      <c r="AI123" s="253">
        <f>重み_後!O123</f>
        <v>0</v>
      </c>
      <c r="AJ123" s="252">
        <f>重み_前!E123</f>
        <v>0</v>
      </c>
      <c r="AK123" s="252"/>
      <c r="AL123" s="252">
        <f>重み_後!E123</f>
        <v>0</v>
      </c>
    </row>
    <row r="124" spans="1:38" ht="14.25" thickBot="1">
      <c r="A124" s="408"/>
      <c r="B124" s="445">
        <v>3</v>
      </c>
      <c r="C124" s="336" t="s">
        <v>786</v>
      </c>
      <c r="D124" s="336"/>
      <c r="E124" s="336"/>
      <c r="F124" s="297" t="s">
        <v>759</v>
      </c>
      <c r="G124" s="389" t="s">
        <v>637</v>
      </c>
      <c r="H124" s="297" t="s">
        <v>637</v>
      </c>
      <c r="I124" s="344"/>
      <c r="J124" s="344"/>
      <c r="K124" s="345"/>
      <c r="L124" s="448"/>
      <c r="M124" s="454"/>
      <c r="N124" s="402"/>
      <c r="O124" s="455"/>
      <c r="P124" s="402"/>
      <c r="Q124" s="456" t="str">
        <f t="shared" si="40"/>
        <v>NC</v>
      </c>
      <c r="R124" s="457" t="str">
        <f t="shared" si="41"/>
        <v>NC</v>
      </c>
      <c r="S124" s="454"/>
      <c r="T124" s="317"/>
      <c r="U124" s="2114"/>
      <c r="V124" s="315"/>
      <c r="W124" s="2114"/>
      <c r="X124" s="456" t="str">
        <f t="shared" si="42"/>
        <v>NC</v>
      </c>
      <c r="Y124" s="457" t="str">
        <f t="shared" si="43"/>
        <v>NC</v>
      </c>
      <c r="Z124" s="222"/>
      <c r="AA124" s="282">
        <f>重み_前!M124</f>
        <v>0.5</v>
      </c>
      <c r="AB124" s="282">
        <f>重み_後!N124</f>
        <v>0.5</v>
      </c>
      <c r="AC124" s="252">
        <f>重み_前!D124</f>
        <v>0.5</v>
      </c>
      <c r="AD124" s="252"/>
      <c r="AE124" s="252">
        <f>重み_後!D124</f>
        <v>0.5</v>
      </c>
      <c r="AF124" s="252"/>
      <c r="AG124" s="252"/>
      <c r="AH124" s="253">
        <f>重み_前!N124</f>
        <v>0</v>
      </c>
      <c r="AI124" s="253">
        <f>重み_後!O124</f>
        <v>0</v>
      </c>
      <c r="AJ124" s="252">
        <f>重み_前!E124</f>
        <v>0</v>
      </c>
      <c r="AK124" s="252"/>
      <c r="AL124" s="252">
        <f>重み_後!E124</f>
        <v>0</v>
      </c>
    </row>
    <row r="125" spans="1:38" ht="14.25" thickBot="1">
      <c r="A125" s="408"/>
      <c r="B125" s="447"/>
      <c r="C125" s="419">
        <v>3.1</v>
      </c>
      <c r="D125" s="404" t="s">
        <v>1802</v>
      </c>
      <c r="E125" s="336"/>
      <c r="F125" s="297" t="s">
        <v>759</v>
      </c>
      <c r="G125" s="389" t="s">
        <v>637</v>
      </c>
      <c r="H125" s="297" t="s">
        <v>637</v>
      </c>
      <c r="I125" s="297" t="s">
        <v>759</v>
      </c>
      <c r="J125" s="389" t="s">
        <v>637</v>
      </c>
      <c r="K125" s="297" t="s">
        <v>637</v>
      </c>
      <c r="L125" s="2432" t="str">
        <f>IF(L124="","",L124)</f>
        <v/>
      </c>
      <c r="M125" s="346" t="str">
        <f t="shared" ref="M125:M131" si="50">IF(L125=$AA$3,$I125,$J125)</f>
        <v>NC</v>
      </c>
      <c r="N125" s="2114"/>
      <c r="O125" s="345" t="str">
        <f t="shared" ref="O125:O131" si="51">IF(L125=$AA$3,$I125,$K125)</f>
        <v>NC</v>
      </c>
      <c r="P125" s="2114"/>
      <c r="Q125" s="324" t="str">
        <f t="shared" si="40"/>
        <v>NC</v>
      </c>
      <c r="R125" s="322" t="str">
        <f t="shared" si="41"/>
        <v>NC</v>
      </c>
      <c r="S125" s="454"/>
      <c r="T125" s="317"/>
      <c r="U125" s="2114"/>
      <c r="V125" s="315"/>
      <c r="W125" s="402"/>
      <c r="X125" s="324" t="str">
        <f t="shared" si="42"/>
        <v>NC</v>
      </c>
      <c r="Y125" s="322" t="str">
        <f t="shared" si="43"/>
        <v>NC</v>
      </c>
      <c r="Z125" s="222"/>
      <c r="AA125" s="282">
        <f>重み_前!M125</f>
        <v>1</v>
      </c>
      <c r="AB125" s="282">
        <f>重み_後!N125</f>
        <v>1</v>
      </c>
      <c r="AC125" s="252">
        <f>重み_前!D125</f>
        <v>1</v>
      </c>
      <c r="AD125" s="252"/>
      <c r="AE125" s="252">
        <f>重み_後!D125</f>
        <v>1</v>
      </c>
      <c r="AF125" s="252"/>
      <c r="AG125" s="252"/>
      <c r="AH125" s="253">
        <f>重み_前!N125</f>
        <v>0</v>
      </c>
      <c r="AI125" s="253">
        <f>重み_後!O125</f>
        <v>0</v>
      </c>
      <c r="AJ125" s="252">
        <f>重み_前!E125</f>
        <v>0</v>
      </c>
      <c r="AK125" s="252"/>
      <c r="AL125" s="252">
        <f>重み_後!E125</f>
        <v>0</v>
      </c>
    </row>
    <row r="126" spans="1:38" ht="14.25" thickBot="1">
      <c r="A126" s="408"/>
      <c r="B126" s="447"/>
      <c r="C126" s="416">
        <v>3.1</v>
      </c>
      <c r="D126" s="404" t="s">
        <v>1803</v>
      </c>
      <c r="E126" s="336"/>
      <c r="F126" s="297" t="s">
        <v>759</v>
      </c>
      <c r="G126" s="389" t="s">
        <v>637</v>
      </c>
      <c r="H126" s="297" t="s">
        <v>637</v>
      </c>
      <c r="I126" s="297" t="s">
        <v>759</v>
      </c>
      <c r="J126" s="389" t="s">
        <v>637</v>
      </c>
      <c r="K126" s="297" t="s">
        <v>637</v>
      </c>
      <c r="L126" s="2432" t="str">
        <f>IF(L124="","",L124)</f>
        <v/>
      </c>
      <c r="M126" s="317" t="str">
        <f>IF(L126=$AA$3,$I126,$J126)</f>
        <v>NC</v>
      </c>
      <c r="N126" s="342"/>
      <c r="O126" s="345" t="str">
        <f t="shared" si="51"/>
        <v>NC</v>
      </c>
      <c r="P126" s="342"/>
      <c r="Q126" s="324" t="str">
        <f t="shared" si="40"/>
        <v>NC</v>
      </c>
      <c r="R126" s="322" t="str">
        <f t="shared" si="41"/>
        <v>NC</v>
      </c>
      <c r="S126" s="454"/>
      <c r="T126" s="317"/>
      <c r="U126" s="2114"/>
      <c r="V126" s="315"/>
      <c r="W126" s="402"/>
      <c r="X126" s="324" t="str">
        <f t="shared" si="42"/>
        <v>NC</v>
      </c>
      <c r="Y126" s="322" t="str">
        <f t="shared" si="43"/>
        <v>NC</v>
      </c>
      <c r="Z126" s="222"/>
      <c r="AA126" s="282">
        <f>重み_前!M126</f>
        <v>0</v>
      </c>
      <c r="AB126" s="282">
        <f>重み_後!N126</f>
        <v>0</v>
      </c>
      <c r="AC126" s="252">
        <f>重み_前!D126</f>
        <v>0</v>
      </c>
      <c r="AD126" s="252"/>
      <c r="AE126" s="252">
        <f>重み_後!D126</f>
        <v>0</v>
      </c>
      <c r="AF126" s="252"/>
      <c r="AG126" s="252"/>
      <c r="AH126" s="253">
        <f>重み_前!N126</f>
        <v>0</v>
      </c>
      <c r="AI126" s="253">
        <f>重み_後!O126</f>
        <v>0</v>
      </c>
      <c r="AJ126" s="252">
        <f>重み_前!E126</f>
        <v>0</v>
      </c>
      <c r="AK126" s="252"/>
      <c r="AL126" s="252">
        <f>重み_後!E126</f>
        <v>0</v>
      </c>
    </row>
    <row r="127" spans="1:38" ht="14.25" hidden="1" thickBot="1">
      <c r="A127" s="408"/>
      <c r="B127" s="459"/>
      <c r="C127" s="2405">
        <v>3.1</v>
      </c>
      <c r="D127" s="2406" t="s">
        <v>787</v>
      </c>
      <c r="E127" s="2085"/>
      <c r="F127" s="297" t="s">
        <v>759</v>
      </c>
      <c r="G127" s="344" t="s">
        <v>139</v>
      </c>
      <c r="H127" s="297" t="s">
        <v>637</v>
      </c>
      <c r="I127" s="297" t="s">
        <v>759</v>
      </c>
      <c r="J127" s="297" t="s">
        <v>759</v>
      </c>
      <c r="K127" s="297" t="s">
        <v>637</v>
      </c>
      <c r="L127" s="352"/>
      <c r="M127" s="346" t="str">
        <f t="shared" si="50"/>
        <v>EB</v>
      </c>
      <c r="N127" s="310"/>
      <c r="O127" s="345" t="str">
        <f t="shared" si="51"/>
        <v>NC</v>
      </c>
      <c r="P127" s="310"/>
      <c r="Q127" s="324" t="str">
        <f t="shared" si="40"/>
        <v>NC</v>
      </c>
      <c r="R127" s="322" t="str">
        <f t="shared" si="41"/>
        <v>NC</v>
      </c>
      <c r="S127" s="454"/>
      <c r="T127" s="317"/>
      <c r="U127" s="2114"/>
      <c r="V127" s="315"/>
      <c r="W127" s="402"/>
      <c r="X127" s="324" t="str">
        <f t="shared" si="42"/>
        <v>NC</v>
      </c>
      <c r="Y127" s="322" t="str">
        <f t="shared" si="43"/>
        <v>NC</v>
      </c>
      <c r="Z127" s="222"/>
      <c r="AA127" s="282">
        <f>重み_前!M127</f>
        <v>0</v>
      </c>
      <c r="AB127" s="282">
        <f>重み_後!N127</f>
        <v>0</v>
      </c>
      <c r="AC127" s="252">
        <f>重み_前!D127</f>
        <v>0</v>
      </c>
      <c r="AD127" s="252"/>
      <c r="AE127" s="252">
        <f>重み_後!D127</f>
        <v>0</v>
      </c>
      <c r="AF127" s="252"/>
      <c r="AG127" s="252"/>
      <c r="AH127" s="253">
        <f>重み_前!N127</f>
        <v>0</v>
      </c>
      <c r="AI127" s="253">
        <f>重み_後!O127</f>
        <v>0</v>
      </c>
      <c r="AJ127" s="252">
        <f>重み_前!E127</f>
        <v>0</v>
      </c>
      <c r="AK127" s="252"/>
      <c r="AL127" s="252">
        <f>重み_後!E127</f>
        <v>0</v>
      </c>
    </row>
    <row r="128" spans="1:38" ht="14.25" hidden="1" thickBot="1">
      <c r="A128" s="408"/>
      <c r="B128" s="459"/>
      <c r="C128" s="2405">
        <v>3.2</v>
      </c>
      <c r="D128" s="2406" t="s">
        <v>788</v>
      </c>
      <c r="E128" s="2085"/>
      <c r="F128" s="297" t="s">
        <v>759</v>
      </c>
      <c r="G128" s="344" t="s">
        <v>139</v>
      </c>
      <c r="H128" s="297" t="s">
        <v>637</v>
      </c>
      <c r="I128" s="297" t="s">
        <v>759</v>
      </c>
      <c r="J128" s="297" t="s">
        <v>759</v>
      </c>
      <c r="K128" s="388" t="s">
        <v>637</v>
      </c>
      <c r="L128" s="352"/>
      <c r="M128" s="346" t="str">
        <f t="shared" si="50"/>
        <v>EB</v>
      </c>
      <c r="N128" s="402"/>
      <c r="O128" s="455" t="str">
        <f t="shared" si="51"/>
        <v>NC</v>
      </c>
      <c r="P128" s="402"/>
      <c r="Q128" s="324" t="str">
        <f t="shared" si="40"/>
        <v>NC</v>
      </c>
      <c r="R128" s="322" t="str">
        <f t="shared" si="41"/>
        <v>NC</v>
      </c>
      <c r="S128" s="454"/>
      <c r="T128" s="317"/>
      <c r="U128" s="2114"/>
      <c r="V128" s="315"/>
      <c r="W128" s="402"/>
      <c r="X128" s="324" t="str">
        <f t="shared" si="42"/>
        <v>NC</v>
      </c>
      <c r="Y128" s="322" t="str">
        <f t="shared" si="43"/>
        <v>NC</v>
      </c>
      <c r="Z128" s="222"/>
      <c r="AA128" s="282">
        <f>重み_前!M128</f>
        <v>0</v>
      </c>
      <c r="AB128" s="282">
        <f>重み_後!N128</f>
        <v>0</v>
      </c>
      <c r="AC128" s="252">
        <f>重み_前!D128</f>
        <v>0</v>
      </c>
      <c r="AD128" s="252"/>
      <c r="AE128" s="252">
        <f>重み_後!D128</f>
        <v>0</v>
      </c>
      <c r="AF128" s="252"/>
      <c r="AG128" s="252"/>
      <c r="AH128" s="253">
        <f>重み_前!N128</f>
        <v>0</v>
      </c>
      <c r="AI128" s="253">
        <f>重み_後!O128</f>
        <v>0</v>
      </c>
      <c r="AJ128" s="252">
        <f>重み_前!E128</f>
        <v>0</v>
      </c>
      <c r="AK128" s="252"/>
      <c r="AL128" s="252">
        <f>重み_後!E128</f>
        <v>0</v>
      </c>
    </row>
    <row r="129" spans="1:38" ht="14.25" hidden="1" thickBot="1">
      <c r="A129" s="408"/>
      <c r="B129" s="459"/>
      <c r="C129" s="2405">
        <v>3.3</v>
      </c>
      <c r="D129" s="2406" t="s">
        <v>789</v>
      </c>
      <c r="E129" s="2085"/>
      <c r="F129" s="297" t="s">
        <v>759</v>
      </c>
      <c r="G129" s="344" t="s">
        <v>139</v>
      </c>
      <c r="H129" s="297" t="s">
        <v>637</v>
      </c>
      <c r="I129" s="297" t="s">
        <v>759</v>
      </c>
      <c r="J129" s="297" t="s">
        <v>759</v>
      </c>
      <c r="K129" s="388" t="s">
        <v>637</v>
      </c>
      <c r="L129" s="352"/>
      <c r="M129" s="346" t="str">
        <f t="shared" si="50"/>
        <v>EB</v>
      </c>
      <c r="N129" s="310"/>
      <c r="O129" s="345" t="str">
        <f t="shared" si="51"/>
        <v>NC</v>
      </c>
      <c r="P129" s="310"/>
      <c r="Q129" s="324" t="str">
        <f t="shared" si="40"/>
        <v>NC</v>
      </c>
      <c r="R129" s="322" t="str">
        <f t="shared" si="41"/>
        <v>NC</v>
      </c>
      <c r="S129" s="454"/>
      <c r="T129" s="317"/>
      <c r="U129" s="2114"/>
      <c r="V129" s="315"/>
      <c r="W129" s="402"/>
      <c r="X129" s="324" t="str">
        <f t="shared" si="42"/>
        <v>NC</v>
      </c>
      <c r="Y129" s="322" t="str">
        <f t="shared" si="43"/>
        <v>NC</v>
      </c>
      <c r="Z129" s="222"/>
      <c r="AA129" s="282">
        <f>重み_前!M129</f>
        <v>0</v>
      </c>
      <c r="AB129" s="282">
        <f>重み_後!N129</f>
        <v>0</v>
      </c>
      <c r="AC129" s="252">
        <f>重み_前!D129</f>
        <v>0</v>
      </c>
      <c r="AD129" s="252"/>
      <c r="AE129" s="252">
        <f>重み_後!D129</f>
        <v>0</v>
      </c>
      <c r="AF129" s="252"/>
      <c r="AG129" s="252"/>
      <c r="AH129" s="253">
        <f>重み_前!N129</f>
        <v>0</v>
      </c>
      <c r="AI129" s="253">
        <f>重み_後!O129</f>
        <v>0</v>
      </c>
      <c r="AJ129" s="252">
        <f>重み_前!E129</f>
        <v>0</v>
      </c>
      <c r="AK129" s="252"/>
      <c r="AL129" s="252">
        <f>重み_後!E129</f>
        <v>0</v>
      </c>
    </row>
    <row r="130" spans="1:38" ht="14.25" hidden="1" thickBot="1">
      <c r="A130" s="408"/>
      <c r="B130" s="459"/>
      <c r="C130" s="2405">
        <v>3.4</v>
      </c>
      <c r="D130" s="2406" t="s">
        <v>371</v>
      </c>
      <c r="E130" s="2085"/>
      <c r="F130" s="297" t="s">
        <v>759</v>
      </c>
      <c r="G130" s="344" t="s">
        <v>139</v>
      </c>
      <c r="H130" s="297" t="s">
        <v>637</v>
      </c>
      <c r="I130" s="297" t="s">
        <v>759</v>
      </c>
      <c r="J130" s="297" t="s">
        <v>759</v>
      </c>
      <c r="K130" s="388" t="s">
        <v>637</v>
      </c>
      <c r="L130" s="352"/>
      <c r="M130" s="346" t="str">
        <f t="shared" si="50"/>
        <v>EB</v>
      </c>
      <c r="N130" s="402"/>
      <c r="O130" s="345" t="str">
        <f t="shared" si="51"/>
        <v>NC</v>
      </c>
      <c r="P130" s="402"/>
      <c r="Q130" s="324" t="str">
        <f t="shared" si="40"/>
        <v>NC</v>
      </c>
      <c r="R130" s="322" t="str">
        <f t="shared" si="41"/>
        <v>NC</v>
      </c>
      <c r="S130" s="454"/>
      <c r="T130" s="317"/>
      <c r="U130" s="2114"/>
      <c r="V130" s="315"/>
      <c r="W130" s="402"/>
      <c r="X130" s="324" t="str">
        <f t="shared" si="42"/>
        <v>NC</v>
      </c>
      <c r="Y130" s="322" t="str">
        <f t="shared" si="43"/>
        <v>NC</v>
      </c>
      <c r="Z130" s="222"/>
      <c r="AA130" s="282">
        <f>重み_前!M130</f>
        <v>0</v>
      </c>
      <c r="AB130" s="282">
        <f>重み_後!N130</f>
        <v>0</v>
      </c>
      <c r="AC130" s="252">
        <f>重み_前!D130</f>
        <v>0</v>
      </c>
      <c r="AD130" s="252"/>
      <c r="AE130" s="252">
        <f>重み_後!D130</f>
        <v>0</v>
      </c>
      <c r="AF130" s="252"/>
      <c r="AG130" s="252"/>
      <c r="AH130" s="253">
        <f>重み_前!N130</f>
        <v>0</v>
      </c>
      <c r="AI130" s="253">
        <f>重み_後!O130</f>
        <v>0</v>
      </c>
      <c r="AJ130" s="252">
        <f>重み_前!E130</f>
        <v>0</v>
      </c>
      <c r="AK130" s="252"/>
      <c r="AL130" s="252">
        <f>重み_後!E130</f>
        <v>0</v>
      </c>
    </row>
    <row r="131" spans="1:38" ht="14.25" hidden="1" thickBot="1">
      <c r="A131" s="408"/>
      <c r="B131" s="459"/>
      <c r="C131" s="2405">
        <v>3.5</v>
      </c>
      <c r="D131" s="2406" t="s">
        <v>790</v>
      </c>
      <c r="E131" s="2085"/>
      <c r="F131" s="297" t="s">
        <v>759</v>
      </c>
      <c r="G131" s="344" t="s">
        <v>139</v>
      </c>
      <c r="H131" s="297" t="s">
        <v>637</v>
      </c>
      <c r="I131" s="297" t="s">
        <v>759</v>
      </c>
      <c r="J131" s="297" t="s">
        <v>759</v>
      </c>
      <c r="K131" s="388" t="s">
        <v>637</v>
      </c>
      <c r="L131" s="352"/>
      <c r="M131" s="346" t="str">
        <f t="shared" si="50"/>
        <v>EB</v>
      </c>
      <c r="N131" s="310"/>
      <c r="O131" s="345" t="str">
        <f t="shared" si="51"/>
        <v>NC</v>
      </c>
      <c r="P131" s="310"/>
      <c r="Q131" s="324" t="str">
        <f t="shared" si="40"/>
        <v>NC</v>
      </c>
      <c r="R131" s="322" t="str">
        <f t="shared" si="41"/>
        <v>NC</v>
      </c>
      <c r="S131" s="454"/>
      <c r="T131" s="317"/>
      <c r="U131" s="2114"/>
      <c r="V131" s="315"/>
      <c r="W131" s="402"/>
      <c r="X131" s="324" t="str">
        <f t="shared" si="42"/>
        <v>NC</v>
      </c>
      <c r="Y131" s="322" t="str">
        <f t="shared" si="43"/>
        <v>NC</v>
      </c>
      <c r="Z131" s="222"/>
      <c r="AA131" s="282">
        <f>重み_前!M131</f>
        <v>0</v>
      </c>
      <c r="AB131" s="282">
        <f>重み_後!N131</f>
        <v>0</v>
      </c>
      <c r="AC131" s="252">
        <f>重み_前!D131</f>
        <v>0</v>
      </c>
      <c r="AD131" s="252"/>
      <c r="AE131" s="252">
        <f>重み_後!D131</f>
        <v>0</v>
      </c>
      <c r="AF131" s="252"/>
      <c r="AG131" s="252"/>
      <c r="AH131" s="253">
        <f>重み_前!N131</f>
        <v>0</v>
      </c>
      <c r="AI131" s="253">
        <f>重み_後!O131</f>
        <v>0</v>
      </c>
      <c r="AJ131" s="252">
        <f>重み_前!E131</f>
        <v>0</v>
      </c>
      <c r="AK131" s="252"/>
      <c r="AL131" s="252">
        <f>重み_後!E131</f>
        <v>0</v>
      </c>
    </row>
    <row r="132" spans="1:38" ht="13.5">
      <c r="A132" s="408"/>
      <c r="B132" s="463"/>
      <c r="C132" s="419">
        <v>3.2</v>
      </c>
      <c r="D132" s="404" t="s">
        <v>1804</v>
      </c>
      <c r="E132" s="334"/>
      <c r="F132" s="297" t="s">
        <v>759</v>
      </c>
      <c r="G132" s="388">
        <v>0</v>
      </c>
      <c r="H132" s="388">
        <v>0</v>
      </c>
      <c r="I132" s="297" t="s">
        <v>759</v>
      </c>
      <c r="J132" s="388">
        <v>0</v>
      </c>
      <c r="K132" s="388">
        <v>0</v>
      </c>
      <c r="L132" s="2432" t="str">
        <f>IF(L124="","",L124)</f>
        <v/>
      </c>
      <c r="M132" s="317">
        <f>IF(L132=$AA$3,$I132,$J132)</f>
        <v>0</v>
      </c>
      <c r="N132" s="402"/>
      <c r="O132" s="315">
        <f>IF(L132=$AA$3,$I132,$K132)</f>
        <v>0</v>
      </c>
      <c r="P132" s="402"/>
      <c r="Q132" s="331">
        <f t="shared" si="40"/>
        <v>0</v>
      </c>
      <c r="R132" s="329">
        <f t="shared" si="41"/>
        <v>0</v>
      </c>
      <c r="S132" s="454"/>
      <c r="T132" s="317"/>
      <c r="U132" s="2114"/>
      <c r="V132" s="315"/>
      <c r="W132" s="402"/>
      <c r="X132" s="331">
        <f t="shared" si="42"/>
        <v>0</v>
      </c>
      <c r="Y132" s="329">
        <f t="shared" si="43"/>
        <v>0</v>
      </c>
      <c r="Z132" s="222"/>
      <c r="AA132" s="282">
        <f>重み_前!M132</f>
        <v>1</v>
      </c>
      <c r="AB132" s="282">
        <f>重み_後!N132</f>
        <v>0</v>
      </c>
      <c r="AC132" s="252">
        <f>重み_前!D132</f>
        <v>1</v>
      </c>
      <c r="AD132" s="252"/>
      <c r="AE132" s="252">
        <f>重み_後!D132</f>
        <v>0</v>
      </c>
      <c r="AF132" s="252"/>
      <c r="AG132" s="252"/>
      <c r="AH132" s="253">
        <f>重み_前!N132</f>
        <v>0</v>
      </c>
      <c r="AI132" s="253">
        <f>重み_後!O132</f>
        <v>0</v>
      </c>
      <c r="AJ132" s="252">
        <f>重み_前!E132</f>
        <v>0</v>
      </c>
      <c r="AK132" s="252"/>
      <c r="AL132" s="252">
        <f>重み_後!E132</f>
        <v>0</v>
      </c>
    </row>
    <row r="133" spans="1:38" ht="13.5">
      <c r="A133" s="408"/>
      <c r="B133" s="445">
        <v>4</v>
      </c>
      <c r="C133" s="336" t="s">
        <v>791</v>
      </c>
      <c r="D133" s="295"/>
      <c r="E133" s="295"/>
      <c r="F133" s="297" t="s">
        <v>631</v>
      </c>
      <c r="G133" s="297" t="s">
        <v>631</v>
      </c>
      <c r="H133" s="297" t="s">
        <v>632</v>
      </c>
      <c r="I133" s="344"/>
      <c r="J133" s="344"/>
      <c r="K133" s="345"/>
      <c r="L133" s="354" t="str">
        <f>IF(AND(L134=AA3,L137=AA3),AA3,IF(AND(AB134=0,L137=AA3),AA3,IF(AND(AB137=0,L134=AA3),AA3,"")))</f>
        <v/>
      </c>
      <c r="M133" s="346"/>
      <c r="N133" s="2114"/>
      <c r="O133" s="345"/>
      <c r="P133" s="2114"/>
      <c r="Q133" s="353" t="str">
        <f t="shared" si="40"/>
        <v>EB</v>
      </c>
      <c r="R133" s="354" t="str">
        <f t="shared" si="41"/>
        <v>NC</v>
      </c>
      <c r="S133" s="454"/>
      <c r="T133" s="317"/>
      <c r="U133" s="342"/>
      <c r="V133" s="315"/>
      <c r="W133" s="402"/>
      <c r="X133" s="353" t="str">
        <f t="shared" si="42"/>
        <v>EB</v>
      </c>
      <c r="Y133" s="354" t="str">
        <f t="shared" si="43"/>
        <v>NC</v>
      </c>
      <c r="Z133" s="222"/>
      <c r="AA133" s="282">
        <f>重み_前!M133</f>
        <v>0.2</v>
      </c>
      <c r="AB133" s="282">
        <f>重み_後!N133</f>
        <v>0.19999999999999998</v>
      </c>
      <c r="AC133" s="252">
        <f>重み_前!D133</f>
        <v>0.2</v>
      </c>
      <c r="AD133" s="252"/>
      <c r="AE133" s="252">
        <f>重み_後!D133</f>
        <v>0.19999999999999998</v>
      </c>
      <c r="AF133" s="252"/>
      <c r="AG133" s="252"/>
      <c r="AH133" s="253">
        <f>重み_前!N133</f>
        <v>0</v>
      </c>
      <c r="AI133" s="253">
        <f>重み_後!O133</f>
        <v>0</v>
      </c>
      <c r="AJ133" s="252">
        <f>重み_前!E133</f>
        <v>0</v>
      </c>
      <c r="AK133" s="252"/>
      <c r="AL133" s="252">
        <f>重み_後!E133</f>
        <v>0</v>
      </c>
    </row>
    <row r="134" spans="1:38" ht="14.25" thickBot="1">
      <c r="A134" s="408"/>
      <c r="B134" s="348"/>
      <c r="C134" s="325"/>
      <c r="D134" s="343" t="s">
        <v>1805</v>
      </c>
      <c r="E134" s="307"/>
      <c r="F134" s="297" t="s">
        <v>428</v>
      </c>
      <c r="G134" s="297" t="s">
        <v>428</v>
      </c>
      <c r="H134" s="297" t="s">
        <v>139</v>
      </c>
      <c r="I134" s="2409"/>
      <c r="J134" s="2409"/>
      <c r="K134" s="455"/>
      <c r="L134" s="312" t="str">
        <f>IF(COUNTIF(L135:L136,$AA$3)&gt;=ROWS(L135:L136),$AA$3,"")</f>
        <v/>
      </c>
      <c r="M134" s="454"/>
      <c r="N134" s="326"/>
      <c r="O134" s="455"/>
      <c r="P134" s="326"/>
      <c r="Q134" s="351" t="str">
        <f t="shared" si="40"/>
        <v>EB</v>
      </c>
      <c r="R134" s="352" t="str">
        <f t="shared" si="41"/>
        <v>NC</v>
      </c>
      <c r="S134" s="454"/>
      <c r="T134" s="317"/>
      <c r="U134" s="402"/>
      <c r="V134" s="315"/>
      <c r="W134" s="402"/>
      <c r="X134" s="351" t="str">
        <f t="shared" si="42"/>
        <v>EB</v>
      </c>
      <c r="Y134" s="352" t="str">
        <f t="shared" si="43"/>
        <v>NC</v>
      </c>
      <c r="Z134" s="222"/>
      <c r="AA134" s="282">
        <f>重み_前!M134</f>
        <v>1</v>
      </c>
      <c r="AB134" s="282">
        <f>重み_後!N134</f>
        <v>1</v>
      </c>
      <c r="AC134" s="252">
        <f>重み_前!D134</f>
        <v>1</v>
      </c>
      <c r="AD134" s="252"/>
      <c r="AE134" s="252">
        <f>重み_後!D134</f>
        <v>1</v>
      </c>
      <c r="AF134" s="252"/>
      <c r="AG134" s="252"/>
      <c r="AH134" s="253">
        <f>重み_前!N134</f>
        <v>0</v>
      </c>
      <c r="AI134" s="253">
        <f>重み_後!O134</f>
        <v>0</v>
      </c>
      <c r="AJ134" s="252">
        <f>重み_前!E134</f>
        <v>0</v>
      </c>
      <c r="AK134" s="252"/>
      <c r="AL134" s="252">
        <f>重み_後!E134</f>
        <v>0</v>
      </c>
    </row>
    <row r="135" spans="1:38" ht="14.25" thickBot="1">
      <c r="A135" s="408"/>
      <c r="B135" s="348"/>
      <c r="C135" s="2407"/>
      <c r="D135" s="314">
        <v>4.0999999999999996</v>
      </c>
      <c r="E135" s="334" t="s">
        <v>1806</v>
      </c>
      <c r="F135" s="297" t="s">
        <v>759</v>
      </c>
      <c r="G135" s="297" t="s">
        <v>759</v>
      </c>
      <c r="H135" s="297" t="s">
        <v>637</v>
      </c>
      <c r="I135" s="297" t="s">
        <v>1809</v>
      </c>
      <c r="J135" s="297" t="s">
        <v>759</v>
      </c>
      <c r="K135" s="315" t="s">
        <v>637</v>
      </c>
      <c r="L135" s="316"/>
      <c r="M135" s="317" t="str">
        <f>IF(L135=$AA$3,$I135,$J135)</f>
        <v>EB</v>
      </c>
      <c r="N135" s="2485">
        <v>3</v>
      </c>
      <c r="O135" s="2466" t="str">
        <f>IF(L135=$AA$3,$I135,$K135)</f>
        <v>NC</v>
      </c>
      <c r="P135" s="2485">
        <v>3</v>
      </c>
      <c r="Q135" s="450" t="str">
        <f t="shared" si="40"/>
        <v>EB</v>
      </c>
      <c r="R135" s="448" t="str">
        <f t="shared" si="41"/>
        <v>NC</v>
      </c>
      <c r="S135" s="454"/>
      <c r="T135" s="317"/>
      <c r="U135" s="402"/>
      <c r="V135" s="315"/>
      <c r="W135" s="402"/>
      <c r="X135" s="450" t="str">
        <f t="shared" si="42"/>
        <v>EB</v>
      </c>
      <c r="Y135" s="448" t="str">
        <f t="shared" si="43"/>
        <v>NC</v>
      </c>
      <c r="Z135" s="222"/>
      <c r="AA135" s="282">
        <f>重み_前!M135</f>
        <v>0.5</v>
      </c>
      <c r="AB135" s="282">
        <f>重み_後!N135</f>
        <v>0.5</v>
      </c>
      <c r="AC135" s="252">
        <f>重み_前!D135</f>
        <v>0.5</v>
      </c>
      <c r="AD135" s="252"/>
      <c r="AE135" s="252">
        <f>重み_後!D135</f>
        <v>0.5</v>
      </c>
      <c r="AF135" s="252"/>
      <c r="AG135" s="252"/>
      <c r="AH135" s="253">
        <f>重み_前!N135</f>
        <v>0</v>
      </c>
      <c r="AI135" s="253">
        <f>重み_後!O135</f>
        <v>0</v>
      </c>
      <c r="AJ135" s="252">
        <f>重み_前!E135</f>
        <v>0</v>
      </c>
      <c r="AK135" s="252"/>
      <c r="AL135" s="252">
        <f>重み_後!E135</f>
        <v>0</v>
      </c>
    </row>
    <row r="136" spans="1:38" ht="14.25" thickBot="1">
      <c r="A136" s="408"/>
      <c r="B136" s="348"/>
      <c r="C136" s="2408"/>
      <c r="D136" s="314">
        <v>4.2</v>
      </c>
      <c r="E136" s="334" t="s">
        <v>792</v>
      </c>
      <c r="F136" s="297" t="s">
        <v>759</v>
      </c>
      <c r="G136" s="297" t="s">
        <v>759</v>
      </c>
      <c r="H136" s="297" t="s">
        <v>637</v>
      </c>
      <c r="I136" s="297" t="s">
        <v>759</v>
      </c>
      <c r="J136" s="297" t="s">
        <v>759</v>
      </c>
      <c r="K136" s="315" t="s">
        <v>637</v>
      </c>
      <c r="L136" s="322"/>
      <c r="M136" s="317" t="str">
        <f>IF(L136=$AA$3,$I136,$J136)</f>
        <v>EB</v>
      </c>
      <c r="N136" s="2476">
        <v>3</v>
      </c>
      <c r="O136" s="2466" t="str">
        <f>IF(L136=$AA$3,$I136,$K136)</f>
        <v>NC</v>
      </c>
      <c r="P136" s="2476">
        <v>3</v>
      </c>
      <c r="Q136" s="450" t="str">
        <f t="shared" si="40"/>
        <v>EB</v>
      </c>
      <c r="R136" s="448" t="str">
        <f t="shared" si="41"/>
        <v>NC</v>
      </c>
      <c r="S136" s="454"/>
      <c r="T136" s="317"/>
      <c r="U136" s="402"/>
      <c r="V136" s="315"/>
      <c r="W136" s="402"/>
      <c r="X136" s="450" t="str">
        <f t="shared" si="42"/>
        <v>EB</v>
      </c>
      <c r="Y136" s="448" t="str">
        <f t="shared" si="43"/>
        <v>NC</v>
      </c>
      <c r="Z136" s="222"/>
      <c r="AA136" s="282">
        <f>重み_前!M136</f>
        <v>0.5</v>
      </c>
      <c r="AB136" s="282">
        <f>重み_後!N136</f>
        <v>0.5</v>
      </c>
      <c r="AC136" s="252">
        <f>重み_前!D136</f>
        <v>0.5</v>
      </c>
      <c r="AD136" s="252"/>
      <c r="AE136" s="252">
        <f>重み_後!D136</f>
        <v>0.5</v>
      </c>
      <c r="AF136" s="252"/>
      <c r="AG136" s="252"/>
      <c r="AH136" s="253">
        <f>重み_前!N136</f>
        <v>0</v>
      </c>
      <c r="AI136" s="253">
        <f>重み_後!O136</f>
        <v>0</v>
      </c>
      <c r="AJ136" s="252">
        <f>重み_前!E136</f>
        <v>0</v>
      </c>
      <c r="AK136" s="252"/>
      <c r="AL136" s="252">
        <f>重み_後!E136</f>
        <v>0</v>
      </c>
    </row>
    <row r="137" spans="1:38" ht="14.25" thickBot="1">
      <c r="A137" s="408"/>
      <c r="B137" s="348"/>
      <c r="C137" s="325"/>
      <c r="D137" s="343" t="s">
        <v>1807</v>
      </c>
      <c r="E137" s="307"/>
      <c r="F137" s="297" t="s">
        <v>428</v>
      </c>
      <c r="G137" s="297" t="s">
        <v>428</v>
      </c>
      <c r="H137" s="297" t="s">
        <v>139</v>
      </c>
      <c r="I137" s="344"/>
      <c r="J137" s="344"/>
      <c r="K137" s="345"/>
      <c r="L137" s="312" t="str">
        <f>IF(COUNTIF(L138:L139,$AA$3)&gt;=ROWS(L138:L139),$AA$3,"")</f>
        <v/>
      </c>
      <c r="M137" s="346"/>
      <c r="N137" s="326"/>
      <c r="O137" s="345"/>
      <c r="P137" s="326"/>
      <c r="Q137" s="327" t="str">
        <f t="shared" ref="Q137:Q139" si="52">IF(L137=$AA$3,$F137,$G137)</f>
        <v>EB</v>
      </c>
      <c r="R137" s="328" t="str">
        <f t="shared" ref="R137:R139" si="53">IF(L137=$AA$3,$F137,$H137)</f>
        <v>NC</v>
      </c>
      <c r="S137" s="454"/>
      <c r="T137" s="317"/>
      <c r="U137" s="402"/>
      <c r="V137" s="315"/>
      <c r="W137" s="402"/>
      <c r="X137" s="327" t="str">
        <f t="shared" ref="X137:X139" si="54">IF(S137=$AA$3,$F137,$G137)</f>
        <v>EB</v>
      </c>
      <c r="Y137" s="328" t="str">
        <f t="shared" ref="Y137:Y139" si="55">IF(S137=$AA$3,$F137,$H137)</f>
        <v>NC</v>
      </c>
      <c r="Z137" s="222"/>
      <c r="AA137" s="282">
        <f>重み_前!M137</f>
        <v>0</v>
      </c>
      <c r="AB137" s="282">
        <f>重み_後!N137</f>
        <v>0</v>
      </c>
      <c r="AC137" s="252">
        <f>重み_前!D137</f>
        <v>0</v>
      </c>
      <c r="AD137" s="252"/>
      <c r="AE137" s="252">
        <f>重み_後!D137</f>
        <v>0</v>
      </c>
      <c r="AF137" s="252"/>
      <c r="AG137" s="252"/>
      <c r="AH137" s="253">
        <f>重み_前!N137</f>
        <v>0</v>
      </c>
      <c r="AI137" s="253">
        <f>重み_後!O137</f>
        <v>0</v>
      </c>
      <c r="AJ137" s="252">
        <f>重み_前!E137</f>
        <v>0</v>
      </c>
      <c r="AK137" s="252"/>
      <c r="AL137" s="252">
        <f>重み_後!E137</f>
        <v>0</v>
      </c>
    </row>
    <row r="138" spans="1:38" ht="14.25" thickBot="1">
      <c r="A138" s="408"/>
      <c r="B138" s="348"/>
      <c r="C138" s="2407"/>
      <c r="D138" s="314">
        <v>4.0999999999999996</v>
      </c>
      <c r="E138" s="334" t="s">
        <v>1806</v>
      </c>
      <c r="F138" s="297" t="s">
        <v>759</v>
      </c>
      <c r="G138" s="297" t="s">
        <v>759</v>
      </c>
      <c r="H138" s="297" t="s">
        <v>637</v>
      </c>
      <c r="I138" s="297" t="s">
        <v>759</v>
      </c>
      <c r="J138" s="297" t="s">
        <v>759</v>
      </c>
      <c r="K138" s="315" t="s">
        <v>637</v>
      </c>
      <c r="L138" s="316"/>
      <c r="M138" s="317" t="str">
        <f>IF(L138=$AA$3,$I138,$J138)</f>
        <v>EB</v>
      </c>
      <c r="N138" s="2485"/>
      <c r="O138" s="2466" t="str">
        <f>IF(L138=$AA$3,$I138,$K138)</f>
        <v>NC</v>
      </c>
      <c r="P138" s="2485"/>
      <c r="Q138" s="450" t="str">
        <f t="shared" si="52"/>
        <v>EB</v>
      </c>
      <c r="R138" s="448" t="str">
        <f t="shared" si="53"/>
        <v>NC</v>
      </c>
      <c r="S138" s="454"/>
      <c r="T138" s="317"/>
      <c r="U138" s="402"/>
      <c r="V138" s="315"/>
      <c r="W138" s="402"/>
      <c r="X138" s="450" t="str">
        <f t="shared" si="54"/>
        <v>EB</v>
      </c>
      <c r="Y138" s="448" t="str">
        <f t="shared" si="55"/>
        <v>NC</v>
      </c>
      <c r="Z138" s="222"/>
      <c r="AA138" s="282">
        <f>重み_前!M138</f>
        <v>0</v>
      </c>
      <c r="AB138" s="282">
        <f>重み_後!N138</f>
        <v>0</v>
      </c>
      <c r="AC138" s="252">
        <f>重み_前!D138</f>
        <v>0</v>
      </c>
      <c r="AD138" s="252"/>
      <c r="AE138" s="252">
        <f>重み_後!D138</f>
        <v>0</v>
      </c>
      <c r="AF138" s="252"/>
      <c r="AG138" s="252"/>
      <c r="AH138" s="253">
        <f>重み_前!N138</f>
        <v>0</v>
      </c>
      <c r="AI138" s="253">
        <f>重み_後!O138</f>
        <v>0</v>
      </c>
      <c r="AJ138" s="252">
        <f>重み_前!E138</f>
        <v>0</v>
      </c>
      <c r="AK138" s="252"/>
      <c r="AL138" s="252">
        <f>重み_後!E138</f>
        <v>0</v>
      </c>
    </row>
    <row r="139" spans="1:38" ht="14.25" thickBot="1">
      <c r="A139" s="408"/>
      <c r="B139" s="387"/>
      <c r="C139" s="2408"/>
      <c r="D139" s="314">
        <v>4.2</v>
      </c>
      <c r="E139" s="334" t="s">
        <v>792</v>
      </c>
      <c r="F139" s="297" t="s">
        <v>759</v>
      </c>
      <c r="G139" s="297" t="s">
        <v>759</v>
      </c>
      <c r="H139" s="297" t="s">
        <v>637</v>
      </c>
      <c r="I139" s="297" t="s">
        <v>759</v>
      </c>
      <c r="J139" s="297" t="s">
        <v>759</v>
      </c>
      <c r="K139" s="315" t="s">
        <v>637</v>
      </c>
      <c r="L139" s="322"/>
      <c r="M139" s="317" t="str">
        <f>IF(L139=$AA$3,$I139,$J139)</f>
        <v>EB</v>
      </c>
      <c r="N139" s="2476"/>
      <c r="O139" s="2466" t="str">
        <f>IF(L139=$AA$3,$I139,$K139)</f>
        <v>NC</v>
      </c>
      <c r="P139" s="2476"/>
      <c r="Q139" s="450" t="str">
        <f t="shared" si="52"/>
        <v>EB</v>
      </c>
      <c r="R139" s="448" t="str">
        <f t="shared" si="53"/>
        <v>NC</v>
      </c>
      <c r="S139" s="454"/>
      <c r="T139" s="317"/>
      <c r="U139" s="310"/>
      <c r="V139" s="315"/>
      <c r="W139" s="310"/>
      <c r="X139" s="450" t="str">
        <f t="shared" si="54"/>
        <v>EB</v>
      </c>
      <c r="Y139" s="448" t="str">
        <f t="shared" si="55"/>
        <v>NC</v>
      </c>
      <c r="Z139" s="222"/>
      <c r="AA139" s="282">
        <f>重み_前!M139</f>
        <v>0</v>
      </c>
      <c r="AB139" s="282">
        <f>重み_後!N139</f>
        <v>0</v>
      </c>
      <c r="AC139" s="252">
        <f>重み_前!D139</f>
        <v>0</v>
      </c>
      <c r="AD139" s="252"/>
      <c r="AE139" s="252">
        <f>重み_後!D139</f>
        <v>0</v>
      </c>
      <c r="AF139" s="252"/>
      <c r="AG139" s="252"/>
      <c r="AH139" s="253">
        <f>重み_前!N139</f>
        <v>0</v>
      </c>
      <c r="AI139" s="253">
        <f>重み_後!O139</f>
        <v>0</v>
      </c>
      <c r="AJ139" s="252">
        <f>重み_前!E139</f>
        <v>0</v>
      </c>
      <c r="AK139" s="252"/>
      <c r="AL139" s="252">
        <f>重み_後!E139</f>
        <v>0</v>
      </c>
    </row>
    <row r="140" spans="1:38" ht="14.25" thickBot="1">
      <c r="A140" s="408"/>
      <c r="B140" s="369" t="s">
        <v>793</v>
      </c>
      <c r="C140" s="409" t="s">
        <v>794</v>
      </c>
      <c r="D140" s="409"/>
      <c r="E140" s="409"/>
      <c r="F140" s="371"/>
      <c r="G140" s="371"/>
      <c r="H140" s="371"/>
      <c r="I140" s="371"/>
      <c r="J140" s="371"/>
      <c r="K140" s="372"/>
      <c r="L140" s="373"/>
      <c r="M140" s="373"/>
      <c r="N140" s="374"/>
      <c r="O140" s="372"/>
      <c r="P140" s="374"/>
      <c r="Q140" s="375"/>
      <c r="R140" s="373"/>
      <c r="S140" s="410"/>
      <c r="T140" s="373"/>
      <c r="U140" s="374"/>
      <c r="V140" s="372"/>
      <c r="W140" s="374"/>
      <c r="X140" s="375"/>
      <c r="Y140" s="373"/>
      <c r="Z140" s="222"/>
      <c r="AA140" s="282">
        <f>重み_前!M140</f>
        <v>0.3</v>
      </c>
      <c r="AB140" s="282">
        <f>重み_後!N140</f>
        <v>0.3</v>
      </c>
      <c r="AC140" s="252">
        <f>重み_前!D140</f>
        <v>0.3</v>
      </c>
      <c r="AD140" s="252"/>
      <c r="AE140" s="252">
        <f>重み_後!D140</f>
        <v>0.3</v>
      </c>
      <c r="AF140" s="252"/>
      <c r="AG140" s="252"/>
      <c r="AH140" s="253">
        <f>重み_前!N140</f>
        <v>0</v>
      </c>
      <c r="AI140" s="253">
        <f>重み_後!O140</f>
        <v>0</v>
      </c>
      <c r="AJ140" s="252">
        <f>重み_前!E140</f>
        <v>0</v>
      </c>
      <c r="AK140" s="252"/>
      <c r="AL140" s="252">
        <f>重み_後!E140</f>
        <v>0</v>
      </c>
    </row>
    <row r="141" spans="1:38" ht="14.25" thickBot="1">
      <c r="A141" s="408"/>
      <c r="B141" s="465">
        <v>1</v>
      </c>
      <c r="C141" s="295" t="s">
        <v>795</v>
      </c>
      <c r="D141" s="295"/>
      <c r="E141" s="440"/>
      <c r="F141" s="297" t="s">
        <v>687</v>
      </c>
      <c r="G141" s="297" t="s">
        <v>687</v>
      </c>
      <c r="H141" s="297" t="s">
        <v>688</v>
      </c>
      <c r="I141" s="344"/>
      <c r="J141" s="344"/>
      <c r="K141" s="345"/>
      <c r="L141" s="300" t="str">
        <f>IF(COUNTIF(L142:L145,$AA$3)&gt;=ROWS(L142:L145),$AA$3,"")</f>
        <v/>
      </c>
      <c r="M141" s="346"/>
      <c r="N141" s="326"/>
      <c r="O141" s="345"/>
      <c r="P141" s="310"/>
      <c r="Q141" s="327" t="str">
        <f t="shared" ref="Q141:Q158" si="56">IF(L141=$AA$3,$F141,$G141)</f>
        <v>EB</v>
      </c>
      <c r="R141" s="328" t="str">
        <f t="shared" ref="R141:R158" si="57">IF(L141=$AA$3,$F141,$H141)</f>
        <v>NC</v>
      </c>
      <c r="S141" s="454"/>
      <c r="T141" s="317"/>
      <c r="U141" s="446"/>
      <c r="V141" s="315"/>
      <c r="W141" s="446"/>
      <c r="X141" s="327" t="str">
        <f t="shared" ref="X141:X158" si="58">IF(S141=$AA$3,$F141,$G141)</f>
        <v>EB</v>
      </c>
      <c r="Y141" s="328" t="str">
        <f t="shared" ref="Y141:Y158" si="59">IF(S141=$AA$3,$F141,$H141)</f>
        <v>NC</v>
      </c>
      <c r="Z141" s="222"/>
      <c r="AA141" s="282">
        <f>重み_前!M141</f>
        <v>0.2</v>
      </c>
      <c r="AB141" s="282">
        <f>重み_後!N141</f>
        <v>0.2</v>
      </c>
      <c r="AC141" s="252">
        <f>重み_前!D141</f>
        <v>0.2</v>
      </c>
      <c r="AD141" s="252"/>
      <c r="AE141" s="252">
        <f>重み_後!D141</f>
        <v>0.2</v>
      </c>
      <c r="AF141" s="252"/>
      <c r="AG141" s="252"/>
      <c r="AH141" s="253">
        <f>重み_前!N141</f>
        <v>0</v>
      </c>
      <c r="AI141" s="253">
        <f>重み_後!O141</f>
        <v>0</v>
      </c>
      <c r="AJ141" s="252">
        <f>重み_前!E141</f>
        <v>0</v>
      </c>
      <c r="AK141" s="252"/>
      <c r="AL141" s="252">
        <f>重み_後!E141</f>
        <v>0</v>
      </c>
    </row>
    <row r="142" spans="1:38" ht="14.25" thickBot="1">
      <c r="A142" s="408"/>
      <c r="B142" s="348"/>
      <c r="C142" s="333">
        <v>1.1000000000000001</v>
      </c>
      <c r="D142" s="334" t="s">
        <v>796</v>
      </c>
      <c r="E142" s="334"/>
      <c r="F142" s="297" t="s">
        <v>759</v>
      </c>
      <c r="G142" s="297" t="s">
        <v>759</v>
      </c>
      <c r="H142" s="297" t="s">
        <v>637</v>
      </c>
      <c r="I142" s="297" t="s">
        <v>759</v>
      </c>
      <c r="J142" s="297" t="s">
        <v>759</v>
      </c>
      <c r="K142" s="315" t="s">
        <v>637</v>
      </c>
      <c r="L142" s="448"/>
      <c r="M142" s="317" t="str">
        <f>IF(L142=$AA$3,$I142,$J142)</f>
        <v>EB</v>
      </c>
      <c r="N142" s="449">
        <v>3</v>
      </c>
      <c r="O142" s="2466" t="str">
        <f>IF(L142=$AA$3,$I142,$K142)</f>
        <v>NC</v>
      </c>
      <c r="P142" s="449">
        <v>3</v>
      </c>
      <c r="Q142" s="450" t="str">
        <f t="shared" si="56"/>
        <v>EB</v>
      </c>
      <c r="R142" s="448" t="str">
        <f t="shared" si="57"/>
        <v>NC</v>
      </c>
      <c r="S142" s="454"/>
      <c r="T142" s="317"/>
      <c r="U142" s="2114"/>
      <c r="V142" s="315"/>
      <c r="W142" s="2114"/>
      <c r="X142" s="450" t="str">
        <f t="shared" si="58"/>
        <v>EB</v>
      </c>
      <c r="Y142" s="448" t="str">
        <f t="shared" si="59"/>
        <v>NC</v>
      </c>
      <c r="Z142" s="222"/>
      <c r="AA142" s="282">
        <f>重み_前!M142</f>
        <v>0.4</v>
      </c>
      <c r="AB142" s="282">
        <f>重み_後!N142</f>
        <v>0.4</v>
      </c>
      <c r="AC142" s="252">
        <f>重み_前!D142</f>
        <v>0.4</v>
      </c>
      <c r="AD142" s="252"/>
      <c r="AE142" s="252">
        <f>重み_後!D142</f>
        <v>0.4</v>
      </c>
      <c r="AF142" s="252"/>
      <c r="AG142" s="252"/>
      <c r="AH142" s="253">
        <f>重み_前!N142</f>
        <v>0</v>
      </c>
      <c r="AI142" s="253">
        <f>重み_後!O142</f>
        <v>0</v>
      </c>
      <c r="AJ142" s="252">
        <f>重み_前!E142</f>
        <v>0</v>
      </c>
      <c r="AK142" s="252"/>
      <c r="AL142" s="252">
        <f>重み_後!E142</f>
        <v>0</v>
      </c>
    </row>
    <row r="143" spans="1:38" ht="14.25" thickBot="1">
      <c r="A143" s="408"/>
      <c r="B143" s="348"/>
      <c r="C143" s="466">
        <v>1.2</v>
      </c>
      <c r="D143" s="343" t="s">
        <v>841</v>
      </c>
      <c r="E143" s="334"/>
      <c r="F143" s="297" t="s">
        <v>798</v>
      </c>
      <c r="G143" s="297" t="s">
        <v>798</v>
      </c>
      <c r="H143" s="297" t="s">
        <v>799</v>
      </c>
      <c r="I143" s="344"/>
      <c r="J143" s="344"/>
      <c r="K143" s="345"/>
      <c r="L143" s="312" t="str">
        <f>IF(COUNTIF(L144:L145,$AA$3)&gt;=ROWS(L144:L145),$AA$3,"")</f>
        <v/>
      </c>
      <c r="M143" s="346"/>
      <c r="N143" s="326"/>
      <c r="O143" s="345"/>
      <c r="P143" s="326"/>
      <c r="Q143" s="327" t="str">
        <f t="shared" si="56"/>
        <v>EB</v>
      </c>
      <c r="R143" s="328" t="str">
        <f t="shared" si="57"/>
        <v>NC</v>
      </c>
      <c r="S143" s="454"/>
      <c r="T143" s="317"/>
      <c r="U143" s="2114"/>
      <c r="V143" s="315"/>
      <c r="W143" s="2114"/>
      <c r="X143" s="327" t="str">
        <f t="shared" si="58"/>
        <v>EB</v>
      </c>
      <c r="Y143" s="328" t="str">
        <f t="shared" si="59"/>
        <v>NC</v>
      </c>
      <c r="Z143" s="222"/>
      <c r="AA143" s="282">
        <f>重み_前!M143</f>
        <v>0.6</v>
      </c>
      <c r="AB143" s="282">
        <f>重み_後!N143</f>
        <v>0.6</v>
      </c>
      <c r="AC143" s="252">
        <f>重み_前!D143</f>
        <v>0.6</v>
      </c>
      <c r="AD143" s="252"/>
      <c r="AE143" s="252">
        <f>重み_後!D143</f>
        <v>0.6</v>
      </c>
      <c r="AF143" s="252"/>
      <c r="AG143" s="252"/>
      <c r="AH143" s="253">
        <f>重み_前!N143</f>
        <v>0</v>
      </c>
      <c r="AI143" s="253">
        <f>重み_後!O143</f>
        <v>0</v>
      </c>
      <c r="AJ143" s="252">
        <f>重み_前!E143</f>
        <v>0</v>
      </c>
      <c r="AK143" s="252"/>
      <c r="AL143" s="252">
        <f>重み_後!E143</f>
        <v>0</v>
      </c>
    </row>
    <row r="144" spans="1:38" ht="13.5">
      <c r="A144" s="408"/>
      <c r="B144" s="348"/>
      <c r="C144" s="467"/>
      <c r="D144" s="314">
        <v>1</v>
      </c>
      <c r="E144" s="362" t="s">
        <v>800</v>
      </c>
      <c r="F144" s="297" t="s">
        <v>759</v>
      </c>
      <c r="G144" s="297" t="s">
        <v>759</v>
      </c>
      <c r="H144" s="297" t="s">
        <v>637</v>
      </c>
      <c r="I144" s="297" t="s">
        <v>759</v>
      </c>
      <c r="J144" s="297" t="s">
        <v>759</v>
      </c>
      <c r="K144" s="315" t="s">
        <v>637</v>
      </c>
      <c r="L144" s="316"/>
      <c r="M144" s="317" t="str">
        <f>IF(L144=$AA$3,$I144,$J144)</f>
        <v>EB</v>
      </c>
      <c r="N144" s="2469">
        <v>3</v>
      </c>
      <c r="O144" s="2466" t="str">
        <f>IF(L144=$AA$3,$I144,$K144)</f>
        <v>NC</v>
      </c>
      <c r="P144" s="2469">
        <v>3</v>
      </c>
      <c r="Q144" s="319" t="str">
        <f t="shared" si="56"/>
        <v>EB</v>
      </c>
      <c r="R144" s="316" t="str">
        <f t="shared" si="57"/>
        <v>NC</v>
      </c>
      <c r="S144" s="454"/>
      <c r="T144" s="317"/>
      <c r="U144" s="2114"/>
      <c r="V144" s="315"/>
      <c r="W144" s="2114"/>
      <c r="X144" s="319" t="str">
        <f t="shared" si="58"/>
        <v>EB</v>
      </c>
      <c r="Y144" s="316" t="str">
        <f t="shared" si="59"/>
        <v>NC</v>
      </c>
      <c r="Z144" s="222"/>
      <c r="AA144" s="282">
        <f>重み_前!M144</f>
        <v>0.7</v>
      </c>
      <c r="AB144" s="282">
        <f>重み_後!N144</f>
        <v>0.7</v>
      </c>
      <c r="AC144" s="252">
        <f>重み_前!D144</f>
        <v>0.7</v>
      </c>
      <c r="AD144" s="252"/>
      <c r="AE144" s="252">
        <f>重み_後!D144</f>
        <v>0.7</v>
      </c>
      <c r="AF144" s="252"/>
      <c r="AG144" s="252"/>
      <c r="AH144" s="253">
        <f>重み_前!N144</f>
        <v>0</v>
      </c>
      <c r="AI144" s="253">
        <f>重み_後!O144</f>
        <v>0</v>
      </c>
      <c r="AJ144" s="252">
        <f>重み_前!E144</f>
        <v>0</v>
      </c>
      <c r="AK144" s="252"/>
      <c r="AL144" s="252">
        <f>重み_後!E144</f>
        <v>0</v>
      </c>
    </row>
    <row r="145" spans="1:38" ht="14.25" thickBot="1">
      <c r="A145" s="408"/>
      <c r="B145" s="387"/>
      <c r="C145" s="468"/>
      <c r="D145" s="314">
        <v>2</v>
      </c>
      <c r="E145" s="362" t="s">
        <v>840</v>
      </c>
      <c r="F145" s="297" t="s">
        <v>759</v>
      </c>
      <c r="G145" s="297" t="s">
        <v>759</v>
      </c>
      <c r="H145" s="297" t="s">
        <v>637</v>
      </c>
      <c r="I145" s="297" t="s">
        <v>759</v>
      </c>
      <c r="J145" s="297" t="s">
        <v>759</v>
      </c>
      <c r="K145" s="315" t="s">
        <v>637</v>
      </c>
      <c r="L145" s="322"/>
      <c r="M145" s="317" t="str">
        <f>IF(L145=$AA$3,$I145,$J145)</f>
        <v>EB</v>
      </c>
      <c r="N145" s="2471">
        <v>3</v>
      </c>
      <c r="O145" s="2466" t="str">
        <f>IF(L145=$AA$3,$I145,$K145)</f>
        <v>NC</v>
      </c>
      <c r="P145" s="2471">
        <v>3</v>
      </c>
      <c r="Q145" s="324" t="str">
        <f t="shared" si="56"/>
        <v>EB</v>
      </c>
      <c r="R145" s="322" t="str">
        <f t="shared" si="57"/>
        <v>NC</v>
      </c>
      <c r="S145" s="454"/>
      <c r="T145" s="317"/>
      <c r="U145" s="2114"/>
      <c r="V145" s="315"/>
      <c r="W145" s="2114"/>
      <c r="X145" s="324" t="str">
        <f t="shared" si="58"/>
        <v>EB</v>
      </c>
      <c r="Y145" s="322" t="str">
        <f t="shared" si="59"/>
        <v>NC</v>
      </c>
      <c r="Z145" s="222"/>
      <c r="AA145" s="282">
        <f>重み_前!M145</f>
        <v>0.3</v>
      </c>
      <c r="AB145" s="282">
        <f>重み_後!N145</f>
        <v>0.3</v>
      </c>
      <c r="AC145" s="252">
        <f>重み_前!D145</f>
        <v>0.3</v>
      </c>
      <c r="AD145" s="252"/>
      <c r="AE145" s="252">
        <f>重み_後!D145</f>
        <v>0.3</v>
      </c>
      <c r="AF145" s="252"/>
      <c r="AG145" s="252"/>
      <c r="AH145" s="253">
        <f>重み_前!N145</f>
        <v>0</v>
      </c>
      <c r="AI145" s="253">
        <f>重み_後!O145</f>
        <v>0</v>
      </c>
      <c r="AJ145" s="252">
        <f>重み_前!E145</f>
        <v>0</v>
      </c>
      <c r="AK145" s="252"/>
      <c r="AL145" s="252">
        <f>重み_後!E145</f>
        <v>0</v>
      </c>
    </row>
    <row r="146" spans="1:38" ht="14.25" thickBot="1">
      <c r="A146" s="408"/>
      <c r="B146" s="447">
        <v>2</v>
      </c>
      <c r="C146" s="377" t="s">
        <v>801</v>
      </c>
      <c r="D146" s="377"/>
      <c r="E146" s="469"/>
      <c r="F146" s="297" t="s">
        <v>798</v>
      </c>
      <c r="G146" s="297" t="s">
        <v>798</v>
      </c>
      <c r="H146" s="297" t="s">
        <v>799</v>
      </c>
      <c r="I146" s="344"/>
      <c r="J146" s="344"/>
      <c r="K146" s="345"/>
      <c r="L146" s="390" t="str">
        <f>IF(COUNTIF(L147:L152,$AA$3)&gt;=ROWS(L147:L152),$AA$3,"")</f>
        <v/>
      </c>
      <c r="M146" s="345"/>
      <c r="N146" s="326"/>
      <c r="O146" s="345"/>
      <c r="P146" s="2472"/>
      <c r="Q146" s="327" t="str">
        <f t="shared" si="56"/>
        <v>EB</v>
      </c>
      <c r="R146" s="328" t="str">
        <f t="shared" si="57"/>
        <v>NC</v>
      </c>
      <c r="S146" s="454"/>
      <c r="T146" s="317"/>
      <c r="U146" s="2114"/>
      <c r="V146" s="315"/>
      <c r="W146" s="2114"/>
      <c r="X146" s="327" t="str">
        <f t="shared" si="58"/>
        <v>EB</v>
      </c>
      <c r="Y146" s="328" t="str">
        <f t="shared" si="59"/>
        <v>NC</v>
      </c>
      <c r="Z146" s="222"/>
      <c r="AA146" s="282">
        <f>重み_前!M146</f>
        <v>0.6</v>
      </c>
      <c r="AB146" s="282">
        <f>重み_後!N146</f>
        <v>0.6</v>
      </c>
      <c r="AC146" s="252">
        <f>重み_前!D146</f>
        <v>0.6</v>
      </c>
      <c r="AD146" s="252"/>
      <c r="AE146" s="252">
        <f>重み_後!D146</f>
        <v>0.6</v>
      </c>
      <c r="AF146" s="252"/>
      <c r="AG146" s="252"/>
      <c r="AH146" s="253">
        <f>重み_前!N146</f>
        <v>0</v>
      </c>
      <c r="AI146" s="253">
        <f>重み_後!O146</f>
        <v>0</v>
      </c>
      <c r="AJ146" s="252">
        <f>重み_前!E146</f>
        <v>0</v>
      </c>
      <c r="AK146" s="252"/>
      <c r="AL146" s="252">
        <f>重み_後!E146</f>
        <v>0</v>
      </c>
    </row>
    <row r="147" spans="1:38" ht="13.5">
      <c r="A147" s="408"/>
      <c r="B147" s="348"/>
      <c r="C147" s="306">
        <v>2.1</v>
      </c>
      <c r="D147" s="343" t="s">
        <v>802</v>
      </c>
      <c r="E147" s="334"/>
      <c r="F147" s="344" t="s">
        <v>759</v>
      </c>
      <c r="G147" s="344" t="s">
        <v>759</v>
      </c>
      <c r="H147" s="344" t="s">
        <v>637</v>
      </c>
      <c r="I147" s="344" t="s">
        <v>759</v>
      </c>
      <c r="J147" s="344" t="s">
        <v>759</v>
      </c>
      <c r="K147" s="345" t="s">
        <v>637</v>
      </c>
      <c r="L147" s="316"/>
      <c r="M147" s="317" t="str">
        <f t="shared" ref="M147:M152" si="60">IF(L147=$AA$3,$I147,$J147)</f>
        <v>EB</v>
      </c>
      <c r="N147" s="2485">
        <v>3</v>
      </c>
      <c r="O147" s="2466" t="str">
        <f t="shared" ref="O147:O152" si="61">IF(L147=$AA$3,$I147,$K147)</f>
        <v>NC</v>
      </c>
      <c r="P147" s="2485">
        <v>3</v>
      </c>
      <c r="Q147" s="319" t="str">
        <f t="shared" si="56"/>
        <v>EB</v>
      </c>
      <c r="R147" s="318" t="str">
        <f t="shared" si="57"/>
        <v>NC</v>
      </c>
      <c r="S147" s="454"/>
      <c r="T147" s="317"/>
      <c r="U147" s="2114"/>
      <c r="V147" s="315"/>
      <c r="W147" s="2114"/>
      <c r="X147" s="319" t="str">
        <f t="shared" si="58"/>
        <v>EB</v>
      </c>
      <c r="Y147" s="318" t="str">
        <f t="shared" si="59"/>
        <v>NC</v>
      </c>
      <c r="Z147" s="222"/>
      <c r="AA147" s="282">
        <f>重み_前!M147</f>
        <v>0.1</v>
      </c>
      <c r="AB147" s="282">
        <f>重み_後!N147</f>
        <v>0.1</v>
      </c>
      <c r="AC147" s="252">
        <f>重み_前!D147</f>
        <v>0.1</v>
      </c>
      <c r="AD147" s="252"/>
      <c r="AE147" s="252">
        <f>重み_後!D147</f>
        <v>0.1</v>
      </c>
      <c r="AF147" s="252"/>
      <c r="AG147" s="252"/>
      <c r="AH147" s="253">
        <f>重み_前!N147</f>
        <v>0</v>
      </c>
      <c r="AI147" s="253">
        <f>重み_後!O147</f>
        <v>0</v>
      </c>
      <c r="AJ147" s="252">
        <f>重み_前!E147</f>
        <v>0</v>
      </c>
      <c r="AK147" s="252"/>
      <c r="AL147" s="252">
        <f>重み_後!E147</f>
        <v>0</v>
      </c>
    </row>
    <row r="148" spans="1:38" ht="13.5">
      <c r="A148" s="408"/>
      <c r="B148" s="357"/>
      <c r="C148" s="333">
        <v>2.2000000000000002</v>
      </c>
      <c r="D148" s="404" t="s">
        <v>803</v>
      </c>
      <c r="E148" s="334"/>
      <c r="F148" s="297" t="s">
        <v>759</v>
      </c>
      <c r="G148" s="297" t="s">
        <v>759</v>
      </c>
      <c r="H148" s="389" t="s">
        <v>804</v>
      </c>
      <c r="I148" s="297" t="s">
        <v>759</v>
      </c>
      <c r="J148" s="297" t="s">
        <v>759</v>
      </c>
      <c r="K148" s="471" t="s">
        <v>804</v>
      </c>
      <c r="L148" s="330"/>
      <c r="M148" s="317" t="str">
        <f t="shared" si="60"/>
        <v>EB</v>
      </c>
      <c r="N148" s="470">
        <v>3</v>
      </c>
      <c r="O148" s="2466" t="str">
        <f t="shared" si="61"/>
        <v>EB</v>
      </c>
      <c r="P148" s="470">
        <v>3</v>
      </c>
      <c r="Q148" s="331" t="str">
        <f t="shared" si="56"/>
        <v>EB</v>
      </c>
      <c r="R148" s="330" t="str">
        <f t="shared" si="57"/>
        <v>EB</v>
      </c>
      <c r="S148" s="454"/>
      <c r="T148" s="317"/>
      <c r="U148" s="2114"/>
      <c r="V148" s="315"/>
      <c r="W148" s="2114"/>
      <c r="X148" s="331" t="str">
        <f t="shared" si="58"/>
        <v>EB</v>
      </c>
      <c r="Y148" s="330" t="str">
        <f t="shared" si="59"/>
        <v>EB</v>
      </c>
      <c r="Z148" s="222"/>
      <c r="AA148" s="282">
        <f>重み_前!M148</f>
        <v>0.2</v>
      </c>
      <c r="AB148" s="282">
        <f>重み_後!N148</f>
        <v>0.2</v>
      </c>
      <c r="AC148" s="252">
        <f>重み_前!D148</f>
        <v>0.2</v>
      </c>
      <c r="AD148" s="252"/>
      <c r="AE148" s="252">
        <f>重み_後!D148</f>
        <v>0.2</v>
      </c>
      <c r="AF148" s="252"/>
      <c r="AG148" s="252"/>
      <c r="AH148" s="253">
        <f>重み_前!N148</f>
        <v>0</v>
      </c>
      <c r="AI148" s="253">
        <f>重み_後!O148</f>
        <v>0</v>
      </c>
      <c r="AJ148" s="252">
        <f>重み_前!E148</f>
        <v>0</v>
      </c>
      <c r="AK148" s="252"/>
      <c r="AL148" s="252">
        <f>重み_後!E148</f>
        <v>0</v>
      </c>
    </row>
    <row r="149" spans="1:38" ht="13.5">
      <c r="A149" s="408"/>
      <c r="B149" s="348"/>
      <c r="C149" s="306">
        <v>2.2999999999999998</v>
      </c>
      <c r="D149" s="343" t="s">
        <v>805</v>
      </c>
      <c r="E149" s="334"/>
      <c r="F149" s="297" t="s">
        <v>759</v>
      </c>
      <c r="G149" s="297" t="s">
        <v>759</v>
      </c>
      <c r="H149" s="297" t="s">
        <v>637</v>
      </c>
      <c r="I149" s="297" t="s">
        <v>759</v>
      </c>
      <c r="J149" s="297" t="s">
        <v>759</v>
      </c>
      <c r="K149" s="315" t="s">
        <v>637</v>
      </c>
      <c r="L149" s="330"/>
      <c r="M149" s="317" t="str">
        <f t="shared" si="60"/>
        <v>EB</v>
      </c>
      <c r="N149" s="470">
        <v>3</v>
      </c>
      <c r="O149" s="2466" t="str">
        <f t="shared" si="61"/>
        <v>NC</v>
      </c>
      <c r="P149" s="470">
        <v>3</v>
      </c>
      <c r="Q149" s="330" t="str">
        <f t="shared" si="56"/>
        <v>EB</v>
      </c>
      <c r="R149" s="330" t="str">
        <f t="shared" si="57"/>
        <v>NC</v>
      </c>
      <c r="S149" s="454"/>
      <c r="T149" s="317"/>
      <c r="U149" s="2114"/>
      <c r="V149" s="315"/>
      <c r="W149" s="2114"/>
      <c r="X149" s="330" t="str">
        <f t="shared" si="58"/>
        <v>EB</v>
      </c>
      <c r="Y149" s="330" t="str">
        <f t="shared" si="59"/>
        <v>NC</v>
      </c>
      <c r="Z149" s="222"/>
      <c r="AA149" s="282">
        <f>重み_前!M149</f>
        <v>0.2</v>
      </c>
      <c r="AB149" s="282">
        <f>重み_後!N149</f>
        <v>0.2</v>
      </c>
      <c r="AC149" s="252">
        <f>重み_前!D149</f>
        <v>0.2</v>
      </c>
      <c r="AD149" s="252"/>
      <c r="AE149" s="252">
        <f>重み_後!D149</f>
        <v>0.2</v>
      </c>
      <c r="AF149" s="252"/>
      <c r="AG149" s="252"/>
      <c r="AH149" s="253">
        <f>重み_前!N149</f>
        <v>0</v>
      </c>
      <c r="AI149" s="253">
        <f>重み_後!O149</f>
        <v>0</v>
      </c>
      <c r="AJ149" s="252">
        <f>重み_前!E149</f>
        <v>0</v>
      </c>
      <c r="AK149" s="252"/>
      <c r="AL149" s="252">
        <f>重み_後!E149</f>
        <v>0</v>
      </c>
    </row>
    <row r="150" spans="1:38" ht="13.5">
      <c r="A150" s="408"/>
      <c r="B150" s="348"/>
      <c r="C150" s="333">
        <v>2.4</v>
      </c>
      <c r="D150" s="2108" t="s">
        <v>1808</v>
      </c>
      <c r="E150" s="334"/>
      <c r="F150" s="297" t="s">
        <v>759</v>
      </c>
      <c r="G150" s="297" t="s">
        <v>759</v>
      </c>
      <c r="H150" s="297" t="s">
        <v>637</v>
      </c>
      <c r="I150" s="297" t="s">
        <v>759</v>
      </c>
      <c r="J150" s="297" t="s">
        <v>759</v>
      </c>
      <c r="K150" s="315" t="s">
        <v>637</v>
      </c>
      <c r="L150" s="330"/>
      <c r="M150" s="317" t="str">
        <f t="shared" si="60"/>
        <v>EB</v>
      </c>
      <c r="N150" s="470">
        <v>3</v>
      </c>
      <c r="O150" s="2466" t="str">
        <f t="shared" si="61"/>
        <v>NC</v>
      </c>
      <c r="P150" s="470">
        <v>3</v>
      </c>
      <c r="Q150" s="330" t="str">
        <f t="shared" si="56"/>
        <v>EB</v>
      </c>
      <c r="R150" s="330" t="str">
        <f t="shared" si="57"/>
        <v>NC</v>
      </c>
      <c r="S150" s="454"/>
      <c r="T150" s="317"/>
      <c r="U150" s="2114"/>
      <c r="V150" s="315"/>
      <c r="W150" s="2114"/>
      <c r="X150" s="330" t="str">
        <f t="shared" si="58"/>
        <v>EB</v>
      </c>
      <c r="Y150" s="330" t="str">
        <f t="shared" si="59"/>
        <v>NC</v>
      </c>
      <c r="Z150" s="222"/>
      <c r="AA150" s="282">
        <f>重み_前!M150</f>
        <v>0.2</v>
      </c>
      <c r="AB150" s="282">
        <f>重み_後!N150</f>
        <v>0.2</v>
      </c>
      <c r="AC150" s="252">
        <f>重み_前!D150</f>
        <v>0.2</v>
      </c>
      <c r="AD150" s="252"/>
      <c r="AE150" s="252">
        <f>重み_後!D150</f>
        <v>0.2</v>
      </c>
      <c r="AF150" s="252"/>
      <c r="AG150" s="252"/>
      <c r="AH150" s="253">
        <f>重み_前!N150</f>
        <v>0</v>
      </c>
      <c r="AI150" s="253">
        <f>重み_後!O150</f>
        <v>0</v>
      </c>
      <c r="AJ150" s="252">
        <f>重み_前!E150</f>
        <v>0</v>
      </c>
      <c r="AK150" s="252"/>
      <c r="AL150" s="252">
        <f>重み_後!E150</f>
        <v>0</v>
      </c>
    </row>
    <row r="151" spans="1:38" ht="13.5">
      <c r="A151" s="408"/>
      <c r="B151" s="357"/>
      <c r="C151" s="361">
        <v>2.5</v>
      </c>
      <c r="D151" s="404" t="s">
        <v>806</v>
      </c>
      <c r="E151" s="334"/>
      <c r="F151" s="297" t="s">
        <v>759</v>
      </c>
      <c r="G151" s="297" t="s">
        <v>759</v>
      </c>
      <c r="H151" s="297" t="s">
        <v>637</v>
      </c>
      <c r="I151" s="297" t="s">
        <v>759</v>
      </c>
      <c r="J151" s="297" t="s">
        <v>759</v>
      </c>
      <c r="K151" s="315" t="s">
        <v>637</v>
      </c>
      <c r="L151" s="330"/>
      <c r="M151" s="317" t="str">
        <f t="shared" si="60"/>
        <v>EB</v>
      </c>
      <c r="N151" s="470">
        <v>3</v>
      </c>
      <c r="O151" s="2466" t="str">
        <f t="shared" si="61"/>
        <v>NC</v>
      </c>
      <c r="P151" s="470">
        <v>3</v>
      </c>
      <c r="Q151" s="330" t="str">
        <f t="shared" si="56"/>
        <v>EB</v>
      </c>
      <c r="R151" s="330" t="str">
        <f t="shared" si="57"/>
        <v>NC</v>
      </c>
      <c r="S151" s="454"/>
      <c r="T151" s="317"/>
      <c r="U151" s="2114"/>
      <c r="V151" s="315"/>
      <c r="W151" s="2114"/>
      <c r="X151" s="330" t="str">
        <f t="shared" si="58"/>
        <v>EB</v>
      </c>
      <c r="Y151" s="330" t="str">
        <f t="shared" si="59"/>
        <v>NC</v>
      </c>
      <c r="Z151" s="222"/>
      <c r="AA151" s="282">
        <f>重み_前!M151</f>
        <v>0.1</v>
      </c>
      <c r="AB151" s="282">
        <f>重み_後!N151</f>
        <v>0.1</v>
      </c>
      <c r="AC151" s="252">
        <f>重み_前!D151</f>
        <v>0.1</v>
      </c>
      <c r="AD151" s="252"/>
      <c r="AE151" s="252">
        <f>重み_後!D151</f>
        <v>0.1</v>
      </c>
      <c r="AF151" s="252"/>
      <c r="AG151" s="252"/>
      <c r="AH151" s="253">
        <f>重み_前!N151</f>
        <v>0</v>
      </c>
      <c r="AI151" s="253">
        <f>重み_後!O151</f>
        <v>0</v>
      </c>
      <c r="AJ151" s="252">
        <f>重み_前!E151</f>
        <v>0</v>
      </c>
      <c r="AK151" s="252"/>
      <c r="AL151" s="252">
        <f>重み_後!E151</f>
        <v>0</v>
      </c>
    </row>
    <row r="152" spans="1:38" ht="14.25" thickBot="1">
      <c r="A152" s="408"/>
      <c r="B152" s="472"/>
      <c r="C152" s="333">
        <v>2.6</v>
      </c>
      <c r="D152" s="404" t="s">
        <v>807</v>
      </c>
      <c r="E152" s="334"/>
      <c r="F152" s="297" t="s">
        <v>759</v>
      </c>
      <c r="G152" s="297" t="s">
        <v>759</v>
      </c>
      <c r="H152" s="297" t="s">
        <v>637</v>
      </c>
      <c r="I152" s="297" t="s">
        <v>759</v>
      </c>
      <c r="J152" s="297" t="s">
        <v>759</v>
      </c>
      <c r="K152" s="315" t="s">
        <v>637</v>
      </c>
      <c r="L152" s="323"/>
      <c r="M152" s="317" t="str">
        <f t="shared" si="60"/>
        <v>EB</v>
      </c>
      <c r="N152" s="2476">
        <v>3</v>
      </c>
      <c r="O152" s="2466" t="str">
        <f t="shared" si="61"/>
        <v>NC</v>
      </c>
      <c r="P152" s="2476">
        <v>3</v>
      </c>
      <c r="Q152" s="323" t="str">
        <f t="shared" si="56"/>
        <v>EB</v>
      </c>
      <c r="R152" s="323" t="str">
        <f t="shared" si="57"/>
        <v>NC</v>
      </c>
      <c r="S152" s="454"/>
      <c r="T152" s="317"/>
      <c r="U152" s="2114"/>
      <c r="V152" s="315"/>
      <c r="W152" s="2114"/>
      <c r="X152" s="323" t="str">
        <f t="shared" si="58"/>
        <v>EB</v>
      </c>
      <c r="Y152" s="323" t="str">
        <f t="shared" si="59"/>
        <v>NC</v>
      </c>
      <c r="Z152" s="222"/>
      <c r="AA152" s="282">
        <f>重み_前!M152</f>
        <v>0.2</v>
      </c>
      <c r="AB152" s="282">
        <f>重み_後!N152</f>
        <v>0.2</v>
      </c>
      <c r="AC152" s="252">
        <f>重み_前!D152</f>
        <v>0.2</v>
      </c>
      <c r="AD152" s="252"/>
      <c r="AE152" s="252">
        <f>重み_後!D152</f>
        <v>0.2</v>
      </c>
      <c r="AF152" s="252"/>
      <c r="AG152" s="252"/>
      <c r="AH152" s="253">
        <f>重み_前!N152</f>
        <v>0</v>
      </c>
      <c r="AI152" s="253">
        <f>重み_後!O152</f>
        <v>0</v>
      </c>
      <c r="AJ152" s="252">
        <f>重み_前!E152</f>
        <v>0</v>
      </c>
      <c r="AK152" s="252"/>
      <c r="AL152" s="252">
        <f>重み_後!E152</f>
        <v>0</v>
      </c>
    </row>
    <row r="153" spans="1:38" ht="14.25" thickBot="1">
      <c r="A153" s="408"/>
      <c r="B153" s="447">
        <v>3</v>
      </c>
      <c r="C153" s="377" t="s">
        <v>808</v>
      </c>
      <c r="D153" s="377"/>
      <c r="E153" s="469"/>
      <c r="F153" s="297" t="s">
        <v>702</v>
      </c>
      <c r="G153" s="297" t="s">
        <v>702</v>
      </c>
      <c r="H153" s="297" t="s">
        <v>703</v>
      </c>
      <c r="I153" s="297"/>
      <c r="J153" s="297"/>
      <c r="K153" s="315"/>
      <c r="L153" s="312" t="str">
        <f>IF(COUNTIF(L154:L155,$AA$3)&gt;=ROWS(L154:L155),$AA$3,"")</f>
        <v/>
      </c>
      <c r="M153" s="346"/>
      <c r="N153" s="326"/>
      <c r="O153" s="345"/>
      <c r="P153" s="326"/>
      <c r="Q153" s="327" t="str">
        <f t="shared" si="56"/>
        <v>EB</v>
      </c>
      <c r="R153" s="328" t="str">
        <f t="shared" si="57"/>
        <v>NC</v>
      </c>
      <c r="S153" s="454"/>
      <c r="T153" s="317"/>
      <c r="U153" s="2114"/>
      <c r="V153" s="315"/>
      <c r="W153" s="2114"/>
      <c r="X153" s="327" t="str">
        <f t="shared" si="58"/>
        <v>EB</v>
      </c>
      <c r="Y153" s="328" t="str">
        <f t="shared" si="59"/>
        <v>NC</v>
      </c>
      <c r="Z153" s="222"/>
      <c r="AA153" s="282">
        <f>重み_前!M153</f>
        <v>0.2</v>
      </c>
      <c r="AB153" s="282">
        <f>重み_後!N153</f>
        <v>0.20000000000000004</v>
      </c>
      <c r="AC153" s="252">
        <f>重み_前!D153</f>
        <v>0.2</v>
      </c>
      <c r="AD153" s="252"/>
      <c r="AE153" s="252">
        <f>重み_後!D153</f>
        <v>0.20000000000000004</v>
      </c>
      <c r="AF153" s="252"/>
      <c r="AG153" s="252"/>
      <c r="AH153" s="253">
        <f>重み_前!N153</f>
        <v>0</v>
      </c>
      <c r="AI153" s="253">
        <f>重み_後!O153</f>
        <v>0</v>
      </c>
      <c r="AJ153" s="252">
        <f>重み_前!E153</f>
        <v>0</v>
      </c>
      <c r="AK153" s="252"/>
      <c r="AL153" s="252">
        <f>重み_後!E153</f>
        <v>0</v>
      </c>
    </row>
    <row r="154" spans="1:38" ht="14.25" thickBot="1">
      <c r="A154" s="408"/>
      <c r="B154" s="357"/>
      <c r="C154" s="333">
        <v>3.1</v>
      </c>
      <c r="D154" s="404" t="s">
        <v>809</v>
      </c>
      <c r="E154" s="334"/>
      <c r="F154" s="297" t="s">
        <v>759</v>
      </c>
      <c r="G154" s="297" t="s">
        <v>759</v>
      </c>
      <c r="H154" s="297" t="s">
        <v>637</v>
      </c>
      <c r="I154" s="297" t="s">
        <v>759</v>
      </c>
      <c r="J154" s="297" t="s">
        <v>759</v>
      </c>
      <c r="K154" s="315" t="s">
        <v>637</v>
      </c>
      <c r="L154" s="448"/>
      <c r="M154" s="317" t="str">
        <f>IF(L154=$AA$3,$I154,$J154)</f>
        <v>EB</v>
      </c>
      <c r="N154" s="449">
        <v>3</v>
      </c>
      <c r="O154" s="2466" t="str">
        <f>IF(L154=$AA$3,$I154,$K154)</f>
        <v>NC</v>
      </c>
      <c r="P154" s="449">
        <v>3</v>
      </c>
      <c r="Q154" s="450" t="str">
        <f t="shared" si="56"/>
        <v>EB</v>
      </c>
      <c r="R154" s="448" t="str">
        <f t="shared" si="57"/>
        <v>NC</v>
      </c>
      <c r="S154" s="454"/>
      <c r="T154" s="317"/>
      <c r="U154" s="2114"/>
      <c r="V154" s="315"/>
      <c r="W154" s="2114"/>
      <c r="X154" s="450" t="str">
        <f t="shared" si="58"/>
        <v>EB</v>
      </c>
      <c r="Y154" s="448" t="str">
        <f t="shared" si="59"/>
        <v>NC</v>
      </c>
      <c r="Z154" s="222"/>
      <c r="AA154" s="282">
        <f>重み_前!M154</f>
        <v>0.3</v>
      </c>
      <c r="AB154" s="282">
        <f>重み_後!N154</f>
        <v>0.3</v>
      </c>
      <c r="AC154" s="252">
        <f>重み_前!D154</f>
        <v>0.3</v>
      </c>
      <c r="AD154" s="252"/>
      <c r="AE154" s="252">
        <f>重み_後!D154</f>
        <v>0.3</v>
      </c>
      <c r="AF154" s="252"/>
      <c r="AG154" s="252"/>
      <c r="AH154" s="253">
        <f>重み_前!N154</f>
        <v>0</v>
      </c>
      <c r="AI154" s="253">
        <f>重み_後!O154</f>
        <v>0</v>
      </c>
      <c r="AJ154" s="252">
        <f>重み_前!E154</f>
        <v>0</v>
      </c>
      <c r="AK154" s="252"/>
      <c r="AL154" s="252">
        <f>重み_後!E154</f>
        <v>0</v>
      </c>
    </row>
    <row r="155" spans="1:38" ht="14.25" thickBot="1">
      <c r="A155" s="408"/>
      <c r="B155" s="357"/>
      <c r="C155" s="306">
        <v>3.2</v>
      </c>
      <c r="D155" s="404" t="s">
        <v>810</v>
      </c>
      <c r="E155" s="307"/>
      <c r="F155" s="297" t="s">
        <v>804</v>
      </c>
      <c r="G155" s="297" t="s">
        <v>804</v>
      </c>
      <c r="H155" s="297" t="s">
        <v>811</v>
      </c>
      <c r="I155" s="344"/>
      <c r="J155" s="344"/>
      <c r="K155" s="345"/>
      <c r="L155" s="309" t="str">
        <f>IF(COUNTIF(L156:L158,$AA$3)&gt;=ROWS(L156:L158),$AA$3,"")</f>
        <v/>
      </c>
      <c r="M155" s="346"/>
      <c r="N155" s="326"/>
      <c r="O155" s="345"/>
      <c r="P155" s="326"/>
      <c r="Q155" s="327" t="str">
        <f t="shared" si="56"/>
        <v>EB</v>
      </c>
      <c r="R155" s="328" t="str">
        <f t="shared" si="57"/>
        <v>NC</v>
      </c>
      <c r="S155" s="454"/>
      <c r="T155" s="317"/>
      <c r="U155" s="2114"/>
      <c r="V155" s="315"/>
      <c r="W155" s="2114"/>
      <c r="X155" s="327" t="str">
        <f t="shared" si="58"/>
        <v>EB</v>
      </c>
      <c r="Y155" s="328" t="str">
        <f t="shared" si="59"/>
        <v>NC</v>
      </c>
      <c r="Z155" s="222"/>
      <c r="AA155" s="282">
        <f>重み_前!M155</f>
        <v>0.7</v>
      </c>
      <c r="AB155" s="282">
        <f>重み_後!N155</f>
        <v>0.7</v>
      </c>
      <c r="AC155" s="252">
        <f>重み_前!D155</f>
        <v>0.7</v>
      </c>
      <c r="AD155" s="252"/>
      <c r="AE155" s="252">
        <f>重み_後!D155</f>
        <v>0.7</v>
      </c>
      <c r="AF155" s="252"/>
      <c r="AG155" s="252"/>
      <c r="AH155" s="253">
        <f>重み_前!N155</f>
        <v>0</v>
      </c>
      <c r="AI155" s="253">
        <f>重み_後!O155</f>
        <v>0</v>
      </c>
      <c r="AJ155" s="252">
        <f>重み_前!E155</f>
        <v>0</v>
      </c>
      <c r="AK155" s="252"/>
      <c r="AL155" s="252">
        <f>重み_後!E155</f>
        <v>0</v>
      </c>
    </row>
    <row r="156" spans="1:38" ht="13.5">
      <c r="A156" s="408"/>
      <c r="B156" s="357"/>
      <c r="C156" s="313"/>
      <c r="D156" s="314">
        <v>1</v>
      </c>
      <c r="E156" s="334" t="s">
        <v>812</v>
      </c>
      <c r="F156" s="297" t="s">
        <v>759</v>
      </c>
      <c r="G156" s="297" t="s">
        <v>759</v>
      </c>
      <c r="H156" s="297" t="s">
        <v>637</v>
      </c>
      <c r="I156" s="297" t="s">
        <v>759</v>
      </c>
      <c r="J156" s="297" t="s">
        <v>759</v>
      </c>
      <c r="K156" s="315" t="s">
        <v>637</v>
      </c>
      <c r="L156" s="316"/>
      <c r="M156" s="317" t="str">
        <f>IF(L156=$AA$3,$I156,$J156)</f>
        <v>EB</v>
      </c>
      <c r="N156" s="2469">
        <v>3</v>
      </c>
      <c r="O156" s="2466" t="str">
        <f>IF(L156=$AA$3,$I156,$K156)</f>
        <v>NC</v>
      </c>
      <c r="P156" s="2469">
        <v>3</v>
      </c>
      <c r="Q156" s="319" t="str">
        <f t="shared" si="56"/>
        <v>EB</v>
      </c>
      <c r="R156" s="316" t="str">
        <f t="shared" si="57"/>
        <v>NC</v>
      </c>
      <c r="S156" s="454"/>
      <c r="T156" s="317"/>
      <c r="U156" s="2114"/>
      <c r="V156" s="315"/>
      <c r="W156" s="2114"/>
      <c r="X156" s="319" t="str">
        <f t="shared" si="58"/>
        <v>EB</v>
      </c>
      <c r="Y156" s="316" t="str">
        <f t="shared" si="59"/>
        <v>NC</v>
      </c>
      <c r="Z156" s="222"/>
      <c r="AA156" s="282">
        <f>重み_前!M156</f>
        <v>0.33333333333333331</v>
      </c>
      <c r="AB156" s="282">
        <f>重み_後!N156</f>
        <v>0.33333333333333331</v>
      </c>
      <c r="AC156" s="252">
        <f>重み_前!D156</f>
        <v>0.33333333333333331</v>
      </c>
      <c r="AD156" s="252"/>
      <c r="AE156" s="252">
        <f>重み_後!D156</f>
        <v>0.33333333333333331</v>
      </c>
      <c r="AF156" s="252"/>
      <c r="AG156" s="252"/>
      <c r="AH156" s="253">
        <f>重み_前!N156</f>
        <v>0</v>
      </c>
      <c r="AI156" s="253">
        <f>重み_後!O156</f>
        <v>0</v>
      </c>
      <c r="AJ156" s="252">
        <f>重み_前!E156</f>
        <v>0</v>
      </c>
      <c r="AK156" s="252"/>
      <c r="AL156" s="252">
        <f>重み_後!E156</f>
        <v>0</v>
      </c>
    </row>
    <row r="157" spans="1:38" ht="13.5">
      <c r="A157" s="408"/>
      <c r="B157" s="357"/>
      <c r="C157" s="313"/>
      <c r="D157" s="314">
        <v>2</v>
      </c>
      <c r="E157" s="334" t="s">
        <v>839</v>
      </c>
      <c r="F157" s="297" t="s">
        <v>759</v>
      </c>
      <c r="G157" s="297" t="s">
        <v>759</v>
      </c>
      <c r="H157" s="297" t="s">
        <v>637</v>
      </c>
      <c r="I157" s="297" t="s">
        <v>759</v>
      </c>
      <c r="J157" s="297" t="s">
        <v>759</v>
      </c>
      <c r="K157" s="315" t="s">
        <v>637</v>
      </c>
      <c r="L157" s="329"/>
      <c r="M157" s="317" t="str">
        <f>IF(L157=$AA$3,$I157,$J157)</f>
        <v>EB</v>
      </c>
      <c r="N157" s="2474">
        <v>3</v>
      </c>
      <c r="O157" s="2466" t="str">
        <f>IF(L157=$AA$3,$I157,$K157)</f>
        <v>NC</v>
      </c>
      <c r="P157" s="2474">
        <v>3</v>
      </c>
      <c r="Q157" s="331" t="str">
        <f t="shared" si="56"/>
        <v>EB</v>
      </c>
      <c r="R157" s="329" t="str">
        <f t="shared" si="57"/>
        <v>NC</v>
      </c>
      <c r="S157" s="454"/>
      <c r="T157" s="317"/>
      <c r="U157" s="2114"/>
      <c r="V157" s="315"/>
      <c r="W157" s="2114"/>
      <c r="X157" s="331" t="str">
        <f t="shared" si="58"/>
        <v>EB</v>
      </c>
      <c r="Y157" s="329" t="str">
        <f t="shared" si="59"/>
        <v>NC</v>
      </c>
      <c r="Z157" s="222"/>
      <c r="AA157" s="282">
        <f>重み_前!M157</f>
        <v>0.33333333333333331</v>
      </c>
      <c r="AB157" s="282">
        <f>重み_後!N157</f>
        <v>0.33333333333333331</v>
      </c>
      <c r="AC157" s="252">
        <f>重み_前!D157</f>
        <v>0.33333333333333331</v>
      </c>
      <c r="AD157" s="252"/>
      <c r="AE157" s="252">
        <f>重み_後!D157</f>
        <v>0.33333333333333331</v>
      </c>
      <c r="AF157" s="252"/>
      <c r="AG157" s="252"/>
      <c r="AH157" s="253">
        <f>重み_前!N157</f>
        <v>0</v>
      </c>
      <c r="AI157" s="253">
        <f>重み_後!O157</f>
        <v>0</v>
      </c>
      <c r="AJ157" s="252">
        <f>重み_前!E157</f>
        <v>0</v>
      </c>
      <c r="AK157" s="252"/>
      <c r="AL157" s="252">
        <f>重み_後!E157</f>
        <v>0</v>
      </c>
    </row>
    <row r="158" spans="1:38" ht="14.25" thickBot="1">
      <c r="A158" s="408"/>
      <c r="B158" s="473"/>
      <c r="C158" s="364"/>
      <c r="D158" s="365">
        <v>3</v>
      </c>
      <c r="E158" s="366" t="s">
        <v>813</v>
      </c>
      <c r="F158" s="297" t="s">
        <v>759</v>
      </c>
      <c r="G158" s="297" t="s">
        <v>759</v>
      </c>
      <c r="H158" s="297" t="s">
        <v>637</v>
      </c>
      <c r="I158" s="297" t="s">
        <v>759</v>
      </c>
      <c r="J158" s="297" t="s">
        <v>759</v>
      </c>
      <c r="K158" s="315" t="s">
        <v>637</v>
      </c>
      <c r="L158" s="322"/>
      <c r="M158" s="317" t="str">
        <f>IF(L158=$AA$3,$I158,$J158)</f>
        <v>EB</v>
      </c>
      <c r="N158" s="2471">
        <v>3</v>
      </c>
      <c r="O158" s="2466" t="str">
        <f>IF(L158=$AA$3,$I158,$K158)</f>
        <v>NC</v>
      </c>
      <c r="P158" s="2471">
        <v>3</v>
      </c>
      <c r="Q158" s="324" t="str">
        <f t="shared" si="56"/>
        <v>EB</v>
      </c>
      <c r="R158" s="322" t="str">
        <f t="shared" si="57"/>
        <v>NC</v>
      </c>
      <c r="S158" s="454"/>
      <c r="T158" s="317"/>
      <c r="U158" s="310"/>
      <c r="V158" s="315"/>
      <c r="W158" s="310"/>
      <c r="X158" s="324" t="str">
        <f t="shared" si="58"/>
        <v>EB</v>
      </c>
      <c r="Y158" s="322" t="str">
        <f t="shared" si="59"/>
        <v>NC</v>
      </c>
      <c r="Z158" s="222"/>
      <c r="AA158" s="282">
        <f>重み_前!M158</f>
        <v>0.33333333333333331</v>
      </c>
      <c r="AB158" s="282">
        <f>重み_後!N158</f>
        <v>0.33333333333333331</v>
      </c>
      <c r="AC158" s="252">
        <f>重み_前!D158</f>
        <v>0.33333333333333331</v>
      </c>
      <c r="AD158" s="252"/>
      <c r="AE158" s="252">
        <f>重み_後!D158</f>
        <v>0.33333333333333331</v>
      </c>
      <c r="AF158" s="252"/>
      <c r="AG158" s="252"/>
      <c r="AH158" s="253">
        <f>重み_前!N158</f>
        <v>0</v>
      </c>
      <c r="AI158" s="253">
        <f>重み_後!O158</f>
        <v>0</v>
      </c>
      <c r="AJ158" s="252">
        <f>重み_前!E158</f>
        <v>0</v>
      </c>
      <c r="AK158" s="252"/>
      <c r="AL158" s="252">
        <f>重み_後!E158</f>
        <v>0</v>
      </c>
    </row>
    <row r="159" spans="1:38" ht="14.25" thickBot="1">
      <c r="A159" s="408"/>
      <c r="B159" s="369" t="s">
        <v>430</v>
      </c>
      <c r="C159" s="409" t="s">
        <v>431</v>
      </c>
      <c r="D159" s="409"/>
      <c r="E159" s="409"/>
      <c r="F159" s="371"/>
      <c r="G159" s="371"/>
      <c r="H159" s="371"/>
      <c r="I159" s="371"/>
      <c r="J159" s="371"/>
      <c r="K159" s="372"/>
      <c r="L159" s="474"/>
      <c r="M159" s="2478"/>
      <c r="N159" s="2479"/>
      <c r="O159" s="2477"/>
      <c r="P159" s="2479"/>
      <c r="Q159" s="2480"/>
      <c r="R159" s="2478"/>
      <c r="S159" s="2484"/>
      <c r="T159" s="2478"/>
      <c r="U159" s="2479"/>
      <c r="V159" s="2477"/>
      <c r="W159" s="2479"/>
      <c r="X159" s="475"/>
      <c r="Y159" s="476"/>
      <c r="Z159" s="222"/>
      <c r="AA159" s="282">
        <f>重み_前!M159</f>
        <v>0.3</v>
      </c>
      <c r="AB159" s="282">
        <f>重み_後!N159</f>
        <v>0.3</v>
      </c>
      <c r="AC159" s="252">
        <f>重み_前!D159</f>
        <v>0.3</v>
      </c>
      <c r="AD159" s="252"/>
      <c r="AE159" s="252">
        <f>重み_後!D159</f>
        <v>0.3</v>
      </c>
      <c r="AF159" s="252"/>
      <c r="AG159" s="252"/>
      <c r="AH159" s="253">
        <f>重み_前!N159</f>
        <v>0</v>
      </c>
      <c r="AI159" s="253">
        <f>重み_後!O159</f>
        <v>0</v>
      </c>
      <c r="AJ159" s="252">
        <f>重み_前!E159</f>
        <v>0</v>
      </c>
      <c r="AK159" s="252"/>
      <c r="AL159" s="252">
        <f>重み_後!E159</f>
        <v>0</v>
      </c>
    </row>
    <row r="160" spans="1:38" ht="14.25" thickBot="1">
      <c r="A160" s="408"/>
      <c r="B160" s="477">
        <v>1</v>
      </c>
      <c r="C160" s="415" t="s">
        <v>814</v>
      </c>
      <c r="D160" s="415"/>
      <c r="E160" s="415"/>
      <c r="F160" s="297" t="s">
        <v>759</v>
      </c>
      <c r="G160" s="297" t="s">
        <v>759</v>
      </c>
      <c r="H160" s="297" t="s">
        <v>637</v>
      </c>
      <c r="I160" s="297" t="s">
        <v>759</v>
      </c>
      <c r="J160" s="297" t="s">
        <v>759</v>
      </c>
      <c r="K160" s="315" t="s">
        <v>637</v>
      </c>
      <c r="L160" s="2486"/>
      <c r="M160" s="2466" t="str">
        <f t="shared" ref="M160" si="62">IF(L160=$AA$3,$I160,$J160)</f>
        <v>EB</v>
      </c>
      <c r="N160" s="2494"/>
      <c r="O160" s="2487" t="str">
        <f t="shared" ref="O160" si="63">IF(L160=$AA$3,$I160,$K160)</f>
        <v>NC</v>
      </c>
      <c r="P160" s="2494"/>
      <c r="Q160" s="450" t="str">
        <f t="shared" ref="Q160:Q180" si="64">IF(L160=$AA$3,$F160,$G160)</f>
        <v>EB</v>
      </c>
      <c r="R160" s="448" t="str">
        <f t="shared" ref="R160:R180" si="65">IF(L160=$AA$3,$F160,$H160)</f>
        <v>NC</v>
      </c>
      <c r="S160" s="454"/>
      <c r="T160" s="317"/>
      <c r="U160" s="446"/>
      <c r="V160" s="315"/>
      <c r="W160" s="446"/>
      <c r="X160" s="450" t="str">
        <f t="shared" ref="X160:X180" si="66">IF(S160=$AA$3,$F160,$G160)</f>
        <v>EB</v>
      </c>
      <c r="Y160" s="448" t="str">
        <f t="shared" ref="Y160:Y180" si="67">IF(S160=$AA$3,$F160,$H160)</f>
        <v>NC</v>
      </c>
      <c r="Z160" s="222"/>
      <c r="AA160" s="282">
        <f>重み_前!M160</f>
        <v>0.33333333333333331</v>
      </c>
      <c r="AB160" s="282">
        <f>重み_後!N160</f>
        <v>0.33333333333333337</v>
      </c>
      <c r="AC160" s="252">
        <f>重み_前!D160</f>
        <v>0.33333333333333331</v>
      </c>
      <c r="AD160" s="252"/>
      <c r="AE160" s="252">
        <f>重み_後!D160</f>
        <v>0.33333333333333337</v>
      </c>
      <c r="AF160" s="252"/>
      <c r="AG160" s="252"/>
      <c r="AH160" s="253">
        <f>重み_前!N160</f>
        <v>0</v>
      </c>
      <c r="AI160" s="253">
        <f>重み_後!O160</f>
        <v>0</v>
      </c>
      <c r="AJ160" s="252">
        <f>重み_前!E160</f>
        <v>0</v>
      </c>
      <c r="AK160" s="252"/>
      <c r="AL160" s="252">
        <f>重み_後!E160</f>
        <v>0</v>
      </c>
    </row>
    <row r="161" spans="1:38" ht="14.25" thickBot="1">
      <c r="A161" s="408"/>
      <c r="B161" s="478">
        <v>2</v>
      </c>
      <c r="C161" s="415" t="s">
        <v>815</v>
      </c>
      <c r="D161" s="295"/>
      <c r="E161" s="295"/>
      <c r="F161" s="297" t="s">
        <v>816</v>
      </c>
      <c r="G161" s="297" t="s">
        <v>816</v>
      </c>
      <c r="H161" s="297" t="s">
        <v>817</v>
      </c>
      <c r="I161" s="297"/>
      <c r="J161" s="297"/>
      <c r="K161" s="315"/>
      <c r="L161" s="309" t="str">
        <f>IF(COUNTIF(L162:L164,$AA$3)&gt;=ROWS(L162:L164),$AA$3,"")</f>
        <v/>
      </c>
      <c r="M161" s="346"/>
      <c r="N161" s="326"/>
      <c r="O161" s="345"/>
      <c r="P161" s="326"/>
      <c r="Q161" s="327" t="str">
        <f t="shared" si="64"/>
        <v>EB</v>
      </c>
      <c r="R161" s="328" t="str">
        <f t="shared" si="65"/>
        <v>NC</v>
      </c>
      <c r="S161" s="454"/>
      <c r="T161" s="317"/>
      <c r="U161" s="2114"/>
      <c r="V161" s="315"/>
      <c r="W161" s="2114"/>
      <c r="X161" s="327" t="str">
        <f t="shared" si="66"/>
        <v>EB</v>
      </c>
      <c r="Y161" s="328" t="str">
        <f t="shared" si="67"/>
        <v>NC</v>
      </c>
      <c r="Z161" s="222"/>
      <c r="AA161" s="282">
        <f>重み_前!M161</f>
        <v>0.33333333333333331</v>
      </c>
      <c r="AB161" s="282">
        <f>重み_後!N161</f>
        <v>0.33333333333333331</v>
      </c>
      <c r="AC161" s="252">
        <f>重み_前!D161</f>
        <v>0.33333333333333331</v>
      </c>
      <c r="AD161" s="252"/>
      <c r="AE161" s="252">
        <f>重み_後!D161</f>
        <v>0.33333333333333331</v>
      </c>
      <c r="AF161" s="252"/>
      <c r="AG161" s="252"/>
      <c r="AH161" s="253">
        <f>重み_前!N161</f>
        <v>0</v>
      </c>
      <c r="AI161" s="253">
        <f>重み_後!O161</f>
        <v>0</v>
      </c>
      <c r="AJ161" s="252">
        <f>重み_前!E161</f>
        <v>0</v>
      </c>
      <c r="AK161" s="252"/>
      <c r="AL161" s="252">
        <f>重み_後!E161</f>
        <v>0</v>
      </c>
    </row>
    <row r="162" spans="1:38" ht="13.5">
      <c r="A162" s="408"/>
      <c r="B162" s="478"/>
      <c r="C162" s="333">
        <v>2.1</v>
      </c>
      <c r="D162" s="404" t="s">
        <v>818</v>
      </c>
      <c r="E162" s="334"/>
      <c r="F162" s="297" t="s">
        <v>759</v>
      </c>
      <c r="G162" s="297" t="s">
        <v>759</v>
      </c>
      <c r="H162" s="297" t="s">
        <v>637</v>
      </c>
      <c r="I162" s="297" t="s">
        <v>759</v>
      </c>
      <c r="J162" s="297" t="s">
        <v>759</v>
      </c>
      <c r="K162" s="315" t="s">
        <v>637</v>
      </c>
      <c r="L162" s="318"/>
      <c r="M162" s="317" t="str">
        <f>IF(L162=$AA$3,$I162,$J162)</f>
        <v>EB</v>
      </c>
      <c r="N162" s="2485">
        <v>3</v>
      </c>
      <c r="O162" s="2466" t="str">
        <f>IF(L162=$AA$3,$I162,$K162)</f>
        <v>NC</v>
      </c>
      <c r="P162" s="2485">
        <v>3</v>
      </c>
      <c r="Q162" s="318" t="str">
        <f t="shared" si="64"/>
        <v>EB</v>
      </c>
      <c r="R162" s="318" t="str">
        <f t="shared" si="65"/>
        <v>NC</v>
      </c>
      <c r="S162" s="454"/>
      <c r="T162" s="317"/>
      <c r="U162" s="2114"/>
      <c r="V162" s="315"/>
      <c r="W162" s="2114"/>
      <c r="X162" s="318" t="str">
        <f t="shared" si="66"/>
        <v>EB</v>
      </c>
      <c r="Y162" s="318" t="str">
        <f t="shared" si="67"/>
        <v>NC</v>
      </c>
      <c r="Z162" s="222"/>
      <c r="AA162" s="282">
        <f>重み_前!M162</f>
        <v>0.25</v>
      </c>
      <c r="AB162" s="282">
        <f>重み_後!N162</f>
        <v>0.25000000000000006</v>
      </c>
      <c r="AC162" s="252">
        <f>重み_前!D162</f>
        <v>0.25</v>
      </c>
      <c r="AD162" s="252"/>
      <c r="AE162" s="252">
        <f>重み_後!D162</f>
        <v>0.25</v>
      </c>
      <c r="AF162" s="252"/>
      <c r="AG162" s="252"/>
      <c r="AH162" s="253">
        <f>重み_前!N162</f>
        <v>0</v>
      </c>
      <c r="AI162" s="253">
        <f>重み_後!O162</f>
        <v>0</v>
      </c>
      <c r="AJ162" s="252">
        <f>重み_前!E162</f>
        <v>0</v>
      </c>
      <c r="AK162" s="252"/>
      <c r="AL162" s="252">
        <f>重み_後!E162</f>
        <v>0</v>
      </c>
    </row>
    <row r="163" spans="1:38" ht="14.25" thickBot="1">
      <c r="A163" s="408"/>
      <c r="B163" s="479"/>
      <c r="C163" s="333">
        <v>2.2000000000000002</v>
      </c>
      <c r="D163" s="404" t="s">
        <v>819</v>
      </c>
      <c r="E163" s="334"/>
      <c r="F163" s="297" t="s">
        <v>759</v>
      </c>
      <c r="G163" s="297" t="s">
        <v>759</v>
      </c>
      <c r="H163" s="297" t="s">
        <v>637</v>
      </c>
      <c r="I163" s="297" t="s">
        <v>759</v>
      </c>
      <c r="J163" s="297" t="s">
        <v>759</v>
      </c>
      <c r="K163" s="315" t="s">
        <v>637</v>
      </c>
      <c r="L163" s="323"/>
      <c r="M163" s="317" t="str">
        <f>IF(L163=$AA$3,$I163,$J163)</f>
        <v>EB</v>
      </c>
      <c r="N163" s="2476">
        <v>3</v>
      </c>
      <c r="O163" s="2466" t="str">
        <f>IF(L163=$AA$3,$I163,$K163)</f>
        <v>NC</v>
      </c>
      <c r="P163" s="2476">
        <v>3</v>
      </c>
      <c r="Q163" s="323" t="str">
        <f t="shared" si="64"/>
        <v>EB</v>
      </c>
      <c r="R163" s="323" t="str">
        <f t="shared" si="65"/>
        <v>NC</v>
      </c>
      <c r="S163" s="454"/>
      <c r="T163" s="317"/>
      <c r="U163" s="2114"/>
      <c r="V163" s="315"/>
      <c r="W163" s="2114"/>
      <c r="X163" s="323" t="str">
        <f t="shared" si="66"/>
        <v>EB</v>
      </c>
      <c r="Y163" s="323" t="str">
        <f t="shared" si="67"/>
        <v>NC</v>
      </c>
      <c r="Z163" s="222"/>
      <c r="AA163" s="282">
        <f>重み_前!M163</f>
        <v>0.5</v>
      </c>
      <c r="AB163" s="282">
        <f>重み_後!N163</f>
        <v>0.50000000000000011</v>
      </c>
      <c r="AC163" s="252">
        <f>重み_前!D163</f>
        <v>0.5</v>
      </c>
      <c r="AD163" s="252"/>
      <c r="AE163" s="252">
        <f>重み_後!D163</f>
        <v>0.5</v>
      </c>
      <c r="AF163" s="252"/>
      <c r="AG163" s="252"/>
      <c r="AH163" s="253">
        <f>重み_前!N163</f>
        <v>0</v>
      </c>
      <c r="AI163" s="253">
        <f>重み_後!O163</f>
        <v>0</v>
      </c>
      <c r="AJ163" s="252">
        <f>重み_前!E163</f>
        <v>0</v>
      </c>
      <c r="AK163" s="252"/>
      <c r="AL163" s="252">
        <f>重み_後!E163</f>
        <v>0</v>
      </c>
    </row>
    <row r="164" spans="1:38" ht="14.25" thickBot="1">
      <c r="A164" s="408"/>
      <c r="B164" s="479"/>
      <c r="C164" s="306">
        <v>2.2999999999999998</v>
      </c>
      <c r="D164" s="404" t="s">
        <v>820</v>
      </c>
      <c r="E164" s="334"/>
      <c r="F164" s="297" t="s">
        <v>821</v>
      </c>
      <c r="G164" s="297" t="s">
        <v>821</v>
      </c>
      <c r="H164" s="297" t="s">
        <v>822</v>
      </c>
      <c r="I164" s="297"/>
      <c r="J164" s="297"/>
      <c r="K164" s="315"/>
      <c r="L164" s="309" t="str">
        <f>IF(COUNTIF(L165:L168,$AA$3)&gt;=ROWS(L165:L168),$AA$3,"")</f>
        <v/>
      </c>
      <c r="M164" s="317"/>
      <c r="N164" s="326"/>
      <c r="O164" s="315"/>
      <c r="P164" s="326"/>
      <c r="Q164" s="351" t="str">
        <f t="shared" si="64"/>
        <v>EB</v>
      </c>
      <c r="R164" s="352" t="str">
        <f t="shared" si="65"/>
        <v>NC</v>
      </c>
      <c r="S164" s="454"/>
      <c r="T164" s="317"/>
      <c r="U164" s="2114"/>
      <c r="V164" s="315"/>
      <c r="W164" s="2114"/>
      <c r="X164" s="351" t="str">
        <f t="shared" si="66"/>
        <v>EB</v>
      </c>
      <c r="Y164" s="352" t="str">
        <f t="shared" si="67"/>
        <v>NC</v>
      </c>
      <c r="Z164" s="222"/>
      <c r="AA164" s="282">
        <f>重み_前!M164</f>
        <v>0.25</v>
      </c>
      <c r="AB164" s="282">
        <f>重み_後!N164</f>
        <v>0.25000000000000006</v>
      </c>
      <c r="AC164" s="252">
        <f>重み_前!D164</f>
        <v>0.25</v>
      </c>
      <c r="AD164" s="252"/>
      <c r="AE164" s="252">
        <f>重み_後!D164</f>
        <v>0.25</v>
      </c>
      <c r="AF164" s="252"/>
      <c r="AG164" s="252"/>
      <c r="AH164" s="253">
        <f>重み_前!N164</f>
        <v>0</v>
      </c>
      <c r="AI164" s="253">
        <f>重み_後!O164</f>
        <v>0</v>
      </c>
      <c r="AJ164" s="252">
        <f>重み_前!E164</f>
        <v>0</v>
      </c>
      <c r="AK164" s="252"/>
      <c r="AL164" s="252">
        <f>重み_後!E164</f>
        <v>0</v>
      </c>
    </row>
    <row r="165" spans="1:38" ht="13.5">
      <c r="A165" s="408"/>
      <c r="B165" s="479"/>
      <c r="C165" s="480"/>
      <c r="D165" s="314">
        <v>1</v>
      </c>
      <c r="E165" s="334" t="s">
        <v>823</v>
      </c>
      <c r="F165" s="297" t="s">
        <v>759</v>
      </c>
      <c r="G165" s="297" t="s">
        <v>759</v>
      </c>
      <c r="H165" s="297" t="s">
        <v>637</v>
      </c>
      <c r="I165" s="297" t="s">
        <v>759</v>
      </c>
      <c r="J165" s="297" t="s">
        <v>759</v>
      </c>
      <c r="K165" s="315" t="s">
        <v>637</v>
      </c>
      <c r="L165" s="318"/>
      <c r="M165" s="317" t="str">
        <f>IF(L165=$AA$3,$I165,$J165)</f>
        <v>EB</v>
      </c>
      <c r="N165" s="2474">
        <v>3</v>
      </c>
      <c r="O165" s="2466" t="str">
        <f>IF(L165=$AA$3,$I165,$K165)</f>
        <v>NC</v>
      </c>
      <c r="P165" s="2469">
        <v>3</v>
      </c>
      <c r="Q165" s="319" t="str">
        <f t="shared" si="64"/>
        <v>EB</v>
      </c>
      <c r="R165" s="318" t="str">
        <f t="shared" si="65"/>
        <v>NC</v>
      </c>
      <c r="S165" s="454"/>
      <c r="T165" s="317"/>
      <c r="U165" s="2114"/>
      <c r="V165" s="315"/>
      <c r="W165" s="2114"/>
      <c r="X165" s="319" t="str">
        <f t="shared" si="66"/>
        <v>EB</v>
      </c>
      <c r="Y165" s="318" t="str">
        <f t="shared" si="67"/>
        <v>NC</v>
      </c>
      <c r="Z165" s="222"/>
      <c r="AA165" s="282">
        <f>重み_前!M165</f>
        <v>0.25</v>
      </c>
      <c r="AB165" s="282">
        <f>重み_後!N165</f>
        <v>0.25</v>
      </c>
      <c r="AC165" s="252">
        <f>重み_前!D165</f>
        <v>0.25</v>
      </c>
      <c r="AD165" s="252"/>
      <c r="AE165" s="252">
        <f>重み_後!D165</f>
        <v>0.25</v>
      </c>
      <c r="AF165" s="252"/>
      <c r="AG165" s="252"/>
      <c r="AH165" s="253">
        <f>重み_前!N165</f>
        <v>0</v>
      </c>
      <c r="AI165" s="253">
        <f>重み_後!O165</f>
        <v>0</v>
      </c>
      <c r="AJ165" s="252">
        <f>重み_前!E165</f>
        <v>0</v>
      </c>
      <c r="AK165" s="252"/>
      <c r="AL165" s="252">
        <f>重み_後!E165</f>
        <v>0</v>
      </c>
    </row>
    <row r="166" spans="1:38" ht="13.5">
      <c r="A166" s="408"/>
      <c r="B166" s="478"/>
      <c r="C166" s="480"/>
      <c r="D166" s="314">
        <v>2</v>
      </c>
      <c r="E166" s="334" t="s">
        <v>824</v>
      </c>
      <c r="F166" s="297" t="s">
        <v>759</v>
      </c>
      <c r="G166" s="297" t="s">
        <v>759</v>
      </c>
      <c r="H166" s="297" t="s">
        <v>637</v>
      </c>
      <c r="I166" s="297" t="s">
        <v>759</v>
      </c>
      <c r="J166" s="297" t="s">
        <v>759</v>
      </c>
      <c r="K166" s="315" t="s">
        <v>637</v>
      </c>
      <c r="L166" s="330"/>
      <c r="M166" s="317" t="str">
        <f>IF(L166=$AA$3,$I166,$J166)</f>
        <v>EB</v>
      </c>
      <c r="N166" s="2474">
        <v>3</v>
      </c>
      <c r="O166" s="2466" t="str">
        <f>IF(L166=$AA$3,$I166,$K166)</f>
        <v>NC</v>
      </c>
      <c r="P166" s="2474">
        <v>3</v>
      </c>
      <c r="Q166" s="331" t="str">
        <f t="shared" si="64"/>
        <v>EB</v>
      </c>
      <c r="R166" s="330" t="str">
        <f t="shared" si="65"/>
        <v>NC</v>
      </c>
      <c r="S166" s="454"/>
      <c r="T166" s="317"/>
      <c r="U166" s="2114"/>
      <c r="V166" s="315"/>
      <c r="W166" s="2114"/>
      <c r="X166" s="331" t="str">
        <f t="shared" si="66"/>
        <v>EB</v>
      </c>
      <c r="Y166" s="330" t="str">
        <f t="shared" si="67"/>
        <v>NC</v>
      </c>
      <c r="Z166" s="222"/>
      <c r="AA166" s="282">
        <f>重み_前!M166</f>
        <v>0.25</v>
      </c>
      <c r="AB166" s="282">
        <f>重み_後!N166</f>
        <v>0.25</v>
      </c>
      <c r="AC166" s="252">
        <f>重み_前!D166</f>
        <v>0.25</v>
      </c>
      <c r="AD166" s="252"/>
      <c r="AE166" s="252">
        <f>重み_後!D166</f>
        <v>0.25</v>
      </c>
      <c r="AF166" s="252"/>
      <c r="AG166" s="252"/>
      <c r="AH166" s="253">
        <f>重み_前!N166</f>
        <v>0</v>
      </c>
      <c r="AI166" s="253">
        <f>重み_後!O166</f>
        <v>0</v>
      </c>
      <c r="AJ166" s="252">
        <f>重み_前!E166</f>
        <v>0</v>
      </c>
      <c r="AK166" s="252"/>
      <c r="AL166" s="252">
        <f>重み_後!E166</f>
        <v>0</v>
      </c>
    </row>
    <row r="167" spans="1:38" ht="13.5">
      <c r="A167" s="408"/>
      <c r="B167" s="478"/>
      <c r="C167" s="480"/>
      <c r="D167" s="314">
        <v>3</v>
      </c>
      <c r="E167" s="334" t="s">
        <v>825</v>
      </c>
      <c r="F167" s="297" t="s">
        <v>759</v>
      </c>
      <c r="G167" s="297" t="s">
        <v>759</v>
      </c>
      <c r="H167" s="297" t="s">
        <v>637</v>
      </c>
      <c r="I167" s="297" t="s">
        <v>759</v>
      </c>
      <c r="J167" s="297" t="s">
        <v>759</v>
      </c>
      <c r="K167" s="315" t="s">
        <v>637</v>
      </c>
      <c r="L167" s="330"/>
      <c r="M167" s="317" t="str">
        <f>IF(L167=$AA$3,$I167,$J167)</f>
        <v>EB</v>
      </c>
      <c r="N167" s="2474">
        <v>3</v>
      </c>
      <c r="O167" s="2466" t="str">
        <f>IF(L167=$AA$3,$I167,$K167)</f>
        <v>NC</v>
      </c>
      <c r="P167" s="2474">
        <v>3</v>
      </c>
      <c r="Q167" s="331" t="str">
        <f t="shared" si="64"/>
        <v>EB</v>
      </c>
      <c r="R167" s="330" t="str">
        <f t="shared" si="65"/>
        <v>NC</v>
      </c>
      <c r="S167" s="454"/>
      <c r="T167" s="317"/>
      <c r="U167" s="2114"/>
      <c r="V167" s="315"/>
      <c r="W167" s="2114"/>
      <c r="X167" s="331" t="str">
        <f t="shared" si="66"/>
        <v>EB</v>
      </c>
      <c r="Y167" s="330" t="str">
        <f t="shared" si="67"/>
        <v>NC</v>
      </c>
      <c r="Z167" s="222"/>
      <c r="AA167" s="282">
        <f>重み_前!M167</f>
        <v>0.25</v>
      </c>
      <c r="AB167" s="282">
        <f>重み_後!N167</f>
        <v>0.25</v>
      </c>
      <c r="AC167" s="252">
        <f>重み_前!D167</f>
        <v>0.25</v>
      </c>
      <c r="AD167" s="252"/>
      <c r="AE167" s="252">
        <f>重み_後!D167</f>
        <v>0.25</v>
      </c>
      <c r="AF167" s="252"/>
      <c r="AG167" s="252"/>
      <c r="AH167" s="253">
        <f>重み_前!N167</f>
        <v>0</v>
      </c>
      <c r="AI167" s="253">
        <f>重み_後!O167</f>
        <v>0</v>
      </c>
      <c r="AJ167" s="252">
        <f>重み_前!E167</f>
        <v>0</v>
      </c>
      <c r="AK167" s="252"/>
      <c r="AL167" s="252">
        <f>重み_後!E167</f>
        <v>0</v>
      </c>
    </row>
    <row r="168" spans="1:38" ht="14.25" thickBot="1">
      <c r="A168" s="408"/>
      <c r="B168" s="481"/>
      <c r="C168" s="482"/>
      <c r="D168" s="314">
        <v>4</v>
      </c>
      <c r="E168" s="334" t="s">
        <v>826</v>
      </c>
      <c r="F168" s="297" t="s">
        <v>759</v>
      </c>
      <c r="G168" s="297" t="s">
        <v>759</v>
      </c>
      <c r="H168" s="297" t="s">
        <v>637</v>
      </c>
      <c r="I168" s="297" t="s">
        <v>759</v>
      </c>
      <c r="J168" s="297" t="s">
        <v>759</v>
      </c>
      <c r="K168" s="315" t="s">
        <v>637</v>
      </c>
      <c r="L168" s="323"/>
      <c r="M168" s="317" t="str">
        <f>IF(L168=$AA$3,$I168,$J168)</f>
        <v>EB</v>
      </c>
      <c r="N168" s="2474">
        <v>3</v>
      </c>
      <c r="O168" s="2466" t="str">
        <f>IF(L168=$AA$3,$I168,$K168)</f>
        <v>NC</v>
      </c>
      <c r="P168" s="2471">
        <v>3</v>
      </c>
      <c r="Q168" s="324" t="str">
        <f t="shared" si="64"/>
        <v>EB</v>
      </c>
      <c r="R168" s="323" t="str">
        <f t="shared" si="65"/>
        <v>NC</v>
      </c>
      <c r="S168" s="454"/>
      <c r="T168" s="317"/>
      <c r="U168" s="2114"/>
      <c r="V168" s="315"/>
      <c r="W168" s="2114"/>
      <c r="X168" s="324" t="str">
        <f t="shared" si="66"/>
        <v>EB</v>
      </c>
      <c r="Y168" s="323" t="str">
        <f t="shared" si="67"/>
        <v>NC</v>
      </c>
      <c r="Z168" s="222"/>
      <c r="AA168" s="282">
        <f>重み_前!M168</f>
        <v>0.25</v>
      </c>
      <c r="AB168" s="282">
        <f>重み_後!N168</f>
        <v>0.25</v>
      </c>
      <c r="AC168" s="252">
        <f>重み_前!D168</f>
        <v>0.25</v>
      </c>
      <c r="AD168" s="252"/>
      <c r="AE168" s="252">
        <f>重み_後!D168</f>
        <v>0.25</v>
      </c>
      <c r="AF168" s="252"/>
      <c r="AG168" s="252"/>
      <c r="AH168" s="253">
        <f>重み_前!N168</f>
        <v>0</v>
      </c>
      <c r="AI168" s="253">
        <f>重み_後!O168</f>
        <v>0</v>
      </c>
      <c r="AJ168" s="252">
        <f>重み_前!E168</f>
        <v>0</v>
      </c>
      <c r="AK168" s="252"/>
      <c r="AL168" s="252">
        <f>重み_後!E168</f>
        <v>0</v>
      </c>
    </row>
    <row r="169" spans="1:38" ht="13.5">
      <c r="A169" s="408"/>
      <c r="B169" s="478">
        <v>3</v>
      </c>
      <c r="C169" s="415" t="s">
        <v>827</v>
      </c>
      <c r="D169" s="295"/>
      <c r="E169" s="295"/>
      <c r="F169" s="297" t="s">
        <v>687</v>
      </c>
      <c r="G169" s="297" t="s">
        <v>687</v>
      </c>
      <c r="H169" s="297" t="s">
        <v>688</v>
      </c>
      <c r="I169" s="483"/>
      <c r="J169" s="483"/>
      <c r="K169" s="442"/>
      <c r="L169" s="340" t="str">
        <f>IF(COUNTIF(L170:L180,$AA$3)&gt;=ROWS(L170:L180),$AA$3,"")</f>
        <v/>
      </c>
      <c r="M169" s="346"/>
      <c r="N169" s="464"/>
      <c r="O169" s="345"/>
      <c r="P169" s="484"/>
      <c r="Q169" s="485" t="str">
        <f t="shared" si="64"/>
        <v>EB</v>
      </c>
      <c r="R169" s="444" t="str">
        <f t="shared" si="65"/>
        <v>NC</v>
      </c>
      <c r="S169" s="454"/>
      <c r="T169" s="317"/>
      <c r="U169" s="2114"/>
      <c r="V169" s="315"/>
      <c r="W169" s="2114"/>
      <c r="X169" s="485" t="str">
        <f t="shared" si="66"/>
        <v>EB</v>
      </c>
      <c r="Y169" s="444" t="str">
        <f t="shared" si="67"/>
        <v>NC</v>
      </c>
      <c r="Z169" s="222"/>
      <c r="AA169" s="282">
        <f>重み_前!M169</f>
        <v>0.33333333333333331</v>
      </c>
      <c r="AB169" s="282">
        <f>重み_後!N169</f>
        <v>0.33333333333333331</v>
      </c>
      <c r="AC169" s="252">
        <f>重み_前!D169</f>
        <v>0.33333333333333331</v>
      </c>
      <c r="AD169" s="252"/>
      <c r="AE169" s="252">
        <f>重み_後!D169</f>
        <v>0.33333333333333331</v>
      </c>
      <c r="AF169" s="252"/>
      <c r="AG169" s="252"/>
      <c r="AH169" s="253">
        <f>重み_前!N169</f>
        <v>0</v>
      </c>
      <c r="AI169" s="253">
        <f>重み_後!O169</f>
        <v>0</v>
      </c>
      <c r="AJ169" s="252">
        <f>重み_前!E169</f>
        <v>0</v>
      </c>
      <c r="AK169" s="252"/>
      <c r="AL169" s="252">
        <f>重み_後!E169</f>
        <v>0</v>
      </c>
    </row>
    <row r="170" spans="1:38" ht="14.25" thickBot="1">
      <c r="A170" s="408"/>
      <c r="B170" s="486"/>
      <c r="C170" s="306">
        <v>3.1</v>
      </c>
      <c r="D170" s="404" t="s">
        <v>828</v>
      </c>
      <c r="E170" s="334"/>
      <c r="F170" s="297" t="s">
        <v>660</v>
      </c>
      <c r="G170" s="297" t="s">
        <v>660</v>
      </c>
      <c r="H170" s="297" t="s">
        <v>661</v>
      </c>
      <c r="I170" s="297"/>
      <c r="J170" s="297"/>
      <c r="K170" s="315"/>
      <c r="L170" s="309" t="str">
        <f>IF(COUNTIF(L171:L173,$AA$3)&gt;=ROWS(L171:L173),$AA$3,"")</f>
        <v/>
      </c>
      <c r="M170" s="317"/>
      <c r="N170" s="326"/>
      <c r="O170" s="315"/>
      <c r="P170" s="487"/>
      <c r="Q170" s="488" t="str">
        <f t="shared" si="64"/>
        <v>EB</v>
      </c>
      <c r="R170" s="312" t="str">
        <f t="shared" si="65"/>
        <v>NC</v>
      </c>
      <c r="S170" s="454"/>
      <c r="T170" s="317"/>
      <c r="U170" s="2114"/>
      <c r="V170" s="315"/>
      <c r="W170" s="2114"/>
      <c r="X170" s="488" t="str">
        <f t="shared" si="66"/>
        <v>EB</v>
      </c>
      <c r="Y170" s="312" t="str">
        <f t="shared" si="67"/>
        <v>NC</v>
      </c>
      <c r="Z170" s="222"/>
      <c r="AA170" s="282">
        <f>重み_前!M170</f>
        <v>0.4</v>
      </c>
      <c r="AB170" s="282">
        <f>重み_後!N170</f>
        <v>0.4</v>
      </c>
      <c r="AC170" s="252">
        <f>重み_前!D170</f>
        <v>0.4</v>
      </c>
      <c r="AD170" s="252"/>
      <c r="AE170" s="252">
        <f>重み_後!D170</f>
        <v>0.4</v>
      </c>
      <c r="AF170" s="252"/>
      <c r="AG170" s="252"/>
      <c r="AH170" s="253">
        <f>重み_前!N170</f>
        <v>0</v>
      </c>
      <c r="AI170" s="253">
        <f>重み_後!O170</f>
        <v>0</v>
      </c>
      <c r="AJ170" s="252">
        <f>重み_前!E170</f>
        <v>0</v>
      </c>
      <c r="AK170" s="252"/>
      <c r="AL170" s="252">
        <f>重み_後!E170</f>
        <v>0</v>
      </c>
    </row>
    <row r="171" spans="1:38" ht="13.5">
      <c r="A171" s="408"/>
      <c r="B171" s="489"/>
      <c r="C171" s="490"/>
      <c r="D171" s="314">
        <v>1</v>
      </c>
      <c r="E171" s="334" t="s">
        <v>829</v>
      </c>
      <c r="F171" s="297" t="s">
        <v>759</v>
      </c>
      <c r="G171" s="297" t="s">
        <v>759</v>
      </c>
      <c r="H171" s="297" t="s">
        <v>637</v>
      </c>
      <c r="I171" s="297" t="s">
        <v>759</v>
      </c>
      <c r="J171" s="297" t="s">
        <v>759</v>
      </c>
      <c r="K171" s="315" t="s">
        <v>637</v>
      </c>
      <c r="L171" s="318"/>
      <c r="M171" s="317" t="str">
        <f>IF(L171=$AA$3,$I171,$J171)</f>
        <v>EB</v>
      </c>
      <c r="N171" s="2469">
        <v>3</v>
      </c>
      <c r="O171" s="2466" t="str">
        <f>IF(L171=$AA$3,$I171,$K171)</f>
        <v>NC</v>
      </c>
      <c r="P171" s="2469">
        <v>3</v>
      </c>
      <c r="Q171" s="331" t="str">
        <f t="shared" si="64"/>
        <v>EB</v>
      </c>
      <c r="R171" s="329" t="str">
        <f t="shared" si="65"/>
        <v>NC</v>
      </c>
      <c r="S171" s="454"/>
      <c r="T171" s="317"/>
      <c r="U171" s="2114"/>
      <c r="V171" s="315"/>
      <c r="W171" s="2114"/>
      <c r="X171" s="331" t="str">
        <f t="shared" si="66"/>
        <v>EB</v>
      </c>
      <c r="Y171" s="329" t="str">
        <f t="shared" si="67"/>
        <v>NC</v>
      </c>
      <c r="Z171" s="222"/>
      <c r="AA171" s="282">
        <f>重み_前!M171</f>
        <v>0.33333333333333331</v>
      </c>
      <c r="AB171" s="282">
        <f>重み_後!N171</f>
        <v>0.33333333333333331</v>
      </c>
      <c r="AC171" s="252">
        <f>重み_前!D171</f>
        <v>0.33333333333333331</v>
      </c>
      <c r="AD171" s="252"/>
      <c r="AE171" s="252">
        <f>重み_後!D171</f>
        <v>0.33333333333333331</v>
      </c>
      <c r="AF171" s="252"/>
      <c r="AG171" s="252"/>
      <c r="AH171" s="253">
        <f>重み_前!N171</f>
        <v>0</v>
      </c>
      <c r="AI171" s="253">
        <f>重み_後!O171</f>
        <v>0</v>
      </c>
      <c r="AJ171" s="252">
        <f>重み_前!E171</f>
        <v>0</v>
      </c>
      <c r="AK171" s="252"/>
      <c r="AL171" s="252">
        <f>重み_後!E171</f>
        <v>0</v>
      </c>
    </row>
    <row r="172" spans="1:38" ht="13.5">
      <c r="A172" s="408"/>
      <c r="B172" s="491"/>
      <c r="C172" s="490"/>
      <c r="D172" s="314">
        <v>2</v>
      </c>
      <c r="E172" s="334" t="s">
        <v>830</v>
      </c>
      <c r="F172" s="297" t="s">
        <v>759</v>
      </c>
      <c r="G172" s="297" t="s">
        <v>759</v>
      </c>
      <c r="H172" s="297" t="s">
        <v>637</v>
      </c>
      <c r="I172" s="297" t="s">
        <v>759</v>
      </c>
      <c r="J172" s="297" t="s">
        <v>759</v>
      </c>
      <c r="K172" s="315" t="s">
        <v>637</v>
      </c>
      <c r="L172" s="330"/>
      <c r="M172" s="317" t="str">
        <f>IF(L172=$AA$3,$I172,$J172)</f>
        <v>EB</v>
      </c>
      <c r="N172" s="2474">
        <v>3</v>
      </c>
      <c r="O172" s="2466" t="str">
        <f>IF(L172=$AA$3,$I172,$K172)</f>
        <v>NC</v>
      </c>
      <c r="P172" s="2474">
        <v>3</v>
      </c>
      <c r="Q172" s="331" t="str">
        <f t="shared" si="64"/>
        <v>EB</v>
      </c>
      <c r="R172" s="329" t="str">
        <f t="shared" si="65"/>
        <v>NC</v>
      </c>
      <c r="S172" s="454"/>
      <c r="T172" s="317"/>
      <c r="U172" s="2114"/>
      <c r="V172" s="315"/>
      <c r="W172" s="2114"/>
      <c r="X172" s="331" t="str">
        <f t="shared" si="66"/>
        <v>EB</v>
      </c>
      <c r="Y172" s="329" t="str">
        <f t="shared" si="67"/>
        <v>NC</v>
      </c>
      <c r="Z172" s="222"/>
      <c r="AA172" s="282">
        <f>重み_前!M172</f>
        <v>0.33333333333333331</v>
      </c>
      <c r="AB172" s="282">
        <f>重み_後!N172</f>
        <v>0.33333333333333331</v>
      </c>
      <c r="AC172" s="252">
        <f>重み_前!D172</f>
        <v>0.33333333333333331</v>
      </c>
      <c r="AD172" s="252"/>
      <c r="AE172" s="252">
        <f>重み_後!D172</f>
        <v>0.33333333333333331</v>
      </c>
      <c r="AF172" s="252"/>
      <c r="AG172" s="252"/>
      <c r="AH172" s="253">
        <f>重み_前!N172</f>
        <v>0</v>
      </c>
      <c r="AI172" s="253">
        <f>重み_後!O172</f>
        <v>0</v>
      </c>
      <c r="AJ172" s="252">
        <f>重み_前!E172</f>
        <v>0</v>
      </c>
      <c r="AK172" s="252"/>
      <c r="AL172" s="252">
        <f>重み_後!E172</f>
        <v>0</v>
      </c>
    </row>
    <row r="173" spans="1:38" ht="14.25" thickBot="1">
      <c r="A173" s="408"/>
      <c r="B173" s="492"/>
      <c r="C173" s="493"/>
      <c r="D173" s="314">
        <v>3</v>
      </c>
      <c r="E173" s="334" t="s">
        <v>831</v>
      </c>
      <c r="F173" s="297" t="s">
        <v>759</v>
      </c>
      <c r="G173" s="297" t="s">
        <v>759</v>
      </c>
      <c r="H173" s="297" t="s">
        <v>637</v>
      </c>
      <c r="I173" s="297" t="s">
        <v>759</v>
      </c>
      <c r="J173" s="297" t="s">
        <v>759</v>
      </c>
      <c r="K173" s="315" t="s">
        <v>637</v>
      </c>
      <c r="L173" s="323"/>
      <c r="M173" s="317" t="str">
        <f>IF(L173=$AA$3,$I173,$J173)</f>
        <v>EB</v>
      </c>
      <c r="N173" s="2471">
        <v>3</v>
      </c>
      <c r="O173" s="2466" t="str">
        <f>IF(L173=$AA$3,$I173,$K173)</f>
        <v>NC</v>
      </c>
      <c r="P173" s="2471">
        <v>3</v>
      </c>
      <c r="Q173" s="331" t="str">
        <f t="shared" si="64"/>
        <v>EB</v>
      </c>
      <c r="R173" s="329" t="str">
        <f t="shared" si="65"/>
        <v>NC</v>
      </c>
      <c r="S173" s="454"/>
      <c r="T173" s="317"/>
      <c r="U173" s="2114"/>
      <c r="V173" s="315"/>
      <c r="W173" s="2114"/>
      <c r="X173" s="331" t="str">
        <f t="shared" si="66"/>
        <v>EB</v>
      </c>
      <c r="Y173" s="329" t="str">
        <f t="shared" si="67"/>
        <v>NC</v>
      </c>
      <c r="Z173" s="222"/>
      <c r="AA173" s="282">
        <f>重み_前!M173</f>
        <v>0.33333333333333331</v>
      </c>
      <c r="AB173" s="282">
        <f>重み_後!N173</f>
        <v>0.33333333333333331</v>
      </c>
      <c r="AC173" s="252">
        <f>重み_前!D173</f>
        <v>0.33333333333333331</v>
      </c>
      <c r="AD173" s="252"/>
      <c r="AE173" s="252">
        <f>重み_後!D173</f>
        <v>0.33333333333333331</v>
      </c>
      <c r="AF173" s="252"/>
      <c r="AG173" s="252"/>
      <c r="AH173" s="253">
        <f>重み_前!N173</f>
        <v>0</v>
      </c>
      <c r="AI173" s="253">
        <f>重み_後!O173</f>
        <v>0</v>
      </c>
      <c r="AJ173" s="252">
        <f>重み_前!E173</f>
        <v>0</v>
      </c>
      <c r="AK173" s="252"/>
      <c r="AL173" s="252">
        <f>重み_後!E173</f>
        <v>0</v>
      </c>
    </row>
    <row r="174" spans="1:38" ht="14.25" thickBot="1">
      <c r="A174" s="408"/>
      <c r="B174" s="494"/>
      <c r="C174" s="306">
        <v>3.2</v>
      </c>
      <c r="D174" s="404" t="s">
        <v>670</v>
      </c>
      <c r="E174" s="415"/>
      <c r="F174" s="297" t="s">
        <v>804</v>
      </c>
      <c r="G174" s="297" t="s">
        <v>804</v>
      </c>
      <c r="H174" s="297" t="s">
        <v>811</v>
      </c>
      <c r="I174" s="297"/>
      <c r="J174" s="297"/>
      <c r="K174" s="315"/>
      <c r="L174" s="309" t="str">
        <f>IF(COUNTIF(L175:L176,$AA$3)&gt;=ROWS(L175:L176),$AA$3,"")</f>
        <v/>
      </c>
      <c r="M174" s="317"/>
      <c r="N174" s="326"/>
      <c r="O174" s="315"/>
      <c r="P174" s="326"/>
      <c r="Q174" s="495" t="str">
        <f t="shared" si="64"/>
        <v>EB</v>
      </c>
      <c r="R174" s="496" t="str">
        <f t="shared" si="65"/>
        <v>NC</v>
      </c>
      <c r="S174" s="454"/>
      <c r="T174" s="317"/>
      <c r="U174" s="2114"/>
      <c r="V174" s="315"/>
      <c r="W174" s="2114"/>
      <c r="X174" s="495" t="str">
        <f t="shared" si="66"/>
        <v>EB</v>
      </c>
      <c r="Y174" s="496" t="str">
        <f t="shared" si="67"/>
        <v>NC</v>
      </c>
      <c r="Z174" s="222"/>
      <c r="AA174" s="282">
        <f>重み_前!M174</f>
        <v>0.4</v>
      </c>
      <c r="AB174" s="282">
        <f>重み_後!N174</f>
        <v>0.4</v>
      </c>
      <c r="AC174" s="252">
        <f>重み_前!D174</f>
        <v>0.4</v>
      </c>
      <c r="AD174" s="252"/>
      <c r="AE174" s="252">
        <f>重み_後!D174</f>
        <v>0.4</v>
      </c>
      <c r="AF174" s="252"/>
      <c r="AG174" s="252"/>
      <c r="AH174" s="253">
        <f>重み_前!N174</f>
        <v>0</v>
      </c>
      <c r="AI174" s="253">
        <f>重み_後!O174</f>
        <v>0</v>
      </c>
      <c r="AJ174" s="252">
        <f>重み_前!E174</f>
        <v>0</v>
      </c>
      <c r="AK174" s="252"/>
      <c r="AL174" s="252">
        <f>重み_後!E174</f>
        <v>0</v>
      </c>
    </row>
    <row r="175" spans="1:38" ht="13.5">
      <c r="A175" s="408"/>
      <c r="B175" s="494"/>
      <c r="C175" s="497"/>
      <c r="D175" s="314">
        <v>1</v>
      </c>
      <c r="E175" s="404" t="s">
        <v>863</v>
      </c>
      <c r="F175" s="297" t="s">
        <v>759</v>
      </c>
      <c r="G175" s="297" t="s">
        <v>759</v>
      </c>
      <c r="H175" s="297" t="s">
        <v>637</v>
      </c>
      <c r="I175" s="297" t="s">
        <v>759</v>
      </c>
      <c r="J175" s="297" t="s">
        <v>759</v>
      </c>
      <c r="K175" s="315" t="s">
        <v>637</v>
      </c>
      <c r="L175" s="318"/>
      <c r="M175" s="317" t="str">
        <f>IF(L175=$AA$3,$I175,$J175)</f>
        <v>EB</v>
      </c>
      <c r="N175" s="2469">
        <v>3</v>
      </c>
      <c r="O175" s="2466" t="str">
        <f>IF(L175=$AA$3,$I175,$K175)</f>
        <v>NC</v>
      </c>
      <c r="P175" s="2469">
        <v>3</v>
      </c>
      <c r="Q175" s="331" t="str">
        <f>IF(L175=$AA$3,$F175,$G175)</f>
        <v>EB</v>
      </c>
      <c r="R175" s="329" t="str">
        <f>IF(L175=$AA$3,$F175,$H175)</f>
        <v>NC</v>
      </c>
      <c r="S175" s="454"/>
      <c r="T175" s="317"/>
      <c r="U175" s="2114"/>
      <c r="V175" s="315"/>
      <c r="W175" s="2114"/>
      <c r="X175" s="331" t="str">
        <f>IF(S175=$AA$3,$F175,$G175)</f>
        <v>EB</v>
      </c>
      <c r="Y175" s="329" t="str">
        <f>IF(S175=$AA$3,$F175,$H175)</f>
        <v>NC</v>
      </c>
      <c r="Z175" s="222"/>
      <c r="AA175" s="282">
        <f>重み_前!M175</f>
        <v>0.7</v>
      </c>
      <c r="AB175" s="282">
        <f>重み_後!N175</f>
        <v>0.7</v>
      </c>
      <c r="AC175" s="252">
        <f>重み_前!D175</f>
        <v>0.7</v>
      </c>
      <c r="AD175" s="252"/>
      <c r="AE175" s="252">
        <f>重み_後!D175</f>
        <v>0.7</v>
      </c>
      <c r="AF175" s="252"/>
      <c r="AG175" s="252"/>
      <c r="AH175" s="253">
        <f>重み_前!N175</f>
        <v>0</v>
      </c>
      <c r="AI175" s="253">
        <f>重み_後!O175</f>
        <v>0</v>
      </c>
      <c r="AJ175" s="252">
        <f>重み_前!E175</f>
        <v>0</v>
      </c>
      <c r="AK175" s="252"/>
      <c r="AL175" s="252">
        <f>重み_後!E175</f>
        <v>0</v>
      </c>
    </row>
    <row r="176" spans="1:38" ht="13.5">
      <c r="A176" s="408"/>
      <c r="B176" s="494"/>
      <c r="C176" s="497"/>
      <c r="D176" s="314">
        <v>2</v>
      </c>
      <c r="E176" s="404" t="s">
        <v>1158</v>
      </c>
      <c r="F176" s="297" t="s">
        <v>759</v>
      </c>
      <c r="G176" s="297" t="s">
        <v>759</v>
      </c>
      <c r="H176" s="297" t="s">
        <v>637</v>
      </c>
      <c r="I176" s="297" t="s">
        <v>759</v>
      </c>
      <c r="J176" s="297" t="s">
        <v>759</v>
      </c>
      <c r="K176" s="315" t="s">
        <v>637</v>
      </c>
      <c r="L176" s="330"/>
      <c r="M176" s="317" t="str">
        <f>IF(L176=$AA$3,$I176,$J176)</f>
        <v>EB</v>
      </c>
      <c r="N176" s="2474">
        <v>3</v>
      </c>
      <c r="O176" s="2466" t="str">
        <f>IF(L176=$AA$3,$I176,$K176)</f>
        <v>NC</v>
      </c>
      <c r="P176" s="2474">
        <v>3</v>
      </c>
      <c r="Q176" s="331" t="str">
        <f>IF(L176=$AA$3,$F176,$G176)</f>
        <v>EB</v>
      </c>
      <c r="R176" s="329" t="str">
        <f>IF(L176=$AA$3,$F176,$H176)</f>
        <v>NC</v>
      </c>
      <c r="S176" s="454"/>
      <c r="T176" s="317"/>
      <c r="U176" s="2114"/>
      <c r="V176" s="315"/>
      <c r="W176" s="2114"/>
      <c r="X176" s="331" t="str">
        <f>IF(S176=$AA$3,$F176,$G176)</f>
        <v>EB</v>
      </c>
      <c r="Y176" s="329" t="str">
        <f>IF(S176=$AA$3,$F176,$H176)</f>
        <v>NC</v>
      </c>
      <c r="Z176" s="222"/>
      <c r="AA176" s="282">
        <f>重み_前!M176</f>
        <v>0</v>
      </c>
      <c r="AB176" s="282">
        <f>重み_後!N176</f>
        <v>0</v>
      </c>
      <c r="AC176" s="252">
        <f>重み_前!D176</f>
        <v>0</v>
      </c>
      <c r="AD176" s="252"/>
      <c r="AE176" s="252">
        <f>重み_後!D176</f>
        <v>0</v>
      </c>
      <c r="AF176" s="252"/>
      <c r="AG176" s="252"/>
      <c r="AH176" s="253">
        <f>重み_前!N176</f>
        <v>0</v>
      </c>
      <c r="AI176" s="253">
        <f>重み_後!O176</f>
        <v>0</v>
      </c>
      <c r="AJ176" s="252">
        <f>重み_前!E176</f>
        <v>0</v>
      </c>
      <c r="AK176" s="252"/>
      <c r="AL176" s="252">
        <f>重み_後!E176</f>
        <v>0</v>
      </c>
    </row>
    <row r="177" spans="1:38" ht="14.25" thickBot="1">
      <c r="A177" s="408"/>
      <c r="B177" s="494"/>
      <c r="C177" s="497"/>
      <c r="D177" s="403">
        <v>3</v>
      </c>
      <c r="E177" s="404" t="s">
        <v>1159</v>
      </c>
      <c r="F177" s="297" t="s">
        <v>759</v>
      </c>
      <c r="G177" s="297" t="s">
        <v>759</v>
      </c>
      <c r="H177" s="297" t="s">
        <v>637</v>
      </c>
      <c r="I177" s="297" t="s">
        <v>759</v>
      </c>
      <c r="J177" s="297" t="s">
        <v>759</v>
      </c>
      <c r="K177" s="315" t="s">
        <v>637</v>
      </c>
      <c r="L177" s="323"/>
      <c r="M177" s="317" t="str">
        <f>IF(L177=$AA$3,$I177,$J177)</f>
        <v>EB</v>
      </c>
      <c r="N177" s="2471">
        <v>3</v>
      </c>
      <c r="O177" s="2466" t="str">
        <f>IF(L177=$AA$3,$I177,$K177)</f>
        <v>NC</v>
      </c>
      <c r="P177" s="2471">
        <v>3</v>
      </c>
      <c r="Q177" s="331" t="str">
        <f>IF(L177=$AA$3,$F177,$G177)</f>
        <v>EB</v>
      </c>
      <c r="R177" s="329" t="str">
        <f>IF(L177=$AA$3,$F177,$H177)</f>
        <v>NC</v>
      </c>
      <c r="S177" s="454"/>
      <c r="T177" s="317"/>
      <c r="U177" s="2114"/>
      <c r="V177" s="315"/>
      <c r="W177" s="2114"/>
      <c r="X177" s="331" t="str">
        <f>IF(S177=$AA$3,$F177,$G177)</f>
        <v>EB</v>
      </c>
      <c r="Y177" s="329" t="str">
        <f>IF(S177=$AA$3,$F177,$H177)</f>
        <v>NC</v>
      </c>
      <c r="Z177" s="222"/>
      <c r="AA177" s="282">
        <f>重み_前!M177</f>
        <v>0.3</v>
      </c>
      <c r="AB177" s="282">
        <f>重み_後!N177</f>
        <v>0.3</v>
      </c>
      <c r="AC177" s="252">
        <f>重み_前!D177</f>
        <v>0.3</v>
      </c>
      <c r="AD177" s="252"/>
      <c r="AE177" s="252">
        <f>重み_後!D177</f>
        <v>0.3</v>
      </c>
      <c r="AF177" s="252"/>
      <c r="AG177" s="252"/>
      <c r="AH177" s="253">
        <f>重み_前!N177</f>
        <v>0</v>
      </c>
      <c r="AI177" s="253">
        <f>重み_後!O177</f>
        <v>0</v>
      </c>
      <c r="AJ177" s="252">
        <f>重み_前!E177</f>
        <v>0</v>
      </c>
      <c r="AK177" s="252"/>
      <c r="AL177" s="252">
        <f>重み_後!E177</f>
        <v>0</v>
      </c>
    </row>
    <row r="178" spans="1:38" ht="14.25" thickBot="1">
      <c r="A178" s="408"/>
      <c r="B178" s="479"/>
      <c r="C178" s="306">
        <v>3.3</v>
      </c>
      <c r="D178" s="404" t="s">
        <v>832</v>
      </c>
      <c r="E178" s="334"/>
      <c r="F178" s="297" t="s">
        <v>833</v>
      </c>
      <c r="G178" s="297" t="s">
        <v>833</v>
      </c>
      <c r="H178" s="297" t="s">
        <v>834</v>
      </c>
      <c r="I178" s="297"/>
      <c r="J178" s="297"/>
      <c r="K178" s="315"/>
      <c r="L178" s="312" t="str">
        <f>IF(COUNTIF(L179:L180,$AA$3)&gt;=ROWS(L179:L180),$AA$3,"")</f>
        <v/>
      </c>
      <c r="M178" s="317"/>
      <c r="N178" s="326"/>
      <c r="O178" s="315"/>
      <c r="P178" s="326"/>
      <c r="Q178" s="351" t="str">
        <f t="shared" si="64"/>
        <v>EB</v>
      </c>
      <c r="R178" s="352" t="str">
        <f t="shared" si="65"/>
        <v>NC</v>
      </c>
      <c r="S178" s="454"/>
      <c r="T178" s="317"/>
      <c r="U178" s="2114"/>
      <c r="V178" s="315"/>
      <c r="W178" s="2114"/>
      <c r="X178" s="351" t="str">
        <f t="shared" si="66"/>
        <v>EB</v>
      </c>
      <c r="Y178" s="352" t="str">
        <f t="shared" si="67"/>
        <v>NC</v>
      </c>
      <c r="Z178" s="222"/>
      <c r="AA178" s="282">
        <f>重み_前!M178</f>
        <v>0.2</v>
      </c>
      <c r="AB178" s="282">
        <f>重み_後!N178</f>
        <v>0.2</v>
      </c>
      <c r="AC178" s="252">
        <f>重み_前!D178</f>
        <v>0.2</v>
      </c>
      <c r="AD178" s="252"/>
      <c r="AE178" s="252">
        <f>重み_後!D178</f>
        <v>0.2</v>
      </c>
      <c r="AF178" s="252"/>
      <c r="AG178" s="252"/>
      <c r="AH178" s="253">
        <f>重み_前!N178</f>
        <v>0</v>
      </c>
      <c r="AI178" s="253">
        <f>重み_後!O178</f>
        <v>0</v>
      </c>
      <c r="AJ178" s="252">
        <f>重み_前!E178</f>
        <v>0</v>
      </c>
      <c r="AK178" s="252"/>
      <c r="AL178" s="252">
        <f>重み_後!E178</f>
        <v>0</v>
      </c>
    </row>
    <row r="179" spans="1:38" ht="13.5">
      <c r="A179" s="408"/>
      <c r="B179" s="494"/>
      <c r="C179" s="497"/>
      <c r="D179" s="314">
        <v>1</v>
      </c>
      <c r="E179" s="334" t="s">
        <v>835</v>
      </c>
      <c r="F179" s="297" t="s">
        <v>759</v>
      </c>
      <c r="G179" s="297" t="s">
        <v>759</v>
      </c>
      <c r="H179" s="297" t="s">
        <v>637</v>
      </c>
      <c r="I179" s="297" t="s">
        <v>759</v>
      </c>
      <c r="J179" s="297" t="s">
        <v>759</v>
      </c>
      <c r="K179" s="315" t="s">
        <v>637</v>
      </c>
      <c r="L179" s="316"/>
      <c r="M179" s="317" t="str">
        <f>IF(L179=$AA$3,$I179,$J179)</f>
        <v>EB</v>
      </c>
      <c r="N179" s="2469">
        <v>3</v>
      </c>
      <c r="O179" s="2466" t="str">
        <f>IF(L179=$AA$3,$I179,$K179)</f>
        <v>NC</v>
      </c>
      <c r="P179" s="2469">
        <v>3</v>
      </c>
      <c r="Q179" s="319" t="str">
        <f t="shared" si="64"/>
        <v>EB</v>
      </c>
      <c r="R179" s="316" t="str">
        <f t="shared" si="65"/>
        <v>NC</v>
      </c>
      <c r="S179" s="454"/>
      <c r="T179" s="317"/>
      <c r="U179" s="2114"/>
      <c r="V179" s="315"/>
      <c r="W179" s="2114"/>
      <c r="X179" s="319" t="str">
        <f t="shared" si="66"/>
        <v>EB</v>
      </c>
      <c r="Y179" s="316" t="str">
        <f t="shared" si="67"/>
        <v>NC</v>
      </c>
      <c r="Z179" s="222"/>
      <c r="AA179" s="282">
        <f>重み_前!M179</f>
        <v>0.7</v>
      </c>
      <c r="AB179" s="282">
        <f>重み_後!N179</f>
        <v>0.7</v>
      </c>
      <c r="AC179" s="252">
        <f>重み_前!D179</f>
        <v>0.7</v>
      </c>
      <c r="AD179" s="252"/>
      <c r="AE179" s="252">
        <f>重み_後!D179</f>
        <v>0.7</v>
      </c>
      <c r="AF179" s="252"/>
      <c r="AG179" s="252"/>
      <c r="AH179" s="253">
        <f>重み_前!N179</f>
        <v>0</v>
      </c>
      <c r="AI179" s="253">
        <f>重み_後!O179</f>
        <v>0</v>
      </c>
      <c r="AJ179" s="252">
        <f>重み_前!E179</f>
        <v>0</v>
      </c>
      <c r="AK179" s="252"/>
      <c r="AL179" s="252">
        <f>重み_後!E179</f>
        <v>0</v>
      </c>
    </row>
    <row r="180" spans="1:38" ht="14.25" thickBot="1">
      <c r="A180" s="408"/>
      <c r="B180" s="498"/>
      <c r="C180" s="499"/>
      <c r="D180" s="365">
        <v>2</v>
      </c>
      <c r="E180" s="500" t="s">
        <v>836</v>
      </c>
      <c r="F180" s="501" t="s">
        <v>759</v>
      </c>
      <c r="G180" s="501" t="s">
        <v>759</v>
      </c>
      <c r="H180" s="501" t="s">
        <v>637</v>
      </c>
      <c r="I180" s="501" t="s">
        <v>759</v>
      </c>
      <c r="J180" s="501" t="s">
        <v>759</v>
      </c>
      <c r="K180" s="368" t="s">
        <v>637</v>
      </c>
      <c r="L180" s="322"/>
      <c r="M180" s="367" t="str">
        <f>IF(L180=$AA$3,$I180,$J180)</f>
        <v>EB</v>
      </c>
      <c r="N180" s="2471">
        <v>3</v>
      </c>
      <c r="O180" s="2453" t="str">
        <f>IF(L180=$AA$3,$I180,$K180)</f>
        <v>NC</v>
      </c>
      <c r="P180" s="2471">
        <v>3</v>
      </c>
      <c r="Q180" s="324" t="str">
        <f t="shared" si="64"/>
        <v>EB</v>
      </c>
      <c r="R180" s="322" t="str">
        <f t="shared" si="65"/>
        <v>NC</v>
      </c>
      <c r="S180" s="2410"/>
      <c r="T180" s="367"/>
      <c r="U180" s="310"/>
      <c r="V180" s="368"/>
      <c r="W180" s="310"/>
      <c r="X180" s="324" t="str">
        <f t="shared" si="66"/>
        <v>EB</v>
      </c>
      <c r="Y180" s="322" t="str">
        <f t="shared" si="67"/>
        <v>NC</v>
      </c>
      <c r="Z180" s="222"/>
      <c r="AA180" s="282">
        <f>重み_前!M180</f>
        <v>0.3</v>
      </c>
      <c r="AB180" s="282">
        <f>重み_後!N180</f>
        <v>0.3</v>
      </c>
      <c r="AC180" s="252">
        <f>重み_前!D180</f>
        <v>0.3</v>
      </c>
      <c r="AD180" s="252"/>
      <c r="AE180" s="252">
        <f>重み_後!D180</f>
        <v>0.3</v>
      </c>
      <c r="AF180" s="252"/>
      <c r="AG180" s="252"/>
      <c r="AH180" s="253">
        <f>重み_前!N180</f>
        <v>0</v>
      </c>
      <c r="AI180" s="253">
        <f>重み_後!O180</f>
        <v>0</v>
      </c>
      <c r="AJ180" s="252">
        <f>重み_前!E180</f>
        <v>0</v>
      </c>
      <c r="AK180" s="252"/>
      <c r="AL180" s="252">
        <f>重み_後!E180</f>
        <v>0</v>
      </c>
    </row>
    <row r="181" spans="1:38" ht="13.5">
      <c r="B181" s="502"/>
      <c r="C181" s="503"/>
      <c r="D181" s="504"/>
      <c r="E181" s="505"/>
      <c r="F181" s="506"/>
      <c r="G181" s="506"/>
      <c r="H181" s="506"/>
      <c r="I181" s="506"/>
      <c r="J181" s="506"/>
      <c r="K181" s="506"/>
      <c r="L181" s="506"/>
      <c r="M181" s="506"/>
      <c r="N181" s="506"/>
      <c r="O181" s="506"/>
      <c r="P181" s="506"/>
      <c r="Q181" s="506"/>
      <c r="R181" s="506"/>
      <c r="S181" s="506"/>
      <c r="T181" s="506"/>
      <c r="U181" s="507"/>
      <c r="V181" s="506"/>
      <c r="W181" s="507"/>
      <c r="X181" s="507"/>
      <c r="Y181" s="507"/>
      <c r="Z181" s="507"/>
      <c r="AA181" s="211"/>
      <c r="AB181" s="211"/>
      <c r="AC181" s="211"/>
      <c r="AD181" s="211"/>
      <c r="AE181" s="211"/>
      <c r="AF181" s="211"/>
      <c r="AG181" s="211"/>
    </row>
  </sheetData>
  <sheetProtection password="8D30" sheet="1" objects="1" scenarios="1"/>
  <mergeCells count="7">
    <mergeCell ref="D46:E46"/>
    <mergeCell ref="T3:U3"/>
    <mergeCell ref="V3:W3"/>
    <mergeCell ref="O6:P6"/>
    <mergeCell ref="M6:N6"/>
    <mergeCell ref="V6:W6"/>
    <mergeCell ref="T6:U6"/>
  </mergeCells>
  <phoneticPr fontId="20"/>
  <conditionalFormatting sqref="N16 U26:U29">
    <cfRule type="expression" dxfId="354" priority="420">
      <formula>AA16=0</formula>
    </cfRule>
  </conditionalFormatting>
  <conditionalFormatting sqref="P16 P26:P29 W26:W29">
    <cfRule type="expression" dxfId="353" priority="419">
      <formula>AB16=0</formula>
    </cfRule>
  </conditionalFormatting>
  <conditionalFormatting sqref="U16">
    <cfRule type="expression" dxfId="352" priority="418">
      <formula>AH16=0</formula>
    </cfRule>
  </conditionalFormatting>
  <conditionalFormatting sqref="W16">
    <cfRule type="expression" dxfId="351" priority="417">
      <formula>AI16=0</formula>
    </cfRule>
  </conditionalFormatting>
  <conditionalFormatting sqref="N11">
    <cfRule type="expression" dxfId="350" priority="416">
      <formula>AA11=0</formula>
    </cfRule>
  </conditionalFormatting>
  <conditionalFormatting sqref="P11">
    <cfRule type="expression" dxfId="349" priority="415">
      <formula>AB11=0</formula>
    </cfRule>
  </conditionalFormatting>
  <conditionalFormatting sqref="U11">
    <cfRule type="expression" dxfId="348" priority="414">
      <formula>AH11=0</formula>
    </cfRule>
  </conditionalFormatting>
  <conditionalFormatting sqref="W11">
    <cfRule type="expression" dxfId="347" priority="413">
      <formula>AI11=0</formula>
    </cfRule>
  </conditionalFormatting>
  <conditionalFormatting sqref="N15">
    <cfRule type="expression" dxfId="346" priority="412">
      <formula>AA15=0</formula>
    </cfRule>
  </conditionalFormatting>
  <conditionalFormatting sqref="P15">
    <cfRule type="expression" dxfId="345" priority="411">
      <formula>AB15=0</formula>
    </cfRule>
  </conditionalFormatting>
  <conditionalFormatting sqref="U15">
    <cfRule type="expression" dxfId="344" priority="410">
      <formula>AH15=0</formula>
    </cfRule>
  </conditionalFormatting>
  <conditionalFormatting sqref="W15">
    <cfRule type="expression" dxfId="343" priority="409">
      <formula>AI15=0</formula>
    </cfRule>
  </conditionalFormatting>
  <conditionalFormatting sqref="N101">
    <cfRule type="expression" dxfId="342" priority="108">
      <formula>AA101=0</formula>
    </cfRule>
  </conditionalFormatting>
  <conditionalFormatting sqref="N23 N26:N29">
    <cfRule type="expression" dxfId="341" priority="404">
      <formula>AA23=0</formula>
    </cfRule>
  </conditionalFormatting>
  <conditionalFormatting sqref="P23">
    <cfRule type="expression" dxfId="340" priority="403">
      <formula>AB23=0</formula>
    </cfRule>
  </conditionalFormatting>
  <conditionalFormatting sqref="U23">
    <cfRule type="expression" dxfId="339" priority="402">
      <formula>AH23=0</formula>
    </cfRule>
  </conditionalFormatting>
  <conditionalFormatting sqref="W23">
    <cfRule type="expression" dxfId="338" priority="401">
      <formula>AI23=0</formula>
    </cfRule>
  </conditionalFormatting>
  <conditionalFormatting sqref="N94">
    <cfRule type="expression" dxfId="337" priority="124">
      <formula>AA94=0</formula>
    </cfRule>
  </conditionalFormatting>
  <conditionalFormatting sqref="N92">
    <cfRule type="expression" dxfId="336" priority="132">
      <formula>AA92=0</formula>
    </cfRule>
  </conditionalFormatting>
  <conditionalFormatting sqref="N44:N45">
    <cfRule type="expression" dxfId="335" priority="392">
      <formula>AA44=0</formula>
    </cfRule>
  </conditionalFormatting>
  <conditionalFormatting sqref="P44:P45">
    <cfRule type="expression" dxfId="334" priority="391">
      <formula>AB44=0</formula>
    </cfRule>
  </conditionalFormatting>
  <conditionalFormatting sqref="U44:U45">
    <cfRule type="expression" dxfId="333" priority="390">
      <formula>AH44=0</formula>
    </cfRule>
  </conditionalFormatting>
  <conditionalFormatting sqref="W44:W45">
    <cfRule type="expression" dxfId="332" priority="389">
      <formula>AI44=0</formula>
    </cfRule>
  </conditionalFormatting>
  <conditionalFormatting sqref="N87">
    <cfRule type="expression" dxfId="331" priority="148">
      <formula>AA87=0</formula>
    </cfRule>
  </conditionalFormatting>
  <conditionalFormatting sqref="N84">
    <cfRule type="expression" dxfId="330" priority="156">
      <formula>AA84=0</formula>
    </cfRule>
  </conditionalFormatting>
  <conditionalFormatting sqref="N83">
    <cfRule type="expression" dxfId="329" priority="160">
      <formula>AA83=0</formula>
    </cfRule>
  </conditionalFormatting>
  <conditionalFormatting sqref="N81">
    <cfRule type="expression" dxfId="328" priority="168">
      <formula>AA81=0</formula>
    </cfRule>
  </conditionalFormatting>
  <conditionalFormatting sqref="N78">
    <cfRule type="expression" dxfId="327" priority="176">
      <formula>AA78=0</formula>
    </cfRule>
  </conditionalFormatting>
  <conditionalFormatting sqref="N74">
    <cfRule type="expression" dxfId="326" priority="184">
      <formula>AA74=0</formula>
    </cfRule>
  </conditionalFormatting>
  <conditionalFormatting sqref="N73">
    <cfRule type="expression" dxfId="325" priority="188">
      <formula>AA73=0</formula>
    </cfRule>
  </conditionalFormatting>
  <conditionalFormatting sqref="N66">
    <cfRule type="expression" dxfId="324" priority="208">
      <formula>AA66=0</formula>
    </cfRule>
  </conditionalFormatting>
  <conditionalFormatting sqref="N64">
    <cfRule type="expression" dxfId="323" priority="216">
      <formula>AA64=0</formula>
    </cfRule>
  </conditionalFormatting>
  <conditionalFormatting sqref="N55">
    <cfRule type="expression" dxfId="322" priority="232">
      <formula>AA55=0</formula>
    </cfRule>
  </conditionalFormatting>
  <conditionalFormatting sqref="N50">
    <cfRule type="expression" dxfId="321" priority="240">
      <formula>AA50=0</formula>
    </cfRule>
  </conditionalFormatting>
  <conditionalFormatting sqref="N41">
    <cfRule type="expression" dxfId="320" priority="260">
      <formula>AA41=0</formula>
    </cfRule>
  </conditionalFormatting>
  <conditionalFormatting sqref="N38">
    <cfRule type="expression" dxfId="319" priority="264">
      <formula>AA38=0</formula>
    </cfRule>
  </conditionalFormatting>
  <conditionalFormatting sqref="U37">
    <cfRule type="expression" dxfId="318" priority="266">
      <formula>AH37=0</formula>
    </cfRule>
  </conditionalFormatting>
  <conditionalFormatting sqref="W37">
    <cfRule type="expression" dxfId="317" priority="265">
      <formula>AI37=0</formula>
    </cfRule>
  </conditionalFormatting>
  <conditionalFormatting sqref="N37">
    <cfRule type="expression" dxfId="316" priority="268">
      <formula>AA37=0</formula>
    </cfRule>
  </conditionalFormatting>
  <conditionalFormatting sqref="U36">
    <cfRule type="expression" dxfId="315" priority="270">
      <formula>AH36=0</formula>
    </cfRule>
  </conditionalFormatting>
  <conditionalFormatting sqref="W36">
    <cfRule type="expression" dxfId="314" priority="269">
      <formula>AI36=0</formula>
    </cfRule>
  </conditionalFormatting>
  <conditionalFormatting sqref="N36">
    <cfRule type="expression" dxfId="313" priority="272">
      <formula>AA36=0</formula>
    </cfRule>
  </conditionalFormatting>
  <conditionalFormatting sqref="U33">
    <cfRule type="expression" dxfId="312" priority="274">
      <formula>AH33=0</formula>
    </cfRule>
  </conditionalFormatting>
  <conditionalFormatting sqref="W33">
    <cfRule type="expression" dxfId="311" priority="273">
      <formula>AI33=0</formula>
    </cfRule>
  </conditionalFormatting>
  <conditionalFormatting sqref="N30">
    <cfRule type="expression" dxfId="310" priority="284">
      <formula>AA30=0</formula>
    </cfRule>
  </conditionalFormatting>
  <conditionalFormatting sqref="N25">
    <cfRule type="expression" dxfId="309" priority="288">
      <formula>AA25=0</formula>
    </cfRule>
  </conditionalFormatting>
  <conditionalFormatting sqref="N24">
    <cfRule type="expression" dxfId="308" priority="292">
      <formula>AA24=0</formula>
    </cfRule>
  </conditionalFormatting>
  <conditionalFormatting sqref="U19">
    <cfRule type="expression" dxfId="307" priority="298">
      <formula>AH19=0</formula>
    </cfRule>
  </conditionalFormatting>
  <conditionalFormatting sqref="W19">
    <cfRule type="expression" dxfId="306" priority="297">
      <formula>AI19=0</formula>
    </cfRule>
  </conditionalFormatting>
  <conditionalFormatting sqref="U18">
    <cfRule type="expression" dxfId="305" priority="302">
      <formula>AH18=0</formula>
    </cfRule>
  </conditionalFormatting>
  <conditionalFormatting sqref="W18">
    <cfRule type="expression" dxfId="304" priority="301">
      <formula>AI18=0</formula>
    </cfRule>
  </conditionalFormatting>
  <conditionalFormatting sqref="U17">
    <cfRule type="expression" dxfId="303" priority="306">
      <formula>AH17=0</formula>
    </cfRule>
  </conditionalFormatting>
  <conditionalFormatting sqref="W17">
    <cfRule type="expression" dxfId="302" priority="305">
      <formula>AI17=0</formula>
    </cfRule>
  </conditionalFormatting>
  <conditionalFormatting sqref="N17">
    <cfRule type="expression" dxfId="301" priority="308">
      <formula>AA17=0</formula>
    </cfRule>
  </conditionalFormatting>
  <conditionalFormatting sqref="P17">
    <cfRule type="expression" dxfId="300" priority="307">
      <formula>AB17=0</formula>
    </cfRule>
  </conditionalFormatting>
  <conditionalFormatting sqref="N18">
    <cfRule type="expression" dxfId="299" priority="304">
      <formula>AA18=0</formula>
    </cfRule>
  </conditionalFormatting>
  <conditionalFormatting sqref="P18">
    <cfRule type="expression" dxfId="298" priority="303">
      <formula>AB18=0</formula>
    </cfRule>
  </conditionalFormatting>
  <conditionalFormatting sqref="N19">
    <cfRule type="expression" dxfId="297" priority="300">
      <formula>AA19=0</formula>
    </cfRule>
  </conditionalFormatting>
  <conditionalFormatting sqref="P19">
    <cfRule type="expression" dxfId="296" priority="299">
      <formula>AB19=0</formula>
    </cfRule>
  </conditionalFormatting>
  <conditionalFormatting sqref="N22">
    <cfRule type="expression" dxfId="295" priority="296">
      <formula>AA22=0</formula>
    </cfRule>
  </conditionalFormatting>
  <conditionalFormatting sqref="P22">
    <cfRule type="expression" dxfId="294" priority="295">
      <formula>AB22=0</formula>
    </cfRule>
  </conditionalFormatting>
  <conditionalFormatting sqref="U22">
    <cfRule type="expression" dxfId="293" priority="294">
      <formula>AH22=0</formula>
    </cfRule>
  </conditionalFormatting>
  <conditionalFormatting sqref="W22">
    <cfRule type="expression" dxfId="292" priority="293">
      <formula>AI22=0</formula>
    </cfRule>
  </conditionalFormatting>
  <conditionalFormatting sqref="P24">
    <cfRule type="expression" dxfId="291" priority="291">
      <formula>AB24=0</formula>
    </cfRule>
  </conditionalFormatting>
  <conditionalFormatting sqref="U24">
    <cfRule type="expression" dxfId="290" priority="290">
      <formula>AH24=0</formula>
    </cfRule>
  </conditionalFormatting>
  <conditionalFormatting sqref="W24">
    <cfRule type="expression" dxfId="289" priority="289">
      <formula>AI24=0</formula>
    </cfRule>
  </conditionalFormatting>
  <conditionalFormatting sqref="P25">
    <cfRule type="expression" dxfId="288" priority="287">
      <formula>AB25=0</formula>
    </cfRule>
  </conditionalFormatting>
  <conditionalFormatting sqref="U25">
    <cfRule type="expression" dxfId="287" priority="286">
      <formula>AH25=0</formula>
    </cfRule>
  </conditionalFormatting>
  <conditionalFormatting sqref="W25">
    <cfRule type="expression" dxfId="286" priority="285">
      <formula>AI25=0</formula>
    </cfRule>
  </conditionalFormatting>
  <conditionalFormatting sqref="P30">
    <cfRule type="expression" dxfId="285" priority="283">
      <formula>AB30=0</formula>
    </cfRule>
  </conditionalFormatting>
  <conditionalFormatting sqref="U30">
    <cfRule type="expression" dxfId="284" priority="282">
      <formula>AH30=0</formula>
    </cfRule>
  </conditionalFormatting>
  <conditionalFormatting sqref="W30">
    <cfRule type="expression" dxfId="283" priority="281">
      <formula>AI30=0</formula>
    </cfRule>
  </conditionalFormatting>
  <conditionalFormatting sqref="N32">
    <cfRule type="expression" dxfId="282" priority="280">
      <formula>AA32=0</formula>
    </cfRule>
  </conditionalFormatting>
  <conditionalFormatting sqref="P32">
    <cfRule type="expression" dxfId="281" priority="279">
      <formula>AB32=0</formula>
    </cfRule>
  </conditionalFormatting>
  <conditionalFormatting sqref="U32">
    <cfRule type="expression" dxfId="280" priority="278">
      <formula>AH32=0</formula>
    </cfRule>
  </conditionalFormatting>
  <conditionalFormatting sqref="W32">
    <cfRule type="expression" dxfId="279" priority="277">
      <formula>AI32=0</formula>
    </cfRule>
  </conditionalFormatting>
  <conditionalFormatting sqref="N33">
    <cfRule type="expression" dxfId="278" priority="276">
      <formula>AA33=0</formula>
    </cfRule>
  </conditionalFormatting>
  <conditionalFormatting sqref="P33">
    <cfRule type="expression" dxfId="277" priority="275">
      <formula>AB33=0</formula>
    </cfRule>
  </conditionalFormatting>
  <conditionalFormatting sqref="P36">
    <cfRule type="expression" dxfId="276" priority="271">
      <formula>AB36=0</formula>
    </cfRule>
  </conditionalFormatting>
  <conditionalFormatting sqref="P37">
    <cfRule type="expression" dxfId="275" priority="267">
      <formula>AB37=0</formula>
    </cfRule>
  </conditionalFormatting>
  <conditionalFormatting sqref="P38">
    <cfRule type="expression" dxfId="274" priority="263">
      <formula>AB38=0</formula>
    </cfRule>
  </conditionalFormatting>
  <conditionalFormatting sqref="U38">
    <cfRule type="expression" dxfId="273" priority="262">
      <formula>AH38=0</formula>
    </cfRule>
  </conditionalFormatting>
  <conditionalFormatting sqref="W38">
    <cfRule type="expression" dxfId="272" priority="261">
      <formula>AI38=0</formula>
    </cfRule>
  </conditionalFormatting>
  <conditionalFormatting sqref="P41">
    <cfRule type="expression" dxfId="271" priority="259">
      <formula>AB41=0</formula>
    </cfRule>
  </conditionalFormatting>
  <conditionalFormatting sqref="U41">
    <cfRule type="expression" dxfId="270" priority="258">
      <formula>AH41=0</formula>
    </cfRule>
  </conditionalFormatting>
  <conditionalFormatting sqref="W41">
    <cfRule type="expression" dxfId="269" priority="257">
      <formula>AI41=0</formula>
    </cfRule>
  </conditionalFormatting>
  <conditionalFormatting sqref="N42">
    <cfRule type="expression" dxfId="268" priority="256">
      <formula>AA42=0</formula>
    </cfRule>
  </conditionalFormatting>
  <conditionalFormatting sqref="P42">
    <cfRule type="expression" dxfId="267" priority="255">
      <formula>AB42=0</formula>
    </cfRule>
  </conditionalFormatting>
  <conditionalFormatting sqref="U42">
    <cfRule type="expression" dxfId="266" priority="254">
      <formula>AH42=0</formula>
    </cfRule>
  </conditionalFormatting>
  <conditionalFormatting sqref="W42">
    <cfRule type="expression" dxfId="265" priority="253">
      <formula>AI42=0</formula>
    </cfRule>
  </conditionalFormatting>
  <conditionalFormatting sqref="N43">
    <cfRule type="expression" dxfId="264" priority="252">
      <formula>AA43=0</formula>
    </cfRule>
  </conditionalFormatting>
  <conditionalFormatting sqref="P43">
    <cfRule type="expression" dxfId="263" priority="251">
      <formula>AB43=0</formula>
    </cfRule>
  </conditionalFormatting>
  <conditionalFormatting sqref="U43">
    <cfRule type="expression" dxfId="262" priority="250">
      <formula>AH43=0</formula>
    </cfRule>
  </conditionalFormatting>
  <conditionalFormatting sqref="W43">
    <cfRule type="expression" dxfId="261" priority="249">
      <formula>AI43=0</formula>
    </cfRule>
  </conditionalFormatting>
  <conditionalFormatting sqref="N46">
    <cfRule type="expression" dxfId="260" priority="248">
      <formula>AA46=0</formula>
    </cfRule>
  </conditionalFormatting>
  <conditionalFormatting sqref="P46">
    <cfRule type="expression" dxfId="259" priority="247">
      <formula>AB46=0</formula>
    </cfRule>
  </conditionalFormatting>
  <conditionalFormatting sqref="U46">
    <cfRule type="expression" dxfId="258" priority="246">
      <formula>AH46=0</formula>
    </cfRule>
  </conditionalFormatting>
  <conditionalFormatting sqref="W46">
    <cfRule type="expression" dxfId="257" priority="245">
      <formula>AI46=0</formula>
    </cfRule>
  </conditionalFormatting>
  <conditionalFormatting sqref="N49">
    <cfRule type="expression" dxfId="256" priority="244">
      <formula>AA49=0</formula>
    </cfRule>
  </conditionalFormatting>
  <conditionalFormatting sqref="P49">
    <cfRule type="expression" dxfId="255" priority="243">
      <formula>AB49=0</formula>
    </cfRule>
  </conditionalFormatting>
  <conditionalFormatting sqref="U49">
    <cfRule type="expression" dxfId="254" priority="242">
      <formula>AH49=0</formula>
    </cfRule>
  </conditionalFormatting>
  <conditionalFormatting sqref="W49">
    <cfRule type="expression" dxfId="253" priority="241">
      <formula>AI49=0</formula>
    </cfRule>
  </conditionalFormatting>
  <conditionalFormatting sqref="P50">
    <cfRule type="expression" dxfId="252" priority="239">
      <formula>AB50=0</formula>
    </cfRule>
  </conditionalFormatting>
  <conditionalFormatting sqref="U50">
    <cfRule type="expression" dxfId="251" priority="238">
      <formula>AH50=0</formula>
    </cfRule>
  </conditionalFormatting>
  <conditionalFormatting sqref="W50">
    <cfRule type="expression" dxfId="250" priority="237">
      <formula>AI50=0</formula>
    </cfRule>
  </conditionalFormatting>
  <conditionalFormatting sqref="N54">
    <cfRule type="expression" dxfId="249" priority="236">
      <formula>AA54=0</formula>
    </cfRule>
  </conditionalFormatting>
  <conditionalFormatting sqref="P54">
    <cfRule type="expression" dxfId="248" priority="235">
      <formula>AB54=0</formula>
    </cfRule>
  </conditionalFormatting>
  <conditionalFormatting sqref="U54">
    <cfRule type="expression" dxfId="247" priority="234">
      <formula>AH54=0</formula>
    </cfRule>
  </conditionalFormatting>
  <conditionalFormatting sqref="W54">
    <cfRule type="expression" dxfId="246" priority="233">
      <formula>AI54=0</formula>
    </cfRule>
  </conditionalFormatting>
  <conditionalFormatting sqref="P55">
    <cfRule type="expression" dxfId="245" priority="231">
      <formula>AB55=0</formula>
    </cfRule>
  </conditionalFormatting>
  <conditionalFormatting sqref="U55">
    <cfRule type="expression" dxfId="244" priority="230">
      <formula>AH55=0</formula>
    </cfRule>
  </conditionalFormatting>
  <conditionalFormatting sqref="W55">
    <cfRule type="expression" dxfId="243" priority="229">
      <formula>AI55=0</formula>
    </cfRule>
  </conditionalFormatting>
  <conditionalFormatting sqref="N56">
    <cfRule type="expression" dxfId="242" priority="228">
      <formula>AA56=0</formula>
    </cfRule>
  </conditionalFormatting>
  <conditionalFormatting sqref="P56">
    <cfRule type="expression" dxfId="241" priority="227">
      <formula>AB56=0</formula>
    </cfRule>
  </conditionalFormatting>
  <conditionalFormatting sqref="U56">
    <cfRule type="expression" dxfId="240" priority="226">
      <formula>AH56=0</formula>
    </cfRule>
  </conditionalFormatting>
  <conditionalFormatting sqref="W56">
    <cfRule type="expression" dxfId="239" priority="225">
      <formula>AI56=0</formula>
    </cfRule>
  </conditionalFormatting>
  <conditionalFormatting sqref="N59">
    <cfRule type="expression" dxfId="238" priority="224">
      <formula>AA59=0</formula>
    </cfRule>
  </conditionalFormatting>
  <conditionalFormatting sqref="P59">
    <cfRule type="expression" dxfId="237" priority="223">
      <formula>AB59=0</formula>
    </cfRule>
  </conditionalFormatting>
  <conditionalFormatting sqref="U59">
    <cfRule type="expression" dxfId="236" priority="222">
      <formula>AH59=0</formula>
    </cfRule>
  </conditionalFormatting>
  <conditionalFormatting sqref="W59">
    <cfRule type="expression" dxfId="235" priority="221">
      <formula>AI59=0</formula>
    </cfRule>
  </conditionalFormatting>
  <conditionalFormatting sqref="N60">
    <cfRule type="expression" dxfId="234" priority="220">
      <formula>AA60=0</formula>
    </cfRule>
  </conditionalFormatting>
  <conditionalFormatting sqref="P60">
    <cfRule type="expression" dxfId="233" priority="219">
      <formula>AB60=0</formula>
    </cfRule>
  </conditionalFormatting>
  <conditionalFormatting sqref="U60">
    <cfRule type="expression" dxfId="232" priority="218">
      <formula>AH60=0</formula>
    </cfRule>
  </conditionalFormatting>
  <conditionalFormatting sqref="W60">
    <cfRule type="expression" dxfId="231" priority="217">
      <formula>AI60=0</formula>
    </cfRule>
  </conditionalFormatting>
  <conditionalFormatting sqref="P64">
    <cfRule type="expression" dxfId="230" priority="215">
      <formula>AB64=0</formula>
    </cfRule>
  </conditionalFormatting>
  <conditionalFormatting sqref="U64">
    <cfRule type="expression" dxfId="229" priority="214">
      <formula>AH64=0</formula>
    </cfRule>
  </conditionalFormatting>
  <conditionalFormatting sqref="W64">
    <cfRule type="expression" dxfId="228" priority="213">
      <formula>AI64=0</formula>
    </cfRule>
  </conditionalFormatting>
  <conditionalFormatting sqref="N65">
    <cfRule type="expression" dxfId="227" priority="212">
      <formula>AA65=0</formula>
    </cfRule>
  </conditionalFormatting>
  <conditionalFormatting sqref="P65">
    <cfRule type="expression" dxfId="226" priority="211">
      <formula>AB65=0</formula>
    </cfRule>
  </conditionalFormatting>
  <conditionalFormatting sqref="U65">
    <cfRule type="expression" dxfId="225" priority="210">
      <formula>AH65=0</formula>
    </cfRule>
  </conditionalFormatting>
  <conditionalFormatting sqref="W65">
    <cfRule type="expression" dxfId="224" priority="209">
      <formula>AI65=0</formula>
    </cfRule>
  </conditionalFormatting>
  <conditionalFormatting sqref="P66">
    <cfRule type="expression" dxfId="223" priority="207">
      <formula>AB66=0</formula>
    </cfRule>
  </conditionalFormatting>
  <conditionalFormatting sqref="U66">
    <cfRule type="expression" dxfId="222" priority="206">
      <formula>AH66=0</formula>
    </cfRule>
  </conditionalFormatting>
  <conditionalFormatting sqref="W66">
    <cfRule type="expression" dxfId="221" priority="205">
      <formula>AI66=0</formula>
    </cfRule>
  </conditionalFormatting>
  <conditionalFormatting sqref="N68">
    <cfRule type="expression" dxfId="220" priority="204">
      <formula>AA68=0</formula>
    </cfRule>
  </conditionalFormatting>
  <conditionalFormatting sqref="P68">
    <cfRule type="expression" dxfId="219" priority="203">
      <formula>AB68=0</formula>
    </cfRule>
  </conditionalFormatting>
  <conditionalFormatting sqref="U68">
    <cfRule type="expression" dxfId="218" priority="202">
      <formula>AH68=0</formula>
    </cfRule>
  </conditionalFormatting>
  <conditionalFormatting sqref="W68">
    <cfRule type="expression" dxfId="217" priority="201">
      <formula>AI68=0</formula>
    </cfRule>
  </conditionalFormatting>
  <conditionalFormatting sqref="N69">
    <cfRule type="expression" dxfId="216" priority="200">
      <formula>AA69=0</formula>
    </cfRule>
  </conditionalFormatting>
  <conditionalFormatting sqref="P69">
    <cfRule type="expression" dxfId="215" priority="199">
      <formula>AB69=0</formula>
    </cfRule>
  </conditionalFormatting>
  <conditionalFormatting sqref="U69">
    <cfRule type="expression" dxfId="214" priority="198">
      <formula>AH69=0</formula>
    </cfRule>
  </conditionalFormatting>
  <conditionalFormatting sqref="W69">
    <cfRule type="expression" dxfId="213" priority="197">
      <formula>AI69=0</formula>
    </cfRule>
  </conditionalFormatting>
  <conditionalFormatting sqref="N70">
    <cfRule type="expression" dxfId="212" priority="196">
      <formula>AA70=0</formula>
    </cfRule>
  </conditionalFormatting>
  <conditionalFormatting sqref="P70">
    <cfRule type="expression" dxfId="211" priority="195">
      <formula>AB70=0</formula>
    </cfRule>
  </conditionalFormatting>
  <conditionalFormatting sqref="U70">
    <cfRule type="expression" dxfId="210" priority="194">
      <formula>AH70=0</formula>
    </cfRule>
  </conditionalFormatting>
  <conditionalFormatting sqref="W70">
    <cfRule type="expression" dxfId="209" priority="193">
      <formula>AI70=0</formula>
    </cfRule>
  </conditionalFormatting>
  <conditionalFormatting sqref="N72">
    <cfRule type="expression" dxfId="208" priority="192">
      <formula>AA72=0</formula>
    </cfRule>
  </conditionalFormatting>
  <conditionalFormatting sqref="P72">
    <cfRule type="expression" dxfId="207" priority="191">
      <formula>AB72=0</formula>
    </cfRule>
  </conditionalFormatting>
  <conditionalFormatting sqref="U72">
    <cfRule type="expression" dxfId="206" priority="190">
      <formula>AH72=0</formula>
    </cfRule>
  </conditionalFormatting>
  <conditionalFormatting sqref="W72">
    <cfRule type="expression" dxfId="205" priority="189">
      <formula>AI72=0</formula>
    </cfRule>
  </conditionalFormatting>
  <conditionalFormatting sqref="P73">
    <cfRule type="expression" dxfId="204" priority="187">
      <formula>AB73=0</formula>
    </cfRule>
  </conditionalFormatting>
  <conditionalFormatting sqref="U73">
    <cfRule type="expression" dxfId="203" priority="186">
      <formula>AH73=0</formula>
    </cfRule>
  </conditionalFormatting>
  <conditionalFormatting sqref="W73">
    <cfRule type="expression" dxfId="202" priority="185">
      <formula>AI73=0</formula>
    </cfRule>
  </conditionalFormatting>
  <conditionalFormatting sqref="P74">
    <cfRule type="expression" dxfId="201" priority="183">
      <formula>AB74=0</formula>
    </cfRule>
  </conditionalFormatting>
  <conditionalFormatting sqref="U74">
    <cfRule type="expression" dxfId="200" priority="182">
      <formula>AH74=0</formula>
    </cfRule>
  </conditionalFormatting>
  <conditionalFormatting sqref="W74">
    <cfRule type="expression" dxfId="199" priority="181">
      <formula>AI74=0</formula>
    </cfRule>
  </conditionalFormatting>
  <conditionalFormatting sqref="N77">
    <cfRule type="expression" dxfId="198" priority="180">
      <formula>AA77=0</formula>
    </cfRule>
  </conditionalFormatting>
  <conditionalFormatting sqref="P77">
    <cfRule type="expression" dxfId="197" priority="179">
      <formula>AB77=0</formula>
    </cfRule>
  </conditionalFormatting>
  <conditionalFormatting sqref="U77">
    <cfRule type="expression" dxfId="196" priority="178">
      <formula>AH77=0</formula>
    </cfRule>
  </conditionalFormatting>
  <conditionalFormatting sqref="W77">
    <cfRule type="expression" dxfId="195" priority="177">
      <formula>AI77=0</formula>
    </cfRule>
  </conditionalFormatting>
  <conditionalFormatting sqref="P78">
    <cfRule type="expression" dxfId="194" priority="175">
      <formula>AB78=0</formula>
    </cfRule>
  </conditionalFormatting>
  <conditionalFormatting sqref="U78">
    <cfRule type="expression" dxfId="193" priority="174">
      <formula>AH78=0</formula>
    </cfRule>
  </conditionalFormatting>
  <conditionalFormatting sqref="W78">
    <cfRule type="expression" dxfId="192" priority="173">
      <formula>AI78=0</formula>
    </cfRule>
  </conditionalFormatting>
  <conditionalFormatting sqref="N80">
    <cfRule type="expression" dxfId="191" priority="172">
      <formula>AA80=0</formula>
    </cfRule>
  </conditionalFormatting>
  <conditionalFormatting sqref="P80">
    <cfRule type="expression" dxfId="190" priority="171">
      <formula>AB80=0</formula>
    </cfRule>
  </conditionalFormatting>
  <conditionalFormatting sqref="U80">
    <cfRule type="expression" dxfId="189" priority="170">
      <formula>AH80=0</formula>
    </cfRule>
  </conditionalFormatting>
  <conditionalFormatting sqref="W80">
    <cfRule type="expression" dxfId="188" priority="169">
      <formula>AI80=0</formula>
    </cfRule>
  </conditionalFormatting>
  <conditionalFormatting sqref="P81">
    <cfRule type="expression" dxfId="187" priority="167">
      <formula>AB81=0</formula>
    </cfRule>
  </conditionalFormatting>
  <conditionalFormatting sqref="U81">
    <cfRule type="expression" dxfId="186" priority="166">
      <formula>AH81=0</formula>
    </cfRule>
  </conditionalFormatting>
  <conditionalFormatting sqref="W81">
    <cfRule type="expression" dxfId="185" priority="165">
      <formula>AI81=0</formula>
    </cfRule>
  </conditionalFormatting>
  <conditionalFormatting sqref="N82">
    <cfRule type="expression" dxfId="184" priority="164">
      <formula>AA82=0</formula>
    </cfRule>
  </conditionalFormatting>
  <conditionalFormatting sqref="P82">
    <cfRule type="expression" dxfId="183" priority="163">
      <formula>AB82=0</formula>
    </cfRule>
  </conditionalFormatting>
  <conditionalFormatting sqref="U82">
    <cfRule type="expression" dxfId="182" priority="162">
      <formula>AH82=0</formula>
    </cfRule>
  </conditionalFormatting>
  <conditionalFormatting sqref="W82">
    <cfRule type="expression" dxfId="181" priority="161">
      <formula>AI82=0</formula>
    </cfRule>
  </conditionalFormatting>
  <conditionalFormatting sqref="P83">
    <cfRule type="expression" dxfId="180" priority="159">
      <formula>AB83=0</formula>
    </cfRule>
  </conditionalFormatting>
  <conditionalFormatting sqref="U83">
    <cfRule type="expression" dxfId="179" priority="158">
      <formula>AH83=0</formula>
    </cfRule>
  </conditionalFormatting>
  <conditionalFormatting sqref="W83">
    <cfRule type="expression" dxfId="178" priority="157">
      <formula>AI83=0</formula>
    </cfRule>
  </conditionalFormatting>
  <conditionalFormatting sqref="P84">
    <cfRule type="expression" dxfId="177" priority="155">
      <formula>AB84=0</formula>
    </cfRule>
  </conditionalFormatting>
  <conditionalFormatting sqref="U84">
    <cfRule type="expression" dxfId="176" priority="154">
      <formula>AH84=0</formula>
    </cfRule>
  </conditionalFormatting>
  <conditionalFormatting sqref="W84">
    <cfRule type="expression" dxfId="175" priority="153">
      <formula>AI84=0</formula>
    </cfRule>
  </conditionalFormatting>
  <conditionalFormatting sqref="N85">
    <cfRule type="expression" dxfId="174" priority="152">
      <formula>AA85=0</formula>
    </cfRule>
  </conditionalFormatting>
  <conditionalFormatting sqref="P85">
    <cfRule type="expression" dxfId="173" priority="151">
      <formula>AB85=0</formula>
    </cfRule>
  </conditionalFormatting>
  <conditionalFormatting sqref="U85">
    <cfRule type="expression" dxfId="172" priority="150">
      <formula>AH85=0</formula>
    </cfRule>
  </conditionalFormatting>
  <conditionalFormatting sqref="W85">
    <cfRule type="expression" dxfId="171" priority="149">
      <formula>AI85=0</formula>
    </cfRule>
  </conditionalFormatting>
  <conditionalFormatting sqref="P87">
    <cfRule type="expression" dxfId="170" priority="147">
      <formula>AB87=0</formula>
    </cfRule>
  </conditionalFormatting>
  <conditionalFormatting sqref="U87">
    <cfRule type="expression" dxfId="169" priority="146">
      <formula>AH87=0</formula>
    </cfRule>
  </conditionalFormatting>
  <conditionalFormatting sqref="W87">
    <cfRule type="expression" dxfId="168" priority="145">
      <formula>AI87=0</formula>
    </cfRule>
  </conditionalFormatting>
  <conditionalFormatting sqref="N88">
    <cfRule type="expression" dxfId="167" priority="144">
      <formula>AA88=0</formula>
    </cfRule>
  </conditionalFormatting>
  <conditionalFormatting sqref="P88">
    <cfRule type="expression" dxfId="166" priority="143">
      <formula>AB88=0</formula>
    </cfRule>
  </conditionalFormatting>
  <conditionalFormatting sqref="U88">
    <cfRule type="expression" dxfId="165" priority="142">
      <formula>AH88=0</formula>
    </cfRule>
  </conditionalFormatting>
  <conditionalFormatting sqref="W88">
    <cfRule type="expression" dxfId="164" priority="141">
      <formula>AI88=0</formula>
    </cfRule>
  </conditionalFormatting>
  <conditionalFormatting sqref="N89">
    <cfRule type="expression" dxfId="163" priority="140">
      <formula>AA89=0</formula>
    </cfRule>
  </conditionalFormatting>
  <conditionalFormatting sqref="P89">
    <cfRule type="expression" dxfId="162" priority="139">
      <formula>AB89=0</formula>
    </cfRule>
  </conditionalFormatting>
  <conditionalFormatting sqref="U89">
    <cfRule type="expression" dxfId="161" priority="138">
      <formula>AH89=0</formula>
    </cfRule>
  </conditionalFormatting>
  <conditionalFormatting sqref="W89">
    <cfRule type="expression" dxfId="160" priority="137">
      <formula>AI89=0</formula>
    </cfRule>
  </conditionalFormatting>
  <conditionalFormatting sqref="N91">
    <cfRule type="expression" dxfId="159" priority="136">
      <formula>AA91=0</formula>
    </cfRule>
  </conditionalFormatting>
  <conditionalFormatting sqref="P91">
    <cfRule type="expression" dxfId="158" priority="135">
      <formula>AB91=0</formula>
    </cfRule>
  </conditionalFormatting>
  <conditionalFormatting sqref="U91">
    <cfRule type="expression" dxfId="157" priority="134">
      <formula>AH91=0</formula>
    </cfRule>
  </conditionalFormatting>
  <conditionalFormatting sqref="W91">
    <cfRule type="expression" dxfId="156" priority="133">
      <formula>AI91=0</formula>
    </cfRule>
  </conditionalFormatting>
  <conditionalFormatting sqref="P92">
    <cfRule type="expression" dxfId="155" priority="131">
      <formula>AB92=0</formula>
    </cfRule>
  </conditionalFormatting>
  <conditionalFormatting sqref="U92">
    <cfRule type="expression" dxfId="154" priority="130">
      <formula>AH92=0</formula>
    </cfRule>
  </conditionalFormatting>
  <conditionalFormatting sqref="W92">
    <cfRule type="expression" dxfId="153" priority="129">
      <formula>AI92=0</formula>
    </cfRule>
  </conditionalFormatting>
  <conditionalFormatting sqref="N93">
    <cfRule type="expression" dxfId="152" priority="128">
      <formula>AA93=0</formula>
    </cfRule>
  </conditionalFormatting>
  <conditionalFormatting sqref="P93">
    <cfRule type="expression" dxfId="151" priority="127">
      <formula>AB93=0</formula>
    </cfRule>
  </conditionalFormatting>
  <conditionalFormatting sqref="U93">
    <cfRule type="expression" dxfId="150" priority="126">
      <formula>AH93=0</formula>
    </cfRule>
  </conditionalFormatting>
  <conditionalFormatting sqref="W93">
    <cfRule type="expression" dxfId="149" priority="125">
      <formula>AI93=0</formula>
    </cfRule>
  </conditionalFormatting>
  <conditionalFormatting sqref="P94">
    <cfRule type="expression" dxfId="148" priority="123">
      <formula>AB94=0</formula>
    </cfRule>
  </conditionalFormatting>
  <conditionalFormatting sqref="U94">
    <cfRule type="expression" dxfId="147" priority="122">
      <formula>AH94=0</formula>
    </cfRule>
  </conditionalFormatting>
  <conditionalFormatting sqref="W94">
    <cfRule type="expression" dxfId="146" priority="121">
      <formula>AI94=0</formula>
    </cfRule>
  </conditionalFormatting>
  <conditionalFormatting sqref="N95">
    <cfRule type="expression" dxfId="145" priority="120">
      <formula>AA95=0</formula>
    </cfRule>
  </conditionalFormatting>
  <conditionalFormatting sqref="P95">
    <cfRule type="expression" dxfId="144" priority="119">
      <formula>AB95=0</formula>
    </cfRule>
  </conditionalFormatting>
  <conditionalFormatting sqref="U95">
    <cfRule type="expression" dxfId="143" priority="118">
      <formula>AH95=0</formula>
    </cfRule>
  </conditionalFormatting>
  <conditionalFormatting sqref="W95">
    <cfRule type="expression" dxfId="142" priority="117">
      <formula>AI95=0</formula>
    </cfRule>
  </conditionalFormatting>
  <conditionalFormatting sqref="N99">
    <cfRule type="expression" dxfId="141" priority="116">
      <formula>AA99=0</formula>
    </cfRule>
  </conditionalFormatting>
  <conditionalFormatting sqref="P99">
    <cfRule type="expression" dxfId="140" priority="115">
      <formula>AB99=0</formula>
    </cfRule>
  </conditionalFormatting>
  <conditionalFormatting sqref="U99">
    <cfRule type="expression" dxfId="139" priority="114">
      <formula>AH99=0</formula>
    </cfRule>
  </conditionalFormatting>
  <conditionalFormatting sqref="W99">
    <cfRule type="expression" dxfId="138" priority="113">
      <formula>AI99=0</formula>
    </cfRule>
  </conditionalFormatting>
  <conditionalFormatting sqref="N100">
    <cfRule type="expression" dxfId="137" priority="112">
      <formula>AA100=0</formula>
    </cfRule>
  </conditionalFormatting>
  <conditionalFormatting sqref="P100">
    <cfRule type="expression" dxfId="136" priority="111">
      <formula>AB100=0</formula>
    </cfRule>
  </conditionalFormatting>
  <conditionalFormatting sqref="U100">
    <cfRule type="expression" dxfId="135" priority="110">
      <formula>AH100=0</formula>
    </cfRule>
  </conditionalFormatting>
  <conditionalFormatting sqref="W100">
    <cfRule type="expression" dxfId="134" priority="109">
      <formula>AI100=0</formula>
    </cfRule>
  </conditionalFormatting>
  <conditionalFormatting sqref="P101">
    <cfRule type="expression" dxfId="133" priority="107">
      <formula>AB101=0</formula>
    </cfRule>
  </conditionalFormatting>
  <conditionalFormatting sqref="U101">
    <cfRule type="expression" dxfId="132" priority="106">
      <formula>AH101=0</formula>
    </cfRule>
  </conditionalFormatting>
  <conditionalFormatting sqref="W101">
    <cfRule type="expression" dxfId="131" priority="105">
      <formula>AI101=0</formula>
    </cfRule>
  </conditionalFormatting>
  <conditionalFormatting sqref="N103">
    <cfRule type="expression" dxfId="130" priority="104">
      <formula>AA103=0</formula>
    </cfRule>
  </conditionalFormatting>
  <conditionalFormatting sqref="P103">
    <cfRule type="expression" dxfId="129" priority="103">
      <formula>AB103=0</formula>
    </cfRule>
  </conditionalFormatting>
  <conditionalFormatting sqref="N104">
    <cfRule type="expression" dxfId="128" priority="100">
      <formula>AA104=0</formula>
    </cfRule>
  </conditionalFormatting>
  <conditionalFormatting sqref="P104">
    <cfRule type="expression" dxfId="127" priority="99">
      <formula>AB104=0</formula>
    </cfRule>
  </conditionalFormatting>
  <conditionalFormatting sqref="N105">
    <cfRule type="expression" dxfId="126" priority="96">
      <formula>AA105=0</formula>
    </cfRule>
  </conditionalFormatting>
  <conditionalFormatting sqref="P105">
    <cfRule type="expression" dxfId="125" priority="95">
      <formula>AB105=0</formula>
    </cfRule>
  </conditionalFormatting>
  <conditionalFormatting sqref="N106">
    <cfRule type="expression" dxfId="124" priority="92">
      <formula>AA106=0</formula>
    </cfRule>
  </conditionalFormatting>
  <conditionalFormatting sqref="P106">
    <cfRule type="expression" dxfId="123" priority="91">
      <formula>AB106=0</formula>
    </cfRule>
  </conditionalFormatting>
  <conditionalFormatting sqref="N107">
    <cfRule type="expression" dxfId="122" priority="88">
      <formula>AA107=0</formula>
    </cfRule>
  </conditionalFormatting>
  <conditionalFormatting sqref="P107">
    <cfRule type="expression" dxfId="121" priority="87">
      <formula>AB107=0</formula>
    </cfRule>
  </conditionalFormatting>
  <conditionalFormatting sqref="N108">
    <cfRule type="expression" dxfId="120" priority="84">
      <formula>AA108=0</formula>
    </cfRule>
  </conditionalFormatting>
  <conditionalFormatting sqref="P108">
    <cfRule type="expression" dxfId="119" priority="83">
      <formula>AB108=0</formula>
    </cfRule>
  </conditionalFormatting>
  <conditionalFormatting sqref="N110">
    <cfRule type="expression" dxfId="118" priority="80">
      <formula>AA110=0</formula>
    </cfRule>
  </conditionalFormatting>
  <conditionalFormatting sqref="P110">
    <cfRule type="expression" dxfId="117" priority="79">
      <formula>AB110=0</formula>
    </cfRule>
  </conditionalFormatting>
  <conditionalFormatting sqref="N111">
    <cfRule type="expression" dxfId="116" priority="76">
      <formula>AA111=0</formula>
    </cfRule>
  </conditionalFormatting>
  <conditionalFormatting sqref="P111">
    <cfRule type="expression" dxfId="115" priority="75">
      <formula>AB111=0</formula>
    </cfRule>
  </conditionalFormatting>
  <conditionalFormatting sqref="N113">
    <cfRule type="expression" dxfId="114" priority="72">
      <formula>AA113=0</formula>
    </cfRule>
  </conditionalFormatting>
  <conditionalFormatting sqref="P113">
    <cfRule type="expression" dxfId="113" priority="71">
      <formula>AB113=0</formula>
    </cfRule>
  </conditionalFormatting>
  <conditionalFormatting sqref="N114">
    <cfRule type="expression" dxfId="112" priority="70">
      <formula>AA114=0</formula>
    </cfRule>
  </conditionalFormatting>
  <conditionalFormatting sqref="P114">
    <cfRule type="expression" dxfId="111" priority="69">
      <formula>AB114=0</formula>
    </cfRule>
  </conditionalFormatting>
  <conditionalFormatting sqref="N120">
    <cfRule type="expression" dxfId="110" priority="68">
      <formula>AA120=0</formula>
    </cfRule>
  </conditionalFormatting>
  <conditionalFormatting sqref="P120">
    <cfRule type="expression" dxfId="109" priority="67">
      <formula>AB120=0</formula>
    </cfRule>
  </conditionalFormatting>
  <conditionalFormatting sqref="N121">
    <cfRule type="expression" dxfId="108" priority="66">
      <formula>AA121=0</formula>
    </cfRule>
  </conditionalFormatting>
  <conditionalFormatting sqref="P121">
    <cfRule type="expression" dxfId="107" priority="65">
      <formula>AB121=0</formula>
    </cfRule>
  </conditionalFormatting>
  <conditionalFormatting sqref="N135">
    <cfRule type="expression" dxfId="106" priority="64">
      <formula>AA135=0</formula>
    </cfRule>
  </conditionalFormatting>
  <conditionalFormatting sqref="P135">
    <cfRule type="expression" dxfId="105" priority="63">
      <formula>AB135=0</formula>
    </cfRule>
  </conditionalFormatting>
  <conditionalFormatting sqref="N136">
    <cfRule type="expression" dxfId="104" priority="62">
      <formula>AA136=0</formula>
    </cfRule>
  </conditionalFormatting>
  <conditionalFormatting sqref="P136">
    <cfRule type="expression" dxfId="103" priority="61">
      <formula>AB136=0</formula>
    </cfRule>
  </conditionalFormatting>
  <conditionalFormatting sqref="N138">
    <cfRule type="expression" dxfId="102" priority="60">
      <formula>AA138=0</formula>
    </cfRule>
  </conditionalFormatting>
  <conditionalFormatting sqref="P138">
    <cfRule type="expression" dxfId="101" priority="59">
      <formula>AB138=0</formula>
    </cfRule>
  </conditionalFormatting>
  <conditionalFormatting sqref="N139">
    <cfRule type="expression" dxfId="100" priority="58">
      <formula>AA139=0</formula>
    </cfRule>
  </conditionalFormatting>
  <conditionalFormatting sqref="P139">
    <cfRule type="expression" dxfId="99" priority="57">
      <formula>AB139=0</formula>
    </cfRule>
  </conditionalFormatting>
  <conditionalFormatting sqref="N142">
    <cfRule type="expression" dxfId="98" priority="56">
      <formula>AA142=0</formula>
    </cfRule>
  </conditionalFormatting>
  <conditionalFormatting sqref="P142">
    <cfRule type="expression" dxfId="97" priority="55">
      <formula>AB142=0</formula>
    </cfRule>
  </conditionalFormatting>
  <conditionalFormatting sqref="N144">
    <cfRule type="expression" dxfId="96" priority="54">
      <formula>AA144=0</formula>
    </cfRule>
  </conditionalFormatting>
  <conditionalFormatting sqref="P144">
    <cfRule type="expression" dxfId="95" priority="53">
      <formula>AB144=0</formula>
    </cfRule>
  </conditionalFormatting>
  <conditionalFormatting sqref="N145">
    <cfRule type="expression" dxfId="94" priority="52">
      <formula>AA145=0</formula>
    </cfRule>
  </conditionalFormatting>
  <conditionalFormatting sqref="P145">
    <cfRule type="expression" dxfId="93" priority="51">
      <formula>AB145=0</formula>
    </cfRule>
  </conditionalFormatting>
  <conditionalFormatting sqref="N147">
    <cfRule type="expression" dxfId="92" priority="50">
      <formula>AA147=0</formula>
    </cfRule>
  </conditionalFormatting>
  <conditionalFormatting sqref="P147">
    <cfRule type="expression" dxfId="91" priority="49">
      <formula>AB147=0</formula>
    </cfRule>
  </conditionalFormatting>
  <conditionalFormatting sqref="N148">
    <cfRule type="expression" dxfId="90" priority="48">
      <formula>AA148=0</formula>
    </cfRule>
  </conditionalFormatting>
  <conditionalFormatting sqref="P148">
    <cfRule type="expression" dxfId="89" priority="47">
      <formula>AB148=0</formula>
    </cfRule>
  </conditionalFormatting>
  <conditionalFormatting sqref="N149">
    <cfRule type="expression" dxfId="88" priority="46">
      <formula>AA149=0</formula>
    </cfRule>
  </conditionalFormatting>
  <conditionalFormatting sqref="P149">
    <cfRule type="expression" dxfId="87" priority="45">
      <formula>AB149=0</formula>
    </cfRule>
  </conditionalFormatting>
  <conditionalFormatting sqref="N150">
    <cfRule type="expression" dxfId="86" priority="44">
      <formula>AA150=0</formula>
    </cfRule>
  </conditionalFormatting>
  <conditionalFormatting sqref="P150">
    <cfRule type="expression" dxfId="85" priority="43">
      <formula>AB150=0</formula>
    </cfRule>
  </conditionalFormatting>
  <conditionalFormatting sqref="N151">
    <cfRule type="expression" dxfId="84" priority="42">
      <formula>AA151=0</formula>
    </cfRule>
  </conditionalFormatting>
  <conditionalFormatting sqref="P151">
    <cfRule type="expression" dxfId="83" priority="41">
      <formula>AB151=0</formula>
    </cfRule>
  </conditionalFormatting>
  <conditionalFormatting sqref="N152">
    <cfRule type="expression" dxfId="82" priority="40">
      <formula>AA152=0</formula>
    </cfRule>
  </conditionalFormatting>
  <conditionalFormatting sqref="P152">
    <cfRule type="expression" dxfId="81" priority="39">
      <formula>AB152=0</formula>
    </cfRule>
  </conditionalFormatting>
  <conditionalFormatting sqref="N154">
    <cfRule type="expression" dxfId="80" priority="38">
      <formula>AA154=0</formula>
    </cfRule>
  </conditionalFormatting>
  <conditionalFormatting sqref="P154">
    <cfRule type="expression" dxfId="79" priority="37">
      <formula>AB154=0</formula>
    </cfRule>
  </conditionalFormatting>
  <conditionalFormatting sqref="N156">
    <cfRule type="expression" dxfId="78" priority="36">
      <formula>AA156=0</formula>
    </cfRule>
  </conditionalFormatting>
  <conditionalFormatting sqref="P156">
    <cfRule type="expression" dxfId="77" priority="35">
      <formula>AB156=0</formula>
    </cfRule>
  </conditionalFormatting>
  <conditionalFormatting sqref="N157">
    <cfRule type="expression" dxfId="76" priority="34">
      <formula>AA157=0</formula>
    </cfRule>
  </conditionalFormatting>
  <conditionalFormatting sqref="P157">
    <cfRule type="expression" dxfId="75" priority="33">
      <formula>AB157=0</formula>
    </cfRule>
  </conditionalFormatting>
  <conditionalFormatting sqref="N158">
    <cfRule type="expression" dxfId="74" priority="32">
      <formula>AA158=0</formula>
    </cfRule>
  </conditionalFormatting>
  <conditionalFormatting sqref="P158">
    <cfRule type="expression" dxfId="73" priority="31">
      <formula>AB158=0</formula>
    </cfRule>
  </conditionalFormatting>
  <conditionalFormatting sqref="N162">
    <cfRule type="expression" dxfId="72" priority="28">
      <formula>AA162=0</formula>
    </cfRule>
  </conditionalFormatting>
  <conditionalFormatting sqref="P162">
    <cfRule type="expression" dxfId="71" priority="27">
      <formula>AB162=0</formula>
    </cfRule>
  </conditionalFormatting>
  <conditionalFormatting sqref="N163">
    <cfRule type="expression" dxfId="70" priority="26">
      <formula>AA163=0</formula>
    </cfRule>
  </conditionalFormatting>
  <conditionalFormatting sqref="P163">
    <cfRule type="expression" dxfId="69" priority="25">
      <formula>AB163=0</formula>
    </cfRule>
  </conditionalFormatting>
  <conditionalFormatting sqref="N165">
    <cfRule type="expression" dxfId="68" priority="24">
      <formula>AA165=0</formula>
    </cfRule>
  </conditionalFormatting>
  <conditionalFormatting sqref="P165">
    <cfRule type="expression" dxfId="67" priority="23">
      <formula>AB165=0</formula>
    </cfRule>
  </conditionalFormatting>
  <conditionalFormatting sqref="N166">
    <cfRule type="expression" dxfId="66" priority="22">
      <formula>AA166=0</formula>
    </cfRule>
  </conditionalFormatting>
  <conditionalFormatting sqref="P166">
    <cfRule type="expression" dxfId="65" priority="21">
      <formula>AB166=0</formula>
    </cfRule>
  </conditionalFormatting>
  <conditionalFormatting sqref="N167">
    <cfRule type="expression" dxfId="64" priority="20">
      <formula>AA167=0</formula>
    </cfRule>
  </conditionalFormatting>
  <conditionalFormatting sqref="P167">
    <cfRule type="expression" dxfId="63" priority="19">
      <formula>AB167=0</formula>
    </cfRule>
  </conditionalFormatting>
  <conditionalFormatting sqref="N168">
    <cfRule type="expression" dxfId="62" priority="18">
      <formula>AA168=0</formula>
    </cfRule>
  </conditionalFormatting>
  <conditionalFormatting sqref="P168">
    <cfRule type="expression" dxfId="61" priority="17">
      <formula>AB168=0</formula>
    </cfRule>
  </conditionalFormatting>
  <conditionalFormatting sqref="N171">
    <cfRule type="expression" dxfId="60" priority="16">
      <formula>AA171=0</formula>
    </cfRule>
  </conditionalFormatting>
  <conditionalFormatting sqref="P171">
    <cfRule type="expression" dxfId="59" priority="15">
      <formula>AB171=0</formula>
    </cfRule>
  </conditionalFormatting>
  <conditionalFormatting sqref="N172">
    <cfRule type="expression" dxfId="58" priority="14">
      <formula>AA172=0</formula>
    </cfRule>
  </conditionalFormatting>
  <conditionalFormatting sqref="P172">
    <cfRule type="expression" dxfId="57" priority="13">
      <formula>AB172=0</formula>
    </cfRule>
  </conditionalFormatting>
  <conditionalFormatting sqref="N173">
    <cfRule type="expression" dxfId="56" priority="12">
      <formula>AA173=0</formula>
    </cfRule>
  </conditionalFormatting>
  <conditionalFormatting sqref="P173">
    <cfRule type="expression" dxfId="55" priority="11">
      <formula>AB173=0</formula>
    </cfRule>
  </conditionalFormatting>
  <conditionalFormatting sqref="N175">
    <cfRule type="expression" dxfId="54" priority="10">
      <formula>AA175=0</formula>
    </cfRule>
  </conditionalFormatting>
  <conditionalFormatting sqref="P175">
    <cfRule type="expression" dxfId="53" priority="9">
      <formula>AB175=0</formula>
    </cfRule>
  </conditionalFormatting>
  <conditionalFormatting sqref="N176">
    <cfRule type="expression" dxfId="52" priority="8">
      <formula>AA176=0</formula>
    </cfRule>
  </conditionalFormatting>
  <conditionalFormatting sqref="P176">
    <cfRule type="expression" dxfId="51" priority="7">
      <formula>AB176=0</formula>
    </cfRule>
  </conditionalFormatting>
  <conditionalFormatting sqref="N177">
    <cfRule type="expression" dxfId="50" priority="6">
      <formula>AA177=0</formula>
    </cfRule>
  </conditionalFormatting>
  <conditionalFormatting sqref="P177">
    <cfRule type="expression" dxfId="49" priority="5">
      <formula>AB177=0</formula>
    </cfRule>
  </conditionalFormatting>
  <conditionalFormatting sqref="N179">
    <cfRule type="expression" dxfId="48" priority="4">
      <formula>AA179=0</formula>
    </cfRule>
  </conditionalFormatting>
  <conditionalFormatting sqref="P179">
    <cfRule type="expression" dxfId="47" priority="3">
      <formula>AB179=0</formula>
    </cfRule>
  </conditionalFormatting>
  <conditionalFormatting sqref="N180">
    <cfRule type="expression" dxfId="46" priority="2">
      <formula>AA180=0</formula>
    </cfRule>
  </conditionalFormatting>
  <conditionalFormatting sqref="P180">
    <cfRule type="expression" dxfId="45" priority="1">
      <formula>AB180=0</formula>
    </cfRule>
  </conditionalFormatting>
  <dataValidations xWindow="895" yWindow="482" count="2">
    <dataValidation type="list" allowBlank="1" showInputMessage="1" showErrorMessage="1" sqref="L179:L180 L22:L31 S22:S31 L54:L57 L59:L60 L64:L66 L77:L78 L68:L70 L80:L85 L72:L74 L40:L46 L11:L13 L15:L19 L36:L38 L49:L52 S40:S46 S49:S52 S54:S57 S59:S60 S64:S66 S77:S78 S68:S70 S80:S85 S72:S74 S11:S13 S15:S19 S36:S38 L175:L177 L99:L101 L110:L111 L103:L108 L154 L135:L136 S99:S108 L91:L95 L171:L173 L122:L124 S113:S114 S110:S111 S91:S95 L138:L139 S87:S89 L144:L145 L87:L89 L165:L168 L142 L156:L158 L113:L114 L162:L163 L160 L147:L152 L118:L119">
      <formula1>$AA$2:$AA$3</formula1>
    </dataValidation>
    <dataValidation allowBlank="1" showErrorMessage="1" sqref="AJ6:AL180 AC6:AG180"/>
  </dataValidations>
  <printOptions horizontalCentered="1"/>
  <pageMargins left="0.59055118110236227" right="0.59055118110236227" top="0.78740157480314965" bottom="0.59055118110236227" header="0.51181102362204722" footer="0.51181102362204722"/>
  <pageSetup paperSize="9" scale="63" fitToHeight="0" orientation="portrait" r:id="rId1"/>
  <headerFooter alignWithMargins="0">
    <oddHeader>&amp;L&amp;F&amp;R&amp;A</oddHeader>
    <oddFooter>&amp;C&amp;P/&amp;N</oddFooter>
  </headerFooter>
  <rowBreaks count="1" manualBreakCount="1">
    <brk id="96" max="2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FFFF"/>
    <pageSetUpPr fitToPage="1"/>
  </sheetPr>
  <dimension ref="A1:AC118"/>
  <sheetViews>
    <sheetView showGridLines="0" zoomScaleNormal="100" zoomScaleSheetLayoutView="100" workbookViewId="0">
      <selection activeCell="G18" sqref="G18"/>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201"/>
      <c r="C2" s="2202" t="s">
        <v>1347</v>
      </c>
      <c r="D2" s="2203"/>
      <c r="E2" s="2203"/>
      <c r="F2" s="2204"/>
      <c r="G2" s="2204"/>
      <c r="H2" s="2205"/>
      <c r="I2" s="2203"/>
      <c r="J2" s="2206"/>
      <c r="K2" s="2206"/>
      <c r="L2" s="2206"/>
      <c r="M2" s="2207" t="s">
        <v>837</v>
      </c>
      <c r="N2" s="2208" t="str">
        <f>メイン!H11</f>
        <v>新ビル</v>
      </c>
      <c r="O2" s="2208"/>
      <c r="P2" s="2209"/>
      <c r="Q2" s="2210"/>
    </row>
    <row r="3" spans="2:29">
      <c r="B3" s="2211"/>
      <c r="C3" s="2212"/>
      <c r="D3" s="2212"/>
      <c r="E3" s="2212"/>
      <c r="F3" s="2212"/>
      <c r="G3" s="2212"/>
      <c r="H3" s="2212"/>
      <c r="I3" s="2212"/>
      <c r="J3" s="2212"/>
      <c r="K3" s="2212"/>
      <c r="L3" s="2212"/>
      <c r="M3" s="2212"/>
      <c r="N3" s="2212"/>
      <c r="O3" s="2212"/>
      <c r="P3" s="2212"/>
      <c r="Q3" s="2213"/>
      <c r="S3" t="s">
        <v>1348</v>
      </c>
      <c r="U3" s="2214" t="s">
        <v>1349</v>
      </c>
      <c r="V3" s="2172">
        <f>IF($I$6&lt;=W9,V10,IF($I$6&lt;=W8,V9,IF($I$6&lt;=W7,V8,IF($I$6&lt;=W6,V7,1))))</f>
        <v>5</v>
      </c>
      <c r="X3">
        <f>VLOOKUP($V$3,V6:Y10,3)</f>
        <v>-10.000000000000002</v>
      </c>
      <c r="Y3">
        <f>VLOOKUP($V$3,V6:Y10,4)</f>
        <v>13.000000000000002</v>
      </c>
      <c r="Z3" s="2172">
        <f>IF($I$6&lt;=AA9,Z10,IF($I$6&lt;=AA8,Z9,IF($I$6&lt;=AA7,Z8,IF($I$6&lt;=AA6,Z7,1))))</f>
        <v>5</v>
      </c>
      <c r="AB3">
        <f>VLOOKUP($Z$3,Z6:AC10,3)</f>
        <v>-12.499999999999989</v>
      </c>
      <c r="AC3">
        <f>VLOOKUP($Z$3,Z6:AC10,4)</f>
        <v>15.624999999999991</v>
      </c>
    </row>
    <row r="4" spans="2:29">
      <c r="B4" s="2211"/>
      <c r="C4" s="2212"/>
      <c r="D4" s="2212"/>
      <c r="E4" s="2212"/>
      <c r="F4" s="2212"/>
      <c r="G4" s="2212"/>
      <c r="H4" s="2212"/>
      <c r="I4" s="2215" t="s">
        <v>1350</v>
      </c>
      <c r="J4" s="2212"/>
      <c r="K4" s="2212"/>
      <c r="L4" s="2212"/>
      <c r="M4" s="2215" t="s">
        <v>1351</v>
      </c>
      <c r="N4" s="2212"/>
      <c r="O4" s="2212"/>
      <c r="P4" s="2212"/>
      <c r="Q4" s="2213"/>
      <c r="S4" t="s">
        <v>1352</v>
      </c>
      <c r="U4" s="2214" t="s">
        <v>1353</v>
      </c>
      <c r="V4" s="2172">
        <f>IF($I$6&lt;=W16,V16,IF($I$6&lt;=W15,V15,IF($I$6&lt;=W14,V14,1)))</f>
        <v>4</v>
      </c>
      <c r="Z4" s="2172">
        <f>IF($I$6&lt;=AA16,Z16,IF($I$6&lt;=AA15,Z15,IF($I$6&lt;=AA14,Z14,IF($I$6&lt;=AA13,Z13,1))))</f>
        <v>4</v>
      </c>
    </row>
    <row r="5" spans="2:29" ht="14.25" thickBot="1">
      <c r="B5" s="2211"/>
      <c r="C5" s="2216" t="s">
        <v>1354</v>
      </c>
      <c r="D5" s="2215" t="s">
        <v>1355</v>
      </c>
      <c r="E5" s="2212"/>
      <c r="F5" s="2212"/>
      <c r="G5" s="2212"/>
      <c r="H5" s="2212"/>
      <c r="I5" s="2212"/>
      <c r="J5" s="2212"/>
      <c r="K5" s="2212"/>
      <c r="L5" s="2212"/>
      <c r="M5" s="2212"/>
      <c r="N5" s="2212"/>
      <c r="O5" s="2212"/>
      <c r="P5" s="2212"/>
      <c r="Q5" s="2213"/>
      <c r="T5" t="s">
        <v>865</v>
      </c>
      <c r="U5" t="s">
        <v>1356</v>
      </c>
      <c r="V5" s="1" t="s">
        <v>1357</v>
      </c>
      <c r="W5" s="1" t="s">
        <v>1358</v>
      </c>
      <c r="X5" t="s">
        <v>1172</v>
      </c>
      <c r="Y5" t="s">
        <v>1173</v>
      </c>
      <c r="Z5" s="1" t="s">
        <v>1357</v>
      </c>
      <c r="AA5" s="1" t="s">
        <v>1838</v>
      </c>
      <c r="AB5" t="s">
        <v>1172</v>
      </c>
      <c r="AC5" t="s">
        <v>1173</v>
      </c>
    </row>
    <row r="6" spans="2:29" ht="14.25" thickBot="1">
      <c r="B6" s="2211"/>
      <c r="C6" s="2212"/>
      <c r="D6" s="2215"/>
      <c r="E6" s="2735" t="s">
        <v>1348</v>
      </c>
      <c r="F6" s="2736"/>
      <c r="G6" s="2737"/>
      <c r="H6" s="2217" t="str">
        <f>IF(E6=S3,U3,U4)</f>
        <v>BPI=</v>
      </c>
      <c r="I6" s="2218">
        <v>0.9</v>
      </c>
      <c r="J6" s="2212"/>
      <c r="K6" s="2212"/>
      <c r="L6" s="2219" t="s">
        <v>1359</v>
      </c>
      <c r="M6" s="2220" t="s">
        <v>865</v>
      </c>
      <c r="N6" s="2212"/>
      <c r="O6" s="2212"/>
      <c r="P6" s="2212"/>
      <c r="Q6" s="2213"/>
      <c r="T6" t="s">
        <v>235</v>
      </c>
      <c r="V6" s="1">
        <v>1</v>
      </c>
      <c r="W6" s="1">
        <v>1.03</v>
      </c>
      <c r="X6" s="2172">
        <v>0</v>
      </c>
      <c r="Y6" s="2172">
        <v>1</v>
      </c>
      <c r="Z6" s="1">
        <v>1</v>
      </c>
      <c r="AA6" s="1">
        <v>1.03</v>
      </c>
      <c r="AB6" s="2172">
        <v>0</v>
      </c>
      <c r="AC6" s="2172">
        <v>1</v>
      </c>
    </row>
    <row r="7" spans="2:29" ht="5.25" customHeight="1">
      <c r="B7" s="2211"/>
      <c r="C7" s="2212"/>
      <c r="D7" s="2212"/>
      <c r="E7" s="2212"/>
      <c r="F7" s="2212"/>
      <c r="G7" s="2212"/>
      <c r="H7" s="2212"/>
      <c r="I7" s="2212"/>
      <c r="J7" s="2212"/>
      <c r="K7" s="2212"/>
      <c r="L7" s="2212"/>
      <c r="M7" s="2212"/>
      <c r="N7" s="2212"/>
      <c r="O7" s="2212"/>
      <c r="P7" s="2212"/>
      <c r="Q7" s="2213"/>
      <c r="T7" t="s">
        <v>236</v>
      </c>
      <c r="V7" s="1">
        <v>2</v>
      </c>
      <c r="W7" s="1">
        <v>1</v>
      </c>
      <c r="X7">
        <f>(V7-V6)/(W7-W6)</f>
        <v>-33.333333333333307</v>
      </c>
      <c r="Y7">
        <f>V7-X7*W7</f>
        <v>35.333333333333307</v>
      </c>
      <c r="Z7" s="1">
        <v>2</v>
      </c>
      <c r="AA7" s="1">
        <v>1</v>
      </c>
      <c r="AB7">
        <f>(Z7-Z6)/(AA7-AA6)</f>
        <v>-33.333333333333307</v>
      </c>
      <c r="AC7">
        <f>Z7-AB7*AA7</f>
        <v>35.333333333333307</v>
      </c>
    </row>
    <row r="8" spans="2:29">
      <c r="B8" s="2211"/>
      <c r="C8" s="2212"/>
      <c r="D8" s="2212"/>
      <c r="E8" s="2212"/>
      <c r="F8" s="2212"/>
      <c r="G8" s="2212"/>
      <c r="H8" s="2212"/>
      <c r="I8" s="2221" t="str">
        <f>W5</f>
        <v>1～7地域</v>
      </c>
      <c r="J8" s="2221" t="str">
        <f>AA5</f>
        <v>８地域</v>
      </c>
      <c r="K8" s="2212"/>
      <c r="L8" s="2212"/>
      <c r="M8" s="2212"/>
      <c r="N8" s="2212"/>
      <c r="O8" s="2212"/>
      <c r="P8" s="2212"/>
      <c r="Q8" s="2213"/>
      <c r="T8" t="s">
        <v>237</v>
      </c>
      <c r="V8" s="1">
        <v>3</v>
      </c>
      <c r="W8" s="1">
        <v>0.97</v>
      </c>
      <c r="X8">
        <f>(V8-V7)/(W8-W7)</f>
        <v>-33.333333333333307</v>
      </c>
      <c r="Y8">
        <f>V8-X8*W8</f>
        <v>35.333333333333307</v>
      </c>
      <c r="Z8" s="1">
        <v>3</v>
      </c>
      <c r="AA8" s="1">
        <v>0.97</v>
      </c>
      <c r="AB8">
        <f>(Z8-Z7)/(AA8-AA7)</f>
        <v>-33.333333333333307</v>
      </c>
      <c r="AC8">
        <f>Z8-AB8*AA8</f>
        <v>35.333333333333307</v>
      </c>
    </row>
    <row r="9" spans="2:29">
      <c r="B9" s="2211"/>
      <c r="C9" s="2212"/>
      <c r="D9" s="2212"/>
      <c r="E9" s="2212"/>
      <c r="F9" s="2212" t="s">
        <v>1357</v>
      </c>
      <c r="G9" s="2212"/>
      <c r="H9" s="2219" t="s">
        <v>1360</v>
      </c>
      <c r="I9" s="2222">
        <f>IF(I6&lt;=0.8,5,I6*X3+Y3)</f>
        <v>4</v>
      </c>
      <c r="J9" s="2222">
        <f>IF(I6&lt;=0.85,5,I6*AB3+AC3)</f>
        <v>4.375</v>
      </c>
      <c r="K9" s="2212"/>
      <c r="L9" s="2212"/>
      <c r="M9" s="2212"/>
      <c r="N9" s="2212"/>
      <c r="O9" s="2212"/>
      <c r="P9" s="2212"/>
      <c r="Q9" s="2213"/>
      <c r="T9" t="s">
        <v>238</v>
      </c>
      <c r="V9" s="1">
        <v>4</v>
      </c>
      <c r="W9" s="1">
        <v>0.9</v>
      </c>
      <c r="X9">
        <f>(V9-V8)/(W9-W8)</f>
        <v>-14.285714285714295</v>
      </c>
      <c r="Y9">
        <f>V9-X9*W9</f>
        <v>16.857142857142868</v>
      </c>
      <c r="Z9" s="1">
        <v>4</v>
      </c>
      <c r="AA9" s="1">
        <v>0.93</v>
      </c>
      <c r="AB9">
        <f>(Z9-Z8)/(AA9-AA8)</f>
        <v>-25.000000000000046</v>
      </c>
      <c r="AC9">
        <f>Z9-AB9*AA9</f>
        <v>27.250000000000043</v>
      </c>
    </row>
    <row r="10" spans="2:29">
      <c r="B10" s="2211"/>
      <c r="C10" s="2212"/>
      <c r="D10" s="2212"/>
      <c r="E10" s="2212"/>
      <c r="F10" s="2212"/>
      <c r="G10" s="2212"/>
      <c r="H10" s="2219" t="s">
        <v>1361</v>
      </c>
      <c r="I10" s="2222">
        <f>V4</f>
        <v>4</v>
      </c>
      <c r="J10" s="2222">
        <f>Z4</f>
        <v>4</v>
      </c>
      <c r="K10" s="2212"/>
      <c r="L10" s="2212"/>
      <c r="M10" s="2212"/>
      <c r="N10" s="2212"/>
      <c r="O10" s="2212"/>
      <c r="P10" s="2212"/>
      <c r="Q10" s="2213"/>
      <c r="T10" t="s">
        <v>864</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11"/>
      <c r="C11" s="2212"/>
      <c r="D11" s="2212"/>
      <c r="E11" s="2212"/>
      <c r="F11" s="2212"/>
      <c r="G11" s="2212"/>
      <c r="H11" s="2219"/>
      <c r="I11" s="2223"/>
      <c r="J11" s="2223"/>
      <c r="K11" s="2212"/>
      <c r="L11" s="2212"/>
      <c r="M11" s="2224"/>
      <c r="N11" s="2212"/>
      <c r="O11" s="2212"/>
      <c r="P11" s="2212"/>
      <c r="Q11" s="2213"/>
    </row>
    <row r="12" spans="2:29" ht="14.25" thickBot="1">
      <c r="B12" s="2211"/>
      <c r="C12" s="2212"/>
      <c r="D12" s="2212"/>
      <c r="E12" s="2215"/>
      <c r="F12" s="2212" t="s">
        <v>1362</v>
      </c>
      <c r="G12" s="2221">
        <f>メイン!H13</f>
        <v>0</v>
      </c>
      <c r="H12" s="2212"/>
      <c r="I12" s="2225">
        <f>IF(I6="",0,IF(E6=S3,IF(G12=AA5,J9,I9),IF(G12=AA5,J10,I10)))</f>
        <v>4</v>
      </c>
      <c r="J12" s="2212"/>
      <c r="K12" s="2212"/>
      <c r="L12" s="2212"/>
      <c r="M12" s="2225">
        <f>IF(M6="",$T10,IF(M6=T9,5,IF(M6=T8,3,IF(M6=T7,2,1))))</f>
        <v>1</v>
      </c>
      <c r="N12" s="2212"/>
      <c r="O12" s="2212"/>
      <c r="P12" s="2212"/>
      <c r="Q12" s="2213"/>
      <c r="U12" t="s">
        <v>1363</v>
      </c>
      <c r="V12" s="1" t="s">
        <v>1357</v>
      </c>
      <c r="W12" s="1" t="s">
        <v>1358</v>
      </c>
      <c r="Z12" s="1" t="s">
        <v>1357</v>
      </c>
      <c r="AA12" s="1" t="s">
        <v>1838</v>
      </c>
    </row>
    <row r="13" spans="2:29" ht="6.75" customHeight="1">
      <c r="B13" s="2211"/>
      <c r="C13" s="2212"/>
      <c r="D13" s="2212"/>
      <c r="E13" s="2215"/>
      <c r="F13" s="2212"/>
      <c r="G13" s="2212"/>
      <c r="H13" s="2212"/>
      <c r="I13" s="2212"/>
      <c r="J13" s="2212"/>
      <c r="K13" s="2212"/>
      <c r="L13" s="2212"/>
      <c r="M13" s="2212"/>
      <c r="N13" s="2212"/>
      <c r="O13" s="2212"/>
      <c r="P13" s="2212"/>
      <c r="Q13" s="2213"/>
      <c r="V13" s="1">
        <v>1</v>
      </c>
      <c r="W13" s="1"/>
      <c r="Z13" s="1">
        <v>1</v>
      </c>
      <c r="AA13" s="1"/>
    </row>
    <row r="14" spans="2:29">
      <c r="B14" s="2211"/>
      <c r="C14" s="2212"/>
      <c r="D14" s="2212"/>
      <c r="E14" s="2215"/>
      <c r="F14" s="2212"/>
      <c r="G14" s="2212"/>
      <c r="H14" s="2219" t="s">
        <v>1364</v>
      </c>
      <c r="I14" s="1974">
        <f>H94-H91</f>
        <v>10000</v>
      </c>
      <c r="J14" s="2212" t="s">
        <v>1365</v>
      </c>
      <c r="K14" s="2212"/>
      <c r="L14" s="2212"/>
      <c r="M14" s="1974">
        <f>M29+N29</f>
        <v>0</v>
      </c>
      <c r="N14" s="2212" t="s">
        <v>1366</v>
      </c>
      <c r="O14" s="2212"/>
      <c r="P14" s="2212"/>
      <c r="Q14" s="2213"/>
      <c r="V14" s="1">
        <v>2</v>
      </c>
      <c r="W14" s="1">
        <v>1</v>
      </c>
      <c r="Z14" s="1">
        <v>2</v>
      </c>
      <c r="AA14" s="1">
        <v>1</v>
      </c>
    </row>
    <row r="15" spans="2:29">
      <c r="B15" s="2211"/>
      <c r="C15" s="2212"/>
      <c r="D15" s="2212"/>
      <c r="E15" s="2215"/>
      <c r="F15" s="2212"/>
      <c r="G15" s="2212"/>
      <c r="H15" s="2219" t="s">
        <v>1367</v>
      </c>
      <c r="I15" s="2226">
        <f>IF(I14+M14=0,0,I14/(I14+M14))</f>
        <v>1</v>
      </c>
      <c r="J15" s="2212"/>
      <c r="K15" s="2212"/>
      <c r="L15" s="2219"/>
      <c r="M15" s="2226">
        <f>IF(I14+M14=0,0,M14/(I14+M14))</f>
        <v>0</v>
      </c>
      <c r="N15" s="2212"/>
      <c r="O15" s="2212"/>
      <c r="P15" s="2212"/>
      <c r="Q15" s="2213"/>
      <c r="V15" s="1">
        <v>3</v>
      </c>
      <c r="W15" s="1">
        <v>0.97</v>
      </c>
      <c r="Z15" s="1">
        <v>3</v>
      </c>
      <c r="AA15" s="1">
        <v>0.97</v>
      </c>
    </row>
    <row r="16" spans="2:29" ht="4.5" customHeight="1" thickBot="1">
      <c r="B16" s="2211"/>
      <c r="C16" s="2212"/>
      <c r="D16" s="2212"/>
      <c r="E16" s="2215"/>
      <c r="F16" s="2212"/>
      <c r="G16" s="2212"/>
      <c r="H16" s="2212"/>
      <c r="I16" s="2212"/>
      <c r="J16" s="2212"/>
      <c r="K16" s="2212"/>
      <c r="L16" s="2212"/>
      <c r="M16" s="2212"/>
      <c r="N16" s="2212"/>
      <c r="O16" s="2212"/>
      <c r="P16" s="2212"/>
      <c r="Q16" s="2213"/>
      <c r="V16" s="1">
        <v>4</v>
      </c>
      <c r="W16" s="1">
        <v>0.9</v>
      </c>
      <c r="Z16" s="1">
        <v>4</v>
      </c>
      <c r="AA16" s="1">
        <v>0.93</v>
      </c>
    </row>
    <row r="17" spans="2:29" ht="14.25" thickBot="1">
      <c r="B17" s="2211"/>
      <c r="C17" s="2212"/>
      <c r="D17" s="2212"/>
      <c r="E17" s="2215" t="s">
        <v>1368</v>
      </c>
      <c r="F17" s="2212"/>
      <c r="G17" s="2212"/>
      <c r="H17" s="2219" t="s">
        <v>860</v>
      </c>
      <c r="I17" s="2227">
        <f>I12*I15+M12*M15</f>
        <v>4</v>
      </c>
      <c r="J17" s="2212"/>
      <c r="K17" s="2212"/>
      <c r="L17" s="2212"/>
      <c r="M17" s="2212"/>
      <c r="N17" s="2212"/>
      <c r="O17" s="2212"/>
      <c r="P17" s="2212"/>
      <c r="Q17" s="2213"/>
      <c r="V17" s="1">
        <v>5</v>
      </c>
      <c r="W17" s="1"/>
      <c r="Z17" s="1">
        <v>5</v>
      </c>
      <c r="AA17" s="1"/>
    </row>
    <row r="18" spans="2:29">
      <c r="B18" s="2211"/>
      <c r="C18" s="2212"/>
      <c r="D18" s="2212"/>
      <c r="E18" s="2212"/>
      <c r="F18" s="2212"/>
      <c r="G18" s="2212"/>
      <c r="H18" s="2212"/>
      <c r="I18" s="2212"/>
      <c r="J18" s="2212"/>
      <c r="K18" s="2212"/>
      <c r="L18" s="2212"/>
      <c r="M18" s="2212"/>
      <c r="N18" s="2212"/>
      <c r="O18" s="2212"/>
      <c r="P18" s="2212"/>
      <c r="Q18" s="2213"/>
    </row>
    <row r="19" spans="2:29" hidden="1">
      <c r="B19" s="2211"/>
      <c r="C19" s="2212"/>
      <c r="D19" s="2228"/>
      <c r="E19" s="2215" t="s">
        <v>1369</v>
      </c>
      <c r="F19" s="2212"/>
      <c r="G19" s="2212"/>
      <c r="H19" s="2212"/>
      <c r="I19" s="2221">
        <f>IF(G12=W20,W25,V25)</f>
        <v>14.999999999999996</v>
      </c>
      <c r="J19" s="2212" t="s">
        <v>1370</v>
      </c>
      <c r="K19" s="2212"/>
      <c r="L19" s="2212"/>
      <c r="M19" s="2212"/>
      <c r="N19" s="2212"/>
      <c r="O19" s="2212"/>
      <c r="P19" s="2212"/>
      <c r="Q19" s="2213"/>
      <c r="T19" t="s">
        <v>1371</v>
      </c>
      <c r="V19" s="2229">
        <f>(1-I6)*100</f>
        <v>9.9999999999999982</v>
      </c>
      <c r="Z19">
        <f>IF($I$19&gt;=AA25,Z25,IF($I$19&gt;=AA24,Z24,IF($I$19&gt;=AA23,Z23,IF($I$19&gt;=AA22,Z22,Z21))))</f>
        <v>4</v>
      </c>
      <c r="AB19">
        <f>VLOOKUP($Z$19,Z21:AC25,3)</f>
        <v>0.05</v>
      </c>
      <c r="AC19">
        <f>VLOOKUP($Z$19,Z21:AC25,4)</f>
        <v>3.25</v>
      </c>
    </row>
    <row r="20" spans="2:29" ht="13.5" hidden="1" customHeight="1">
      <c r="B20" s="2211"/>
      <c r="C20" s="2212"/>
      <c r="D20" s="2228"/>
      <c r="E20" s="2212"/>
      <c r="F20" s="2212"/>
      <c r="G20" s="2212"/>
      <c r="H20" s="2212"/>
      <c r="I20" s="2212"/>
      <c r="J20" s="2212"/>
      <c r="K20" s="2212"/>
      <c r="L20" s="2212"/>
      <c r="M20" s="2212"/>
      <c r="N20" s="2212"/>
      <c r="O20" s="2212"/>
      <c r="P20" s="2212"/>
      <c r="Q20" s="2213"/>
      <c r="V20" s="1" t="s">
        <v>1358</v>
      </c>
      <c r="W20" s="1" t="s">
        <v>1344</v>
      </c>
      <c r="Z20" s="1" t="s">
        <v>1357</v>
      </c>
      <c r="AA20" s="1" t="s">
        <v>1372</v>
      </c>
      <c r="AB20" t="s">
        <v>1172</v>
      </c>
      <c r="AC20" t="s">
        <v>1173</v>
      </c>
    </row>
    <row r="21" spans="2:29" ht="14.25" hidden="1" thickBot="1">
      <c r="B21" s="2211"/>
      <c r="C21" s="2212"/>
      <c r="D21" s="2228"/>
      <c r="E21" s="2212"/>
      <c r="F21" s="2212"/>
      <c r="G21" s="2212"/>
      <c r="H21" s="2212"/>
      <c r="I21" s="2225">
        <f>IF(I19&gt;=35,5,I19*AB19+AC19)</f>
        <v>4</v>
      </c>
      <c r="J21" s="2212"/>
      <c r="K21" s="2212"/>
      <c r="L21" s="2212"/>
      <c r="M21" s="2212"/>
      <c r="N21" s="2212"/>
      <c r="O21" s="2212"/>
      <c r="P21" s="2212"/>
      <c r="Q21" s="2213"/>
      <c r="U21" s="1915" t="s">
        <v>1373</v>
      </c>
      <c r="V21" s="1">
        <f>2*V19</f>
        <v>19.999999999999996</v>
      </c>
      <c r="W21" s="2230">
        <f>2*V19</f>
        <v>19.999999999999996</v>
      </c>
      <c r="Z21" s="1">
        <v>1</v>
      </c>
      <c r="AA21" s="1">
        <v>-5</v>
      </c>
      <c r="AB21">
        <f>(Z22-Z21)/(AA22-AA21)</f>
        <v>0.2</v>
      </c>
      <c r="AC21">
        <f>Z22-AB21*AA22</f>
        <v>2</v>
      </c>
    </row>
    <row r="22" spans="2:29" ht="13.5" hidden="1" customHeight="1">
      <c r="B22" s="2211"/>
      <c r="C22" s="2212"/>
      <c r="D22" s="2212"/>
      <c r="E22" s="2212"/>
      <c r="F22" s="2212"/>
      <c r="G22" s="2212"/>
      <c r="H22" s="2212"/>
      <c r="I22" s="2212"/>
      <c r="J22" s="2212"/>
      <c r="K22" s="2212"/>
      <c r="L22" s="2212"/>
      <c r="M22" s="2212"/>
      <c r="N22" s="2212"/>
      <c r="O22" s="2212"/>
      <c r="P22" s="2212"/>
      <c r="Q22" s="2213"/>
      <c r="U22" s="1915" t="s">
        <v>1374</v>
      </c>
      <c r="V22" s="2230">
        <f>1.3*V19+1.7</f>
        <v>14.699999999999998</v>
      </c>
      <c r="W22" s="2198">
        <f>2*V19</f>
        <v>19.999999999999996</v>
      </c>
      <c r="Z22" s="1">
        <v>2</v>
      </c>
      <c r="AA22" s="1">
        <v>0</v>
      </c>
      <c r="AB22">
        <f>(Z23-Z22)/(AA23-AA22)</f>
        <v>0.2</v>
      </c>
      <c r="AC22">
        <f>Z23-AB22*AA23</f>
        <v>2</v>
      </c>
    </row>
    <row r="23" spans="2:29" ht="14.25" thickBot="1">
      <c r="B23" s="2211"/>
      <c r="C23" s="2216" t="s">
        <v>1375</v>
      </c>
      <c r="D23" s="2215" t="s">
        <v>1376</v>
      </c>
      <c r="E23" s="2212"/>
      <c r="F23" s="2212"/>
      <c r="G23" s="2212"/>
      <c r="H23" s="2212"/>
      <c r="I23" s="2212"/>
      <c r="J23" s="2212"/>
      <c r="K23" s="2212"/>
      <c r="L23" s="2212"/>
      <c r="M23" s="2212"/>
      <c r="N23" s="2212"/>
      <c r="O23" s="2212"/>
      <c r="P23" s="2212"/>
      <c r="Q23" s="2213"/>
      <c r="U23" s="1915" t="s">
        <v>1377</v>
      </c>
      <c r="V23" s="2198">
        <f>1.3*V19+1.7</f>
        <v>14.699999999999998</v>
      </c>
      <c r="W23" s="2230">
        <f>2.7*V19-5.2</f>
        <v>21.799999999999997</v>
      </c>
      <c r="Z23" s="1">
        <v>3</v>
      </c>
      <c r="AA23" s="1">
        <v>5</v>
      </c>
      <c r="AB23">
        <f>(Z24-Z23)/(AA24-AA23)</f>
        <v>0.1</v>
      </c>
      <c r="AC23">
        <f>Z24-AB23*AA24</f>
        <v>2.5</v>
      </c>
    </row>
    <row r="24" spans="2:29" ht="14.25" thickBot="1">
      <c r="B24" s="2211"/>
      <c r="C24" s="2216"/>
      <c r="D24" s="2215"/>
      <c r="E24" s="2735" t="s">
        <v>1378</v>
      </c>
      <c r="F24" s="2736"/>
      <c r="G24" s="2737"/>
      <c r="H24" s="2212"/>
      <c r="I24" s="2215" t="s">
        <v>1350</v>
      </c>
      <c r="J24" s="2212"/>
      <c r="K24" s="2212"/>
      <c r="L24" s="2212"/>
      <c r="M24" s="2215" t="s">
        <v>1286</v>
      </c>
      <c r="N24" s="2215" t="s">
        <v>1379</v>
      </c>
      <c r="O24" s="2212"/>
      <c r="P24" s="2212"/>
      <c r="Q24" s="2231"/>
      <c r="U24" s="1915" t="s">
        <v>1380</v>
      </c>
      <c r="V24" s="1">
        <f>2*V19-5</f>
        <v>14.999999999999996</v>
      </c>
      <c r="W24" s="2198">
        <f>2.7*V19-5.2</f>
        <v>21.799999999999997</v>
      </c>
      <c r="Z24" s="1">
        <v>4</v>
      </c>
      <c r="AA24" s="1">
        <v>15</v>
      </c>
      <c r="AB24">
        <f>(Z25-Z24)/(AA25-AA24)</f>
        <v>0.05</v>
      </c>
      <c r="AC24">
        <f>Z25-AB24*AA25</f>
        <v>3.25</v>
      </c>
    </row>
    <row r="25" spans="2:29" ht="14.25" thickBot="1">
      <c r="B25" s="2211"/>
      <c r="C25" s="2212"/>
      <c r="D25" s="2215"/>
      <c r="E25" s="2215"/>
      <c r="F25" s="2215"/>
      <c r="G25" s="2215"/>
      <c r="H25" s="2232" t="s">
        <v>1381</v>
      </c>
      <c r="I25" s="2218">
        <v>0.6</v>
      </c>
      <c r="J25" s="2212"/>
      <c r="K25" s="2212"/>
      <c r="L25" s="2232" t="s">
        <v>1382</v>
      </c>
      <c r="M25" s="2226" t="str">
        <f>M44</f>
        <v>-</v>
      </c>
      <c r="N25" s="2233">
        <f>IF(N39=0,0,(N41-N40)/(N39-N40))</f>
        <v>0</v>
      </c>
      <c r="O25" s="2212" t="s">
        <v>1383</v>
      </c>
      <c r="P25" s="2212"/>
      <c r="Q25" s="2213"/>
      <c r="V25">
        <f>IF($V$19&lt;2.5,V21,IF($V$19&lt;7.5,V22,IF($V$19&lt;10,V23,V24)))</f>
        <v>14.999999999999996</v>
      </c>
      <c r="W25">
        <f>IF($V$19&lt;2.5,W21,IF($V$19&lt;7.5,W22,IF($V$19&lt;10,W23,W24)))</f>
        <v>21.799999999999997</v>
      </c>
      <c r="Z25" s="1">
        <v>5</v>
      </c>
      <c r="AA25" s="1">
        <v>35</v>
      </c>
    </row>
    <row r="26" spans="2:29" ht="14.25" thickBot="1">
      <c r="B26" s="2211"/>
      <c r="C26" s="2212"/>
      <c r="D26" s="2215"/>
      <c r="E26" s="2212"/>
      <c r="F26" s="2215"/>
      <c r="G26" s="2212"/>
      <c r="H26" s="2232" t="s">
        <v>1384</v>
      </c>
      <c r="I26" s="2218">
        <v>0.9</v>
      </c>
      <c r="J26" s="2215"/>
      <c r="K26" s="2212"/>
      <c r="L26" s="2215"/>
      <c r="M26" s="2212"/>
      <c r="N26" s="2215"/>
      <c r="O26" s="2212"/>
      <c r="P26" s="2215"/>
      <c r="Q26" s="2213"/>
    </row>
    <row r="27" spans="2:29" ht="14.25" thickBot="1">
      <c r="B27" s="2211"/>
      <c r="C27" s="2212"/>
      <c r="D27" s="2215"/>
      <c r="E27" s="2215"/>
      <c r="F27" s="2212"/>
      <c r="G27" s="2212"/>
      <c r="H27" s="2212"/>
      <c r="I27" s="2225">
        <f>IF($I$25&lt;=W39,V39,IF($I$25&lt;=W38,V38,IF($I$25&lt;=W37,V37,V36)))</f>
        <v>4</v>
      </c>
      <c r="J27" s="2212"/>
      <c r="K27" s="2212"/>
      <c r="L27" s="2212"/>
      <c r="M27" s="2225">
        <f>IF(OR(M25=0,M25="-"),0,IF(M25&lt;=W40,5,IF(M25&gt;W36,1,M25*X42+Y42)))</f>
        <v>0</v>
      </c>
      <c r="N27" s="2225">
        <f>IF(N61=T59,IF(N25=0,0,IF(N25&lt;=AA40,5,IF(N25&gt;AA36,1,N25*AB27+AC27))),N61)</f>
        <v>0</v>
      </c>
      <c r="O27" s="2212"/>
      <c r="P27" s="2215"/>
      <c r="Q27" s="2213"/>
      <c r="S27" t="s">
        <v>1385</v>
      </c>
      <c r="V27" s="2234">
        <f>IF($I$44&lt;=W40,V40,IF($I$44&lt;=W39,V39,IF($I$44&lt;=W38,V38,IF($I$44&lt;=W37,V37,V36))))</f>
        <v>1</v>
      </c>
      <c r="X27">
        <f>VLOOKUP($V$27,V36:Y40,3)</f>
        <v>-19.999999999999982</v>
      </c>
      <c r="Y27">
        <f>VLOOKUP($V$27,V36:Y40,4)</f>
        <v>22.999999999999982</v>
      </c>
      <c r="Z27">
        <f>IF($N$25&lt;=AA40,Z40,IF($N$25&lt;=AA39,Z39,IF($N$25&lt;=AA38,Z38,IF($N$25&lt;=AA37,Z37))))</f>
        <v>5</v>
      </c>
      <c r="AB27">
        <f>VLOOKUP($Z$27,Z36:AC40,3)</f>
        <v>0</v>
      </c>
      <c r="AC27">
        <f>VLOOKUP($Z$27,Z36:AC40,4)</f>
        <v>0</v>
      </c>
    </row>
    <row r="28" spans="2:29">
      <c r="B28" s="2211"/>
      <c r="C28" s="2212"/>
      <c r="D28" s="2215"/>
      <c r="E28" s="2212"/>
      <c r="F28" s="2215"/>
      <c r="G28" s="2212"/>
      <c r="H28" s="2215"/>
      <c r="I28" s="2212"/>
      <c r="J28" s="2215"/>
      <c r="K28" s="2212"/>
      <c r="L28" s="2215"/>
      <c r="M28" s="2212"/>
      <c r="N28" s="2215"/>
      <c r="O28" s="2212"/>
      <c r="P28" s="2215"/>
      <c r="Q28" s="2213"/>
      <c r="S28" t="s">
        <v>1378</v>
      </c>
    </row>
    <row r="29" spans="2:29">
      <c r="B29" s="2211"/>
      <c r="C29" s="2212"/>
      <c r="D29" s="2215"/>
      <c r="E29" s="2215"/>
      <c r="F29" s="2215"/>
      <c r="G29" s="2212"/>
      <c r="H29" s="2219" t="s">
        <v>1364</v>
      </c>
      <c r="I29" s="1974">
        <f>H94</f>
        <v>10000</v>
      </c>
      <c r="J29" s="2212" t="s">
        <v>1366</v>
      </c>
      <c r="K29" s="2212"/>
      <c r="L29" s="2212"/>
      <c r="M29" s="1974">
        <f>メイン!J65</f>
        <v>0</v>
      </c>
      <c r="N29" s="1974">
        <f>メイン!J64</f>
        <v>0</v>
      </c>
      <c r="O29" s="2212"/>
      <c r="P29" s="2215"/>
      <c r="Q29" s="2213"/>
    </row>
    <row r="30" spans="2:29" ht="14.25" thickBot="1">
      <c r="B30" s="2211"/>
      <c r="C30" s="2212"/>
      <c r="D30" s="2215"/>
      <c r="E30" s="2212"/>
      <c r="F30" s="2215"/>
      <c r="G30" s="2212"/>
      <c r="H30" s="2215"/>
      <c r="I30" s="2212"/>
      <c r="J30" s="2215"/>
      <c r="K30" s="2212"/>
      <c r="L30" s="2215"/>
      <c r="M30" s="2212"/>
      <c r="N30" s="2215"/>
      <c r="O30" s="2212"/>
      <c r="P30" s="2215"/>
      <c r="Q30" s="2213"/>
    </row>
    <row r="31" spans="2:29" ht="14.25" thickBot="1">
      <c r="B31" s="2211"/>
      <c r="C31" s="2212"/>
      <c r="D31" s="2215"/>
      <c r="E31" s="2215" t="s">
        <v>1386</v>
      </c>
      <c r="F31" s="2215"/>
      <c r="G31" s="2212"/>
      <c r="H31" s="2215"/>
      <c r="I31" s="2225">
        <f>IF(AND(I25=0,I44="-"),0,IF(E24=S28,I27,IF(I44&lt;=W40,5,IF(I44&gt;W36,1,I44*X27+Y27))))</f>
        <v>4</v>
      </c>
      <c r="J31" s="2215"/>
      <c r="K31" s="2212"/>
      <c r="L31" s="2215"/>
      <c r="M31" s="2225">
        <f>IF(M29+N29=0,0,M27*M29/M14+N27*N29/M14)</f>
        <v>0</v>
      </c>
      <c r="N31" s="2215"/>
      <c r="O31" s="2212"/>
      <c r="P31" s="2215"/>
      <c r="Q31" s="2213"/>
    </row>
    <row r="32" spans="2:29" ht="14.25" hidden="1" thickBot="1">
      <c r="B32" s="2211"/>
      <c r="C32" s="2212"/>
      <c r="D32" s="2215"/>
      <c r="E32" s="2212" t="s">
        <v>1387</v>
      </c>
      <c r="F32" s="2215"/>
      <c r="G32" s="2212"/>
      <c r="H32" s="2212" t="s">
        <v>1388</v>
      </c>
      <c r="I32" s="2225"/>
      <c r="J32" s="2215"/>
      <c r="K32" s="2212"/>
      <c r="L32" s="2215"/>
      <c r="M32" s="2224"/>
      <c r="N32" s="2215"/>
      <c r="O32" s="2212"/>
      <c r="P32" s="2215"/>
      <c r="Q32" s="2213"/>
    </row>
    <row r="33" spans="2:29" ht="14.25" hidden="1" thickBot="1">
      <c r="B33" s="2211"/>
      <c r="C33" s="2212"/>
      <c r="D33" s="2215"/>
      <c r="E33" s="2212"/>
      <c r="F33" s="2215"/>
      <c r="G33" s="2212"/>
      <c r="H33" s="2212" t="s">
        <v>1389</v>
      </c>
      <c r="I33" s="2225">
        <f>I31</f>
        <v>4</v>
      </c>
      <c r="J33" s="2215"/>
      <c r="K33" s="2212"/>
      <c r="L33" s="2215"/>
      <c r="M33" s="2212"/>
      <c r="N33" s="2215"/>
      <c r="O33" s="2212"/>
      <c r="P33" s="2215"/>
      <c r="Q33" s="2213"/>
    </row>
    <row r="34" spans="2:29" ht="14.25" thickBot="1">
      <c r="B34" s="2211"/>
      <c r="C34" s="2212"/>
      <c r="D34" s="2215"/>
      <c r="E34" s="2212"/>
      <c r="F34" s="2215"/>
      <c r="G34" s="2212"/>
      <c r="H34" s="2215"/>
      <c r="I34" s="2227">
        <f>IF(I29=0,M31,I31*I29/($I$29+$M$29+$N$29)+M31*(M29+N29)/($I$29+$M$29+$N$29))</f>
        <v>4</v>
      </c>
      <c r="J34" s="2215"/>
      <c r="K34" s="2212"/>
      <c r="L34" s="2215"/>
      <c r="M34" s="2212"/>
      <c r="N34" s="2215"/>
      <c r="O34" s="2212"/>
      <c r="P34" s="2215"/>
      <c r="Q34" s="2213"/>
    </row>
    <row r="35" spans="2:29" hidden="1">
      <c r="B35" s="2211"/>
      <c r="C35" s="2212"/>
      <c r="D35" s="2215"/>
      <c r="E35" s="2212"/>
      <c r="F35" s="2215"/>
      <c r="G35" s="2212"/>
      <c r="H35" s="2215"/>
      <c r="I35" s="2212"/>
      <c r="J35" s="2215"/>
      <c r="K35" s="2212"/>
      <c r="L35" s="2215"/>
      <c r="M35" s="2212"/>
      <c r="N35" s="2215"/>
      <c r="O35" s="2212"/>
      <c r="P35" s="2215"/>
      <c r="Q35" s="2213"/>
      <c r="V35" s="1" t="s">
        <v>1357</v>
      </c>
      <c r="W35" s="1" t="s">
        <v>859</v>
      </c>
      <c r="X35" t="s">
        <v>1172</v>
      </c>
      <c r="Y35" t="s">
        <v>1173</v>
      </c>
      <c r="Z35" s="1" t="s">
        <v>1357</v>
      </c>
      <c r="AA35" s="1" t="s">
        <v>1285</v>
      </c>
      <c r="AB35" t="s">
        <v>1172</v>
      </c>
      <c r="AC35" t="s">
        <v>1173</v>
      </c>
    </row>
    <row r="36" spans="2:29" hidden="1">
      <c r="B36" s="2211"/>
      <c r="C36" s="2212"/>
      <c r="D36" s="2235"/>
      <c r="E36" s="2215" t="s">
        <v>1390</v>
      </c>
      <c r="F36" s="2215"/>
      <c r="G36" s="2215"/>
      <c r="H36" s="2215"/>
      <c r="I36" s="2236">
        <f>-100*I25+105</f>
        <v>45</v>
      </c>
      <c r="J36" s="2215" t="s">
        <v>1370</v>
      </c>
      <c r="K36" s="2212"/>
      <c r="L36" s="2215"/>
      <c r="M36" s="2236" t="e">
        <f>-100*M25+105</f>
        <v>#VALUE!</v>
      </c>
      <c r="N36" s="2215" t="s">
        <v>1370</v>
      </c>
      <c r="O36" s="2212"/>
      <c r="P36" s="2215"/>
      <c r="Q36" s="2213"/>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211"/>
      <c r="C37" s="2212"/>
      <c r="D37" s="2235"/>
      <c r="E37" s="2212"/>
      <c r="F37" s="2215"/>
      <c r="G37" s="2212"/>
      <c r="H37" s="2215"/>
      <c r="I37" s="2225">
        <f>IF(I25=0,"-",IF(I36&gt;=W50,5,I36*X44+Y44))</f>
        <v>5</v>
      </c>
      <c r="J37" s="2215"/>
      <c r="K37" s="2212"/>
      <c r="L37" s="2215"/>
      <c r="M37" s="2225" t="e">
        <f>IF(M25=0,"-",IF(M36&gt;=AA50,5,M36*AB44+AC44))</f>
        <v>#VALUE!</v>
      </c>
      <c r="N37" s="2237"/>
      <c r="O37" s="2212"/>
      <c r="P37" s="2215"/>
      <c r="Q37" s="2213"/>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11"/>
      <c r="C38" s="2212"/>
      <c r="D38" s="2215"/>
      <c r="E38" s="2212"/>
      <c r="F38" s="2215"/>
      <c r="G38" s="2212"/>
      <c r="H38" s="2215"/>
      <c r="I38" s="2212"/>
      <c r="J38" s="2215"/>
      <c r="K38" s="2212"/>
      <c r="L38" s="2215"/>
      <c r="M38" s="2212"/>
      <c r="N38" s="2215"/>
      <c r="O38" s="2212"/>
      <c r="P38" s="2215"/>
      <c r="Q38" s="2213"/>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11"/>
      <c r="C39" s="2212"/>
      <c r="D39" s="102" t="s">
        <v>1391</v>
      </c>
      <c r="E39" s="2212"/>
      <c r="F39" s="2212"/>
      <c r="G39" s="2212"/>
      <c r="H39" s="2212"/>
      <c r="I39" s="2238"/>
      <c r="J39" s="2212" t="s">
        <v>1392</v>
      </c>
      <c r="K39" s="2212"/>
      <c r="L39" s="2212"/>
      <c r="M39" s="2238"/>
      <c r="N39" s="2238"/>
      <c r="O39" s="2212" t="s">
        <v>1392</v>
      </c>
      <c r="P39" s="2212"/>
      <c r="Q39" s="2213"/>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11"/>
      <c r="C40" s="2212"/>
      <c r="D40" s="102"/>
      <c r="E40" s="2212" t="s">
        <v>1393</v>
      </c>
      <c r="F40" s="2212"/>
      <c r="G40" s="2212"/>
      <c r="H40" s="2212"/>
      <c r="I40" s="2239"/>
      <c r="J40" s="2212"/>
      <c r="K40" s="2212"/>
      <c r="L40" s="2212"/>
      <c r="M40" s="2239"/>
      <c r="N40" s="2240">
        <f>N52</f>
        <v>0</v>
      </c>
      <c r="O40" s="2212" t="s">
        <v>1394</v>
      </c>
      <c r="P40" s="2212"/>
      <c r="Q40" s="2213"/>
      <c r="S40">
        <v>4</v>
      </c>
      <c r="V40" s="1">
        <v>5</v>
      </c>
      <c r="W40" s="1">
        <v>0.7</v>
      </c>
      <c r="Z40" s="1">
        <v>5</v>
      </c>
      <c r="AA40" s="1">
        <v>0.9</v>
      </c>
    </row>
    <row r="41" spans="2:29">
      <c r="B41" s="2211"/>
      <c r="C41" s="2212"/>
      <c r="D41" s="102" t="s">
        <v>1395</v>
      </c>
      <c r="E41" s="2212"/>
      <c r="F41" s="2212"/>
      <c r="G41" s="2212"/>
      <c r="H41" s="2212"/>
      <c r="I41" s="2241"/>
      <c r="J41" s="2212"/>
      <c r="K41" s="2212"/>
      <c r="L41" s="2212"/>
      <c r="M41" s="2241"/>
      <c r="N41" s="2241"/>
      <c r="O41" s="2212"/>
      <c r="P41" s="2212"/>
      <c r="Q41" s="2213"/>
      <c r="S41">
        <v>5</v>
      </c>
    </row>
    <row r="42" spans="2:29">
      <c r="B42" s="2211"/>
      <c r="C42" s="2212"/>
      <c r="D42" s="102" t="s">
        <v>1396</v>
      </c>
      <c r="E42" s="2212"/>
      <c r="F42" s="2212"/>
      <c r="G42" s="2212"/>
      <c r="H42" s="2212"/>
      <c r="I42" s="2241"/>
      <c r="J42" s="2212"/>
      <c r="K42" s="2212"/>
      <c r="L42" s="2212"/>
      <c r="M42" s="2241"/>
      <c r="N42" s="2241"/>
      <c r="O42" s="2212"/>
      <c r="P42" s="2212"/>
      <c r="Q42" s="2213"/>
      <c r="U42" t="s">
        <v>869</v>
      </c>
      <c r="V42">
        <f>IF($M$25&lt;=W40,V40,IF($M$25&lt;=W39,V39,IF($M$25&lt;=W38,V38,IF($M$25&lt;=W37,V37,V36))))</f>
        <v>1</v>
      </c>
      <c r="X42">
        <f>VLOOKUP($V$42,V36:Y40,3)</f>
        <v>-19.999999999999982</v>
      </c>
      <c r="Y42">
        <f>VLOOKUP($V$42,V36:Y40,4)</f>
        <v>22.999999999999982</v>
      </c>
    </row>
    <row r="43" spans="2:29" ht="14.25" thickBot="1">
      <c r="B43" s="2211"/>
      <c r="C43" s="2212"/>
      <c r="D43" s="102" t="s">
        <v>1397</v>
      </c>
      <c r="E43" s="2212"/>
      <c r="F43" s="2212"/>
      <c r="G43" s="2212"/>
      <c r="H43" s="2212"/>
      <c r="I43" s="2242"/>
      <c r="J43" s="2212" t="s">
        <v>1392</v>
      </c>
      <c r="K43" s="2212"/>
      <c r="L43" s="2212"/>
      <c r="M43" s="2242"/>
      <c r="N43" s="2242"/>
      <c r="O43" s="2212" t="s">
        <v>1392</v>
      </c>
      <c r="P43" s="2212"/>
      <c r="Q43" s="2213"/>
    </row>
    <row r="44" spans="2:29">
      <c r="B44" s="2211"/>
      <c r="C44" s="2212"/>
      <c r="D44" s="2212"/>
      <c r="E44" s="2243"/>
      <c r="F44" s="2212"/>
      <c r="G44" s="2212"/>
      <c r="H44" s="1441" t="s">
        <v>1398</v>
      </c>
      <c r="I44" s="2244" t="str">
        <f>IF(I41=0,"-",ROUND(I41/I39,5))</f>
        <v>-</v>
      </c>
      <c r="J44" s="2212"/>
      <c r="K44" s="2212"/>
      <c r="L44" s="2212"/>
      <c r="M44" s="2244" t="str">
        <f>IF(M41=0,"-",ROUND(M41/M39,5))</f>
        <v>-</v>
      </c>
      <c r="N44" s="2212"/>
      <c r="O44" s="2212"/>
      <c r="P44" s="2212"/>
      <c r="Q44" s="2213"/>
      <c r="V44">
        <f>IF($I$36&gt;=W50,V50,IF($I$36&gt;=W49,V49,IF($I$36&gt;=W48,V48,IF($I$36&gt;=W47,V47,V46))))</f>
        <v>5</v>
      </c>
      <c r="X44">
        <f>VLOOKUP($V$44,V46:Y50,3)</f>
        <v>0</v>
      </c>
      <c r="Y44">
        <f>VLOOKUP($V$44,V46:Y50,4)</f>
        <v>0</v>
      </c>
      <c r="Z44" t="e">
        <f>IF($M$36&gt;=AA50,Z50,IF($M$36&gt;=AA49,Z49,IF($M$36&gt;=AA48,Z48,IF($M$36&gt;=AA47,Z47,Z46))))</f>
        <v>#VALUE!</v>
      </c>
      <c r="AB44">
        <f>VLOOKUP($Z$19,Z46:AC50,3)</f>
        <v>0.05</v>
      </c>
      <c r="AC44">
        <f>VLOOKUP($Z$19,Z46:AC50,4)</f>
        <v>3.25</v>
      </c>
    </row>
    <row r="45" spans="2:29">
      <c r="B45" s="2211"/>
      <c r="C45" s="2212"/>
      <c r="D45" s="2212"/>
      <c r="E45" s="2243"/>
      <c r="F45" s="2212"/>
      <c r="G45" s="2212"/>
      <c r="H45" s="1441" t="s">
        <v>1399</v>
      </c>
      <c r="I45" s="2244" t="str">
        <f>IF(I42=0,"-",ROUND(I42/I39,5))</f>
        <v>-</v>
      </c>
      <c r="J45" s="2212"/>
      <c r="K45" s="2212"/>
      <c r="L45" s="2212"/>
      <c r="M45" s="2244" t="str">
        <f>IF(M42=0,"-",ROUND(M42/M39,5))</f>
        <v>-</v>
      </c>
      <c r="N45" s="2212"/>
      <c r="O45" s="2212"/>
      <c r="P45" s="2212"/>
      <c r="Q45" s="2213"/>
      <c r="T45" t="s">
        <v>1400</v>
      </c>
      <c r="V45" s="1" t="s">
        <v>1357</v>
      </c>
      <c r="W45" s="1" t="s">
        <v>859</v>
      </c>
      <c r="X45" t="s">
        <v>1172</v>
      </c>
      <c r="Y45" t="s">
        <v>1173</v>
      </c>
      <c r="Z45" s="1" t="s">
        <v>1357</v>
      </c>
      <c r="AA45" s="1" t="s">
        <v>1286</v>
      </c>
      <c r="AB45" t="s">
        <v>1172</v>
      </c>
      <c r="AC45" t="s">
        <v>1173</v>
      </c>
    </row>
    <row r="46" spans="2:29">
      <c r="B46" s="2211"/>
      <c r="C46" s="2212"/>
      <c r="D46" s="2212"/>
      <c r="E46" s="2212" t="s">
        <v>1401</v>
      </c>
      <c r="F46" s="2212"/>
      <c r="G46" s="2212"/>
      <c r="H46" s="2212"/>
      <c r="I46" s="2212"/>
      <c r="J46" s="2212"/>
      <c r="K46" s="2212"/>
      <c r="L46" s="2212"/>
      <c r="M46" s="2212"/>
      <c r="N46" s="2212"/>
      <c r="O46" s="2215"/>
      <c r="P46" s="2212"/>
      <c r="Q46" s="2213"/>
      <c r="V46" s="1">
        <v>1</v>
      </c>
      <c r="W46" s="1">
        <v>-5</v>
      </c>
      <c r="X46">
        <f>(V47-V46)/(W47-W46)</f>
        <v>0.2</v>
      </c>
      <c r="Y46">
        <f>V47-X46*W47</f>
        <v>2</v>
      </c>
      <c r="Z46" s="1">
        <v>1</v>
      </c>
      <c r="AA46" s="1">
        <v>-5</v>
      </c>
      <c r="AB46">
        <f>(Z47-Z46)/(AA47-AA46)</f>
        <v>0.2</v>
      </c>
      <c r="AC46">
        <f>Z47-AB46*AA47</f>
        <v>2</v>
      </c>
    </row>
    <row r="47" spans="2:29">
      <c r="B47" s="2211"/>
      <c r="C47" s="2212"/>
      <c r="D47" s="2212"/>
      <c r="E47" s="2212" t="s">
        <v>1402</v>
      </c>
      <c r="F47" s="2215"/>
      <c r="G47" s="2215"/>
      <c r="H47" s="2215"/>
      <c r="I47" s="2215"/>
      <c r="J47" s="2215"/>
      <c r="K47" s="2215"/>
      <c r="L47" s="2215"/>
      <c r="M47" s="2215"/>
      <c r="N47" s="2215"/>
      <c r="O47" s="2215"/>
      <c r="P47" s="2212"/>
      <c r="Q47" s="2213"/>
      <c r="V47" s="1">
        <v>2</v>
      </c>
      <c r="W47" s="1">
        <v>0</v>
      </c>
      <c r="X47">
        <f>(V48-V47)/(W48-W47)</f>
        <v>0.2</v>
      </c>
      <c r="Y47">
        <f>V48-X47*W48</f>
        <v>2</v>
      </c>
      <c r="Z47" s="1">
        <v>2</v>
      </c>
      <c r="AA47" s="1">
        <v>0</v>
      </c>
      <c r="AB47">
        <f>(Z48-Z47)/(AA48-AA47)</f>
        <v>0.2</v>
      </c>
      <c r="AC47">
        <f>Z48-AB47*AA48</f>
        <v>2</v>
      </c>
    </row>
    <row r="48" spans="2:29">
      <c r="B48" s="2211"/>
      <c r="C48" s="2212"/>
      <c r="D48" s="2212"/>
      <c r="E48" s="2212"/>
      <c r="F48" s="2212"/>
      <c r="G48" s="2212"/>
      <c r="H48" s="2212"/>
      <c r="I48" s="2212"/>
      <c r="J48" s="2212"/>
      <c r="K48" s="2212"/>
      <c r="L48" s="2212"/>
      <c r="M48" s="2215"/>
      <c r="N48" s="2215"/>
      <c r="O48" s="2215"/>
      <c r="P48" s="2212"/>
      <c r="Q48" s="2213"/>
      <c r="V48" s="1">
        <v>3</v>
      </c>
      <c r="W48" s="1">
        <v>5</v>
      </c>
      <c r="X48">
        <f>(V49-V48)/(W49-W48)</f>
        <v>0.1</v>
      </c>
      <c r="Y48">
        <f>V49-X48*W49</f>
        <v>2.5</v>
      </c>
      <c r="Z48" s="1">
        <v>3</v>
      </c>
      <c r="AA48" s="1">
        <v>5</v>
      </c>
      <c r="AB48">
        <f>(Z49-Z48)/(AA49-AA48)</f>
        <v>0.1</v>
      </c>
      <c r="AC48">
        <f>Z49-AB48*AA49</f>
        <v>2.5</v>
      </c>
    </row>
    <row r="49" spans="2:29">
      <c r="B49" s="2211"/>
      <c r="C49" s="2212"/>
      <c r="D49" s="2212"/>
      <c r="E49" s="2215"/>
      <c r="F49" s="2215"/>
      <c r="G49" s="2215"/>
      <c r="H49" s="2215"/>
      <c r="I49" s="2215"/>
      <c r="J49" s="2215"/>
      <c r="K49" s="2215"/>
      <c r="L49" s="2215"/>
      <c r="M49" s="2215"/>
      <c r="N49" s="2215"/>
      <c r="O49" s="2215"/>
      <c r="P49" s="2212"/>
      <c r="Q49" s="2213"/>
      <c r="V49" s="1">
        <v>4</v>
      </c>
      <c r="W49" s="1">
        <v>15</v>
      </c>
      <c r="X49">
        <f>(V50-V49)/(W50-W49)</f>
        <v>0.05</v>
      </c>
      <c r="Y49">
        <f>V50-X49*W50</f>
        <v>3.25</v>
      </c>
      <c r="Z49" s="1">
        <v>4</v>
      </c>
      <c r="AA49" s="1">
        <v>15</v>
      </c>
      <c r="AB49">
        <f>(Z50-Z49)/(AA50-AA49)</f>
        <v>0.05</v>
      </c>
      <c r="AC49">
        <f>Z50-AB49*AA50</f>
        <v>3.25</v>
      </c>
    </row>
    <row r="50" spans="2:29">
      <c r="B50" s="2211"/>
      <c r="C50" s="2212"/>
      <c r="D50" s="2212" t="s">
        <v>1403</v>
      </c>
      <c r="E50" s="2215" t="s">
        <v>1404</v>
      </c>
      <c r="F50" s="2215"/>
      <c r="G50" s="2215"/>
      <c r="H50" s="2215"/>
      <c r="I50" s="2215"/>
      <c r="J50" s="2215"/>
      <c r="K50" s="2215"/>
      <c r="L50" s="2215"/>
      <c r="M50" s="2215"/>
      <c r="N50" s="2215"/>
      <c r="O50" s="2215"/>
      <c r="P50" s="2212"/>
      <c r="Q50" s="2213"/>
      <c r="V50" s="1">
        <v>5</v>
      </c>
      <c r="W50" s="1">
        <v>35</v>
      </c>
      <c r="Z50" s="1">
        <v>5</v>
      </c>
      <c r="AA50" s="1">
        <v>35</v>
      </c>
    </row>
    <row r="51" spans="2:29" ht="14.25" thickBot="1">
      <c r="B51" s="2211"/>
      <c r="C51" s="2212"/>
      <c r="D51" s="2212"/>
      <c r="E51" s="2215"/>
      <c r="F51" s="2215"/>
      <c r="G51" s="2215"/>
      <c r="H51" s="2245" t="s">
        <v>1405</v>
      </c>
      <c r="I51" s="2215" t="s">
        <v>1406</v>
      </c>
      <c r="J51" s="2215" t="s">
        <v>1407</v>
      </c>
      <c r="K51" s="2215" t="s">
        <v>1408</v>
      </c>
      <c r="L51" s="2215" t="s">
        <v>1409</v>
      </c>
      <c r="M51" s="2215" t="s">
        <v>1410</v>
      </c>
      <c r="N51" s="2215" t="s">
        <v>1411</v>
      </c>
      <c r="O51" s="2215"/>
      <c r="P51" s="2212"/>
      <c r="Q51" s="2213"/>
    </row>
    <row r="52" spans="2:29" ht="14.25" thickBot="1">
      <c r="B52" s="2211"/>
      <c r="C52" s="2212"/>
      <c r="D52" s="2212"/>
      <c r="E52" s="2215"/>
      <c r="F52" s="2215"/>
      <c r="G52" s="1983" t="s">
        <v>1412</v>
      </c>
      <c r="H52" s="2246"/>
      <c r="I52" s="1974">
        <f>H52*$N$29</f>
        <v>0</v>
      </c>
      <c r="J52" s="1974">
        <v>0</v>
      </c>
      <c r="K52" s="2238"/>
      <c r="L52" s="1974">
        <v>12181</v>
      </c>
      <c r="M52" s="2247">
        <f>I52*J52+K52*L52</f>
        <v>0</v>
      </c>
      <c r="N52" s="2248">
        <f>SUM(M52:M56)/1000</f>
        <v>0</v>
      </c>
      <c r="O52" s="2212" t="s">
        <v>1392</v>
      </c>
      <c r="P52" s="2212"/>
      <c r="Q52" s="2213"/>
    </row>
    <row r="53" spans="2:29">
      <c r="B53" s="2211"/>
      <c r="C53" s="2212"/>
      <c r="D53" s="2212"/>
      <c r="E53" s="2215"/>
      <c r="F53" s="2215"/>
      <c r="G53" s="1983" t="s">
        <v>1413</v>
      </c>
      <c r="H53" s="2249"/>
      <c r="I53" s="1974">
        <f t="shared" ref="I53:I56" si="0">H53*$N$29</f>
        <v>0</v>
      </c>
      <c r="J53" s="1974">
        <v>87</v>
      </c>
      <c r="K53" s="2241"/>
      <c r="L53" s="1974">
        <v>9571</v>
      </c>
      <c r="M53" s="1974">
        <f>I53*J53+K53*L53</f>
        <v>0</v>
      </c>
      <c r="N53" s="2215"/>
      <c r="O53" s="2215"/>
      <c r="P53" s="2212"/>
      <c r="Q53" s="2213"/>
    </row>
    <row r="54" spans="2:29">
      <c r="B54" s="2211"/>
      <c r="C54" s="2212"/>
      <c r="D54" s="2212"/>
      <c r="E54" s="2215"/>
      <c r="F54" s="2215"/>
      <c r="G54" s="1983" t="s">
        <v>1414</v>
      </c>
      <c r="H54" s="2249"/>
      <c r="I54" s="1974">
        <f t="shared" si="0"/>
        <v>0</v>
      </c>
      <c r="J54" s="1974">
        <v>167</v>
      </c>
      <c r="K54" s="2241"/>
      <c r="L54" s="1974">
        <v>4771</v>
      </c>
      <c r="M54" s="1974">
        <f>I54*J54+K54*L54</f>
        <v>0</v>
      </c>
      <c r="N54" s="2215"/>
      <c r="O54" s="2215"/>
      <c r="P54" s="2212"/>
      <c r="Q54" s="2213"/>
    </row>
    <row r="55" spans="2:29">
      <c r="B55" s="2211"/>
      <c r="C55" s="2212"/>
      <c r="D55" s="2212"/>
      <c r="E55" s="2215"/>
      <c r="F55" s="2215"/>
      <c r="G55" s="1983" t="s">
        <v>1415</v>
      </c>
      <c r="H55" s="2249"/>
      <c r="I55" s="1974">
        <f t="shared" si="0"/>
        <v>0</v>
      </c>
      <c r="J55" s="1974">
        <v>47</v>
      </c>
      <c r="K55" s="2241"/>
      <c r="L55" s="1974">
        <v>15571</v>
      </c>
      <c r="M55" s="1974">
        <f>I55*J55+K55*L55</f>
        <v>0</v>
      </c>
      <c r="N55" s="2215"/>
      <c r="O55" s="2215"/>
      <c r="P55" s="2212"/>
      <c r="Q55" s="2213"/>
    </row>
    <row r="56" spans="2:29" ht="14.25" thickBot="1">
      <c r="B56" s="2211"/>
      <c r="C56" s="2212"/>
      <c r="D56" s="2212"/>
      <c r="E56" s="2215"/>
      <c r="F56" s="2215"/>
      <c r="G56" s="1983" t="s">
        <v>1416</v>
      </c>
      <c r="H56" s="2250"/>
      <c r="I56" s="1974">
        <f t="shared" si="0"/>
        <v>0</v>
      </c>
      <c r="J56" s="1974">
        <v>0</v>
      </c>
      <c r="K56" s="2242"/>
      <c r="L56" s="1974">
        <v>21211</v>
      </c>
      <c r="M56" s="1974">
        <f>I56*J56+K56*L56</f>
        <v>0</v>
      </c>
      <c r="N56" s="2215"/>
      <c r="O56" s="2215"/>
      <c r="P56" s="2212"/>
      <c r="Q56" s="2213"/>
    </row>
    <row r="57" spans="2:29">
      <c r="B57" s="2211"/>
      <c r="C57" s="2212"/>
      <c r="D57" s="2212"/>
      <c r="E57" s="2212"/>
      <c r="F57" s="2212"/>
      <c r="G57" s="2212" t="s">
        <v>557</v>
      </c>
      <c r="H57" s="2251">
        <f>SUM(H52:H56)</f>
        <v>0</v>
      </c>
      <c r="I57" s="2212"/>
      <c r="J57" s="2215"/>
      <c r="K57" s="2212"/>
      <c r="L57" s="2212"/>
      <c r="M57" s="2212"/>
      <c r="N57" s="2212"/>
      <c r="O57" s="2212"/>
      <c r="P57" s="2212"/>
      <c r="Q57" s="2213"/>
    </row>
    <row r="58" spans="2:29">
      <c r="B58" s="2211"/>
      <c r="C58" s="2212"/>
      <c r="D58" s="2212"/>
      <c r="E58" s="2212"/>
      <c r="F58" s="2212"/>
      <c r="G58" s="2212"/>
      <c r="H58" s="2212"/>
      <c r="I58" s="2212"/>
      <c r="J58" s="2215"/>
      <c r="K58" s="2212"/>
      <c r="L58" s="2212"/>
      <c r="M58" s="2212"/>
      <c r="N58" s="2212"/>
      <c r="O58" s="2212"/>
      <c r="P58" s="2212"/>
      <c r="Q58" s="2213"/>
    </row>
    <row r="59" spans="2:29">
      <c r="B59" s="2211"/>
      <c r="C59" s="2212"/>
      <c r="D59" s="2212"/>
      <c r="E59" s="2212"/>
      <c r="F59" s="2212"/>
      <c r="G59" s="2212"/>
      <c r="H59" s="2212"/>
      <c r="I59" s="2212"/>
      <c r="J59" s="2215"/>
      <c r="K59" s="2212"/>
      <c r="L59" s="2212"/>
      <c r="M59" s="2212"/>
      <c r="N59" s="2212"/>
      <c r="O59" s="2212"/>
      <c r="P59" s="2212"/>
      <c r="Q59" s="2213"/>
      <c r="T59" s="2172" t="s">
        <v>1417</v>
      </c>
    </row>
    <row r="60" spans="2:29" ht="14.25" thickBot="1">
      <c r="B60" s="2211"/>
      <c r="C60" s="2212"/>
      <c r="D60" s="2243" t="s">
        <v>1842</v>
      </c>
      <c r="E60" s="2212"/>
      <c r="F60" s="2212"/>
      <c r="G60" s="2212"/>
      <c r="H60" s="2212"/>
      <c r="I60" s="2212"/>
      <c r="J60" s="2215"/>
      <c r="K60" s="2212"/>
      <c r="L60" s="2212"/>
      <c r="M60" s="2212"/>
      <c r="N60" s="2212"/>
      <c r="O60" s="2212"/>
      <c r="P60" s="2212"/>
      <c r="Q60" s="2213"/>
      <c r="T60">
        <v>1</v>
      </c>
    </row>
    <row r="61" spans="2:29" ht="13.5" customHeight="1" thickBot="1">
      <c r="B61" s="2211"/>
      <c r="C61" s="2212"/>
      <c r="D61" s="2212"/>
      <c r="E61" s="2738" t="s">
        <v>1418</v>
      </c>
      <c r="F61" s="2738"/>
      <c r="G61" s="2738"/>
      <c r="H61" s="2738"/>
      <c r="I61" s="2738"/>
      <c r="J61" s="2738"/>
      <c r="K61" s="2738"/>
      <c r="L61" s="2212"/>
      <c r="M61" s="2212" t="s">
        <v>1419</v>
      </c>
      <c r="N61" s="2739" t="s">
        <v>1417</v>
      </c>
      <c r="O61" s="2740"/>
      <c r="P61" s="2741"/>
      <c r="Q61" s="2213"/>
      <c r="T61">
        <v>4</v>
      </c>
    </row>
    <row r="62" spans="2:29">
      <c r="B62" s="2211"/>
      <c r="C62" s="2212"/>
      <c r="D62" s="2212"/>
      <c r="E62" s="2738"/>
      <c r="F62" s="2738"/>
      <c r="G62" s="2738"/>
      <c r="H62" s="2738"/>
      <c r="I62" s="2738"/>
      <c r="J62" s="2738"/>
      <c r="K62" s="2738"/>
      <c r="L62" s="2212"/>
      <c r="M62" s="2212"/>
      <c r="N62" s="2212"/>
      <c r="O62" s="2212"/>
      <c r="P62" s="2212"/>
      <c r="Q62" s="2213"/>
    </row>
    <row r="63" spans="2:29">
      <c r="B63" s="2211"/>
      <c r="C63" s="2212"/>
      <c r="D63" s="2212"/>
      <c r="E63" s="2738"/>
      <c r="F63" s="2738"/>
      <c r="G63" s="2738"/>
      <c r="H63" s="2738"/>
      <c r="I63" s="2738"/>
      <c r="J63" s="2738"/>
      <c r="K63" s="2738"/>
      <c r="L63" s="2212"/>
      <c r="M63" s="2212"/>
      <c r="N63" s="2212"/>
      <c r="O63" s="2212"/>
      <c r="P63" s="2212"/>
      <c r="Q63" s="2213"/>
    </row>
    <row r="64" spans="2:29" ht="7.5" customHeight="1" thickBot="1">
      <c r="B64" s="2211"/>
      <c r="C64" s="2212"/>
      <c r="D64" s="2212"/>
      <c r="E64" s="2212"/>
      <c r="F64" s="2212"/>
      <c r="G64" s="2212"/>
      <c r="H64" s="2212"/>
      <c r="I64" s="2212"/>
      <c r="J64" s="2215"/>
      <c r="K64" s="2212"/>
      <c r="L64" s="2212"/>
      <c r="M64" s="2212"/>
      <c r="N64" s="2212"/>
      <c r="O64" s="2212"/>
      <c r="P64" s="2212"/>
      <c r="Q64" s="2213"/>
    </row>
    <row r="65" spans="2:21" ht="14.25" thickBot="1">
      <c r="B65" s="2211"/>
      <c r="C65" s="2212"/>
      <c r="D65" s="2212"/>
      <c r="E65" s="2212" t="s">
        <v>1420</v>
      </c>
      <c r="F65" s="2220" t="s">
        <v>1421</v>
      </c>
      <c r="G65" s="2212"/>
      <c r="H65" s="2212"/>
      <c r="I65" s="2212"/>
      <c r="J65" s="2215" t="s">
        <v>1422</v>
      </c>
      <c r="K65" s="2220" t="s">
        <v>1421</v>
      </c>
      <c r="L65" s="2212"/>
      <c r="M65" s="2212"/>
      <c r="N65" s="2212"/>
      <c r="O65" s="2212"/>
      <c r="P65" s="2212"/>
      <c r="Q65" s="2213"/>
      <c r="T65" t="s">
        <v>1302</v>
      </c>
      <c r="U65" t="s">
        <v>1303</v>
      </c>
    </row>
    <row r="66" spans="2:21">
      <c r="B66" s="2211"/>
      <c r="C66" s="2212"/>
      <c r="D66" s="2212"/>
      <c r="E66" s="2212"/>
      <c r="F66" s="2212" t="s">
        <v>1423</v>
      </c>
      <c r="G66" s="2212"/>
      <c r="H66" s="2212"/>
      <c r="I66" s="2212"/>
      <c r="J66" s="2215"/>
      <c r="K66" s="2212" t="s">
        <v>1424</v>
      </c>
      <c r="L66" s="2212"/>
      <c r="M66" s="2212"/>
      <c r="N66" s="2212"/>
      <c r="O66" s="2212"/>
      <c r="P66" s="2212"/>
      <c r="Q66" s="2213"/>
      <c r="T66" t="s">
        <v>1313</v>
      </c>
      <c r="U66" t="s">
        <v>1309</v>
      </c>
    </row>
    <row r="67" spans="2:21">
      <c r="B67" s="2211"/>
      <c r="C67" s="2212"/>
      <c r="D67" s="2212"/>
      <c r="E67" s="2212"/>
      <c r="F67" s="2212" t="s">
        <v>1425</v>
      </c>
      <c r="G67" s="2212"/>
      <c r="H67" s="2212"/>
      <c r="I67" s="2212"/>
      <c r="J67" s="2215"/>
      <c r="K67" s="2212" t="s">
        <v>1426</v>
      </c>
      <c r="L67" s="2212"/>
      <c r="M67" s="2212"/>
      <c r="N67" s="2212"/>
      <c r="O67" s="2212"/>
      <c r="P67" s="2212"/>
      <c r="Q67" s="2213"/>
      <c r="T67" t="s">
        <v>1320</v>
      </c>
      <c r="U67" t="s">
        <v>1427</v>
      </c>
    </row>
    <row r="68" spans="2:21">
      <c r="B68" s="2211"/>
      <c r="C68" s="2212"/>
      <c r="D68" s="2212"/>
      <c r="E68" s="2212"/>
      <c r="F68" s="2212" t="s">
        <v>1428</v>
      </c>
      <c r="G68" s="2212"/>
      <c r="H68" s="2212"/>
      <c r="I68" s="2212"/>
      <c r="J68" s="2215"/>
      <c r="K68" s="2212" t="s">
        <v>1429</v>
      </c>
      <c r="L68" s="2212"/>
      <c r="M68" s="2212"/>
      <c r="N68" s="2212"/>
      <c r="O68" s="2212"/>
      <c r="P68" s="2212"/>
      <c r="Q68" s="2213"/>
      <c r="T68" t="s">
        <v>1427</v>
      </c>
    </row>
    <row r="69" spans="2:21" ht="14.25" thickBot="1">
      <c r="B69" s="2252"/>
      <c r="C69" s="2253"/>
      <c r="D69" s="2253"/>
      <c r="E69" s="2253"/>
      <c r="F69" s="2253" t="s">
        <v>1429</v>
      </c>
      <c r="G69" s="2253"/>
      <c r="H69" s="2253"/>
      <c r="I69" s="2253"/>
      <c r="J69" s="2254"/>
      <c r="K69" s="2253"/>
      <c r="L69" s="2253"/>
      <c r="M69" s="2253"/>
      <c r="N69" s="2253"/>
      <c r="O69" s="2253"/>
      <c r="P69" s="2253"/>
      <c r="Q69" s="2255"/>
    </row>
    <row r="70" spans="2:21" ht="14.25" thickBot="1">
      <c r="B70" s="510"/>
      <c r="C70" s="510"/>
      <c r="D70" s="510"/>
      <c r="E70" s="510"/>
      <c r="F70" s="510"/>
      <c r="G70" s="510"/>
      <c r="H70" s="510"/>
      <c r="I70" s="510"/>
      <c r="J70" s="510"/>
      <c r="K70" s="510"/>
      <c r="L70" s="510"/>
      <c r="M70" s="510"/>
      <c r="N70" s="510"/>
      <c r="O70" s="510"/>
      <c r="P70" s="510"/>
      <c r="Q70" s="510"/>
    </row>
    <row r="71" spans="2:21" ht="27" customHeight="1">
      <c r="B71" s="2256"/>
      <c r="C71" s="2257" t="s">
        <v>1430</v>
      </c>
      <c r="D71" s="2258"/>
      <c r="E71" s="2258"/>
      <c r="F71" s="2258"/>
      <c r="G71" s="2258"/>
      <c r="H71" s="2258"/>
      <c r="I71" s="2258"/>
      <c r="J71" s="2258"/>
      <c r="K71" s="2258"/>
      <c r="L71" s="2258"/>
      <c r="M71" s="2258"/>
      <c r="N71" s="2259"/>
      <c r="O71" s="2260"/>
      <c r="P71" s="2260"/>
      <c r="Q71" s="2261"/>
    </row>
    <row r="72" spans="2:21">
      <c r="B72" s="2262"/>
      <c r="C72" s="1448"/>
      <c r="D72" s="1448" t="s">
        <v>1431</v>
      </c>
      <c r="E72" s="2212"/>
      <c r="F72" s="2212"/>
      <c r="G72" s="2215"/>
      <c r="H72" s="2212"/>
      <c r="I72" s="2212"/>
      <c r="J72" s="2212"/>
      <c r="K72" s="2212"/>
      <c r="L72" s="2212"/>
      <c r="M72" s="2212"/>
      <c r="N72" s="2212" t="s">
        <v>112</v>
      </c>
      <c r="O72" s="2212"/>
      <c r="P72" s="2212"/>
      <c r="Q72" s="2263" t="s">
        <v>185</v>
      </c>
    </row>
    <row r="73" spans="2:21">
      <c r="B73" s="2262"/>
      <c r="C73" s="1448"/>
      <c r="D73" s="1448"/>
      <c r="E73" s="2212"/>
      <c r="F73" s="2219" t="s">
        <v>1432</v>
      </c>
      <c r="G73" s="2212"/>
      <c r="H73" s="2212"/>
      <c r="I73" s="2212"/>
      <c r="J73" s="2212" t="s">
        <v>1433</v>
      </c>
      <c r="K73" s="2212"/>
      <c r="L73" s="2264" t="s">
        <v>1434</v>
      </c>
      <c r="M73" s="2212"/>
      <c r="N73" s="1445" t="s">
        <v>1392</v>
      </c>
      <c r="O73" s="1454"/>
      <c r="P73" s="1454"/>
      <c r="Q73" s="1447" t="s">
        <v>1392</v>
      </c>
    </row>
    <row r="74" spans="2:21">
      <c r="B74" s="2262"/>
      <c r="C74" s="1448"/>
      <c r="D74" s="1448"/>
      <c r="E74" s="2215" t="s">
        <v>1435</v>
      </c>
      <c r="F74" s="2265">
        <f>IF(E24=S27,I45,I26)</f>
        <v>0.9</v>
      </c>
      <c r="G74" s="161"/>
      <c r="H74" s="2212"/>
      <c r="I74" s="2212"/>
      <c r="J74" s="2266">
        <f>(H98*N98+H100*N100+N101*H101)/1000</f>
        <v>0</v>
      </c>
      <c r="K74" s="2267" t="s">
        <v>1392</v>
      </c>
      <c r="L74" s="2268">
        <f>N104</f>
        <v>1</v>
      </c>
      <c r="M74" s="2267"/>
      <c r="N74" s="2269">
        <f>(J94*F74-J74)*L74</f>
        <v>16074</v>
      </c>
      <c r="O74" s="1454"/>
      <c r="P74" s="1989"/>
      <c r="Q74" s="2270">
        <f>J94</f>
        <v>17860</v>
      </c>
      <c r="T74" s="2271">
        <f>T94/Q74</f>
        <v>0.90792833146696528</v>
      </c>
    </row>
    <row r="75" spans="2:21">
      <c r="B75" s="2211"/>
      <c r="C75" s="2212"/>
      <c r="D75" s="2212"/>
      <c r="E75" s="2212"/>
      <c r="F75" s="2212"/>
      <c r="G75" s="2212"/>
      <c r="H75" s="2212"/>
      <c r="I75" s="2212"/>
      <c r="J75" s="2212"/>
      <c r="K75" s="2212"/>
      <c r="L75" s="2212"/>
      <c r="M75" s="2212"/>
      <c r="N75" s="2212"/>
      <c r="O75" s="2212"/>
      <c r="P75" s="2212"/>
      <c r="Q75" s="2213"/>
    </row>
    <row r="76" spans="2:21">
      <c r="B76" s="2211"/>
      <c r="C76" s="2212"/>
      <c r="D76" s="2212"/>
      <c r="E76" s="2212"/>
      <c r="F76" s="2212"/>
      <c r="G76" s="2264"/>
      <c r="H76" s="2264" t="s">
        <v>1436</v>
      </c>
      <c r="I76" s="2212"/>
      <c r="J76" s="2264" t="s">
        <v>1437</v>
      </c>
      <c r="K76" s="2264"/>
      <c r="L76" s="2264" t="s">
        <v>1438</v>
      </c>
      <c r="M76" s="2212"/>
      <c r="N76" s="2212"/>
      <c r="O76" s="2212"/>
      <c r="P76" s="2212"/>
      <c r="Q76" s="2213"/>
    </row>
    <row r="77" spans="2:21">
      <c r="B77" s="2211"/>
      <c r="C77" s="2212"/>
      <c r="D77" s="2212"/>
      <c r="E77" s="2212"/>
      <c r="F77" s="2212"/>
      <c r="G77" s="2219"/>
      <c r="H77" s="2219" t="s">
        <v>1366</v>
      </c>
      <c r="I77" s="2212"/>
      <c r="J77" s="2264" t="s">
        <v>1439</v>
      </c>
      <c r="K77" s="2264"/>
      <c r="L77" s="2264" t="s">
        <v>240</v>
      </c>
      <c r="M77" s="2212"/>
      <c r="N77" s="2212"/>
      <c r="O77" s="2212"/>
      <c r="P77" s="2212"/>
      <c r="Q77" s="2213"/>
      <c r="S77" t="s">
        <v>1440</v>
      </c>
    </row>
    <row r="78" spans="2:21">
      <c r="B78" s="2211"/>
      <c r="C78" s="2212"/>
      <c r="D78" s="2212"/>
      <c r="E78" s="2272" t="s">
        <v>204</v>
      </c>
      <c r="F78" s="2273" t="s">
        <v>539</v>
      </c>
      <c r="G78" s="2274"/>
      <c r="H78" s="519">
        <f>メイン!W71</f>
        <v>7000</v>
      </c>
      <c r="I78" s="1456"/>
      <c r="J78" s="519">
        <f>CO2データ!H151</f>
        <v>1540</v>
      </c>
      <c r="K78" s="1456"/>
      <c r="L78" s="2275">
        <f>CO2データ!R151</f>
        <v>6.2164426229508192E-2</v>
      </c>
      <c r="M78" s="2212"/>
      <c r="N78" s="2212"/>
      <c r="O78" s="2212"/>
      <c r="P78" s="2212"/>
      <c r="Q78" s="2213"/>
      <c r="S78" s="1986">
        <f>CO2データ!N151</f>
        <v>0.9</v>
      </c>
    </row>
    <row r="79" spans="2:21">
      <c r="B79" s="2211"/>
      <c r="C79" s="2212"/>
      <c r="D79" s="2212"/>
      <c r="E79" s="2276"/>
      <c r="F79" s="2273" t="s">
        <v>1272</v>
      </c>
      <c r="G79" s="2274"/>
      <c r="H79" s="519">
        <f>メイン!W72</f>
        <v>0</v>
      </c>
      <c r="I79" s="1456"/>
      <c r="J79" s="519">
        <f>CO2データ!H152</f>
        <v>0</v>
      </c>
      <c r="K79" s="1456"/>
      <c r="L79" s="2275">
        <f>CO2データ!R152</f>
        <v>6.2011081967213111E-2</v>
      </c>
      <c r="M79" s="2212"/>
      <c r="N79" s="2212"/>
      <c r="O79" s="2212"/>
      <c r="P79" s="2212"/>
      <c r="Q79" s="2213"/>
      <c r="S79" s="1986">
        <f>CO2データ!N152</f>
        <v>0.83</v>
      </c>
    </row>
    <row r="80" spans="2:21">
      <c r="B80" s="2211"/>
      <c r="C80" s="2212"/>
      <c r="D80" s="2212"/>
      <c r="E80" s="2277" t="s">
        <v>1273</v>
      </c>
      <c r="F80" s="2273" t="s">
        <v>1274</v>
      </c>
      <c r="G80" s="2274"/>
      <c r="H80" s="519">
        <f>メイン!W73</f>
        <v>0</v>
      </c>
      <c r="I80" s="1456"/>
      <c r="J80" s="519">
        <f>CO2データ!H153</f>
        <v>0</v>
      </c>
      <c r="K80" s="1456"/>
      <c r="L80" s="2275">
        <f>CO2データ!R153</f>
        <v>6.1399991803278681E-2</v>
      </c>
      <c r="M80" s="2212"/>
      <c r="N80" s="2212"/>
      <c r="O80" s="2212"/>
      <c r="P80" s="2212"/>
      <c r="Q80" s="2213"/>
      <c r="S80" s="1986">
        <f>CO2データ!N153</f>
        <v>0.71</v>
      </c>
    </row>
    <row r="81" spans="2:27">
      <c r="B81" s="2211"/>
      <c r="C81" s="2212"/>
      <c r="D81" s="2212"/>
      <c r="E81" s="2277"/>
      <c r="F81" s="2278" t="s">
        <v>1275</v>
      </c>
      <c r="G81" s="2279" t="s">
        <v>1123</v>
      </c>
      <c r="H81" s="519">
        <f>メイン!W74</f>
        <v>0</v>
      </c>
      <c r="I81" s="1456"/>
      <c r="J81" s="519">
        <f>CO2データ!H154</f>
        <v>0</v>
      </c>
      <c r="K81" s="1456"/>
      <c r="L81" s="2275">
        <f>CO2データ!R154</f>
        <v>6.1774326969943165E-2</v>
      </c>
      <c r="M81" s="2212"/>
      <c r="N81" s="2212"/>
      <c r="O81" s="2212"/>
      <c r="P81" s="2212"/>
      <c r="Q81" s="2213"/>
      <c r="S81" s="1986">
        <f>CO2データ!N154</f>
        <v>0.62299911901772109</v>
      </c>
    </row>
    <row r="82" spans="2:27">
      <c r="B82" s="2211"/>
      <c r="C82" s="2212"/>
      <c r="D82" s="2212"/>
      <c r="E82" s="2277"/>
      <c r="F82" s="2280"/>
      <c r="G82" s="2279" t="s">
        <v>602</v>
      </c>
      <c r="H82" s="519">
        <f>メイン!W75</f>
        <v>0</v>
      </c>
      <c r="I82" s="1456"/>
      <c r="J82" s="519">
        <f>CO2データ!H155</f>
        <v>0</v>
      </c>
      <c r="K82" s="1456"/>
      <c r="L82" s="2275">
        <f>CO2データ!R155</f>
        <v>6.1566316966792003E-2</v>
      </c>
      <c r="M82" s="2212"/>
      <c r="N82" s="2212"/>
      <c r="O82" s="2212"/>
      <c r="P82" s="2212"/>
      <c r="Q82" s="2213"/>
      <c r="S82" s="1986">
        <f>CO2データ!N155</f>
        <v>0.75998792472086629</v>
      </c>
    </row>
    <row r="83" spans="2:27">
      <c r="B83" s="2211"/>
      <c r="C83" s="2212"/>
      <c r="D83" s="2212"/>
      <c r="E83" s="2277"/>
      <c r="F83" s="2273" t="s">
        <v>1276</v>
      </c>
      <c r="G83" s="2274"/>
      <c r="H83" s="519">
        <f>メイン!W76</f>
        <v>0</v>
      </c>
      <c r="I83" s="1456"/>
      <c r="J83" s="519">
        <f>CO2データ!H156</f>
        <v>0</v>
      </c>
      <c r="K83" s="1456"/>
      <c r="L83" s="2275">
        <f>CO2データ!R156</f>
        <v>6.2912139344262291E-2</v>
      </c>
      <c r="M83" s="2212"/>
      <c r="N83" s="2212"/>
      <c r="O83" s="2212"/>
      <c r="P83" s="2212"/>
      <c r="Q83" s="2213"/>
      <c r="S83" s="1986">
        <f>CO2データ!N156</f>
        <v>0.74</v>
      </c>
    </row>
    <row r="84" spans="2:27">
      <c r="B84" s="2211"/>
      <c r="C84" s="2212"/>
      <c r="D84" s="2212"/>
      <c r="E84" s="2276"/>
      <c r="F84" s="2273" t="s">
        <v>1277</v>
      </c>
      <c r="G84" s="2274"/>
      <c r="H84" s="519">
        <f>メイン!W77</f>
        <v>0</v>
      </c>
      <c r="I84" s="1456"/>
      <c r="J84" s="519">
        <f>CO2データ!H157</f>
        <v>0</v>
      </c>
      <c r="K84" s="1456"/>
      <c r="L84" s="2275">
        <f>CO2データ!R157</f>
        <v>6.1682385245901646E-2</v>
      </c>
      <c r="M84" s="2212"/>
      <c r="N84" s="2212"/>
      <c r="O84" s="2212"/>
      <c r="P84" s="2212"/>
      <c r="Q84" s="2213"/>
      <c r="S84" s="1986">
        <f>CO2データ!N157</f>
        <v>0.79</v>
      </c>
    </row>
    <row r="85" spans="2:27">
      <c r="B85" s="2211"/>
      <c r="C85" s="2212"/>
      <c r="D85" s="2212"/>
      <c r="E85" s="2272" t="s">
        <v>1278</v>
      </c>
      <c r="F85" s="2273" t="s">
        <v>955</v>
      </c>
      <c r="G85" s="2274"/>
      <c r="H85" s="519">
        <f>メイン!W78</f>
        <v>0</v>
      </c>
      <c r="I85" s="1456"/>
      <c r="J85" s="519">
        <f>CO2データ!H158</f>
        <v>0</v>
      </c>
      <c r="K85" s="1456"/>
      <c r="L85" s="2275">
        <f>CO2データ!R158</f>
        <v>6.2551573770491808E-2</v>
      </c>
      <c r="M85" s="2212"/>
      <c r="N85" s="2212"/>
      <c r="O85" s="2212"/>
      <c r="P85" s="2212"/>
      <c r="Q85" s="2213"/>
      <c r="S85" s="1986">
        <f>CO2データ!N158</f>
        <v>0.93</v>
      </c>
    </row>
    <row r="86" spans="2:27">
      <c r="B86" s="2211"/>
      <c r="C86" s="2212"/>
      <c r="D86" s="2212"/>
      <c r="E86" s="2276"/>
      <c r="F86" s="2273" t="s">
        <v>1279</v>
      </c>
      <c r="G86" s="2274"/>
      <c r="H86" s="519">
        <f>メイン!W79</f>
        <v>3000</v>
      </c>
      <c r="I86" s="1456"/>
      <c r="J86" s="519">
        <f>CO2データ!H159</f>
        <v>2360</v>
      </c>
      <c r="K86" s="1456"/>
      <c r="L86" s="2275">
        <f>CO2データ!R159</f>
        <v>6.2422524590163939E-2</v>
      </c>
      <c r="M86" s="2212"/>
      <c r="N86" s="2212"/>
      <c r="O86" s="2212"/>
      <c r="P86" s="2212"/>
      <c r="Q86" s="2213"/>
      <c r="S86" s="1986">
        <f>CO2データ!N159</f>
        <v>0.92</v>
      </c>
    </row>
    <row r="87" spans="2:27">
      <c r="B87" s="2211"/>
      <c r="C87" s="2212"/>
      <c r="D87" s="2212"/>
      <c r="E87" s="2273" t="s">
        <v>545</v>
      </c>
      <c r="F87" s="2281"/>
      <c r="G87" s="2274"/>
      <c r="H87" s="519">
        <f>メイン!W80</f>
        <v>0</v>
      </c>
      <c r="I87" s="1456"/>
      <c r="J87" s="519">
        <f>CO2データ!H160</f>
        <v>0</v>
      </c>
      <c r="K87" s="1456"/>
      <c r="L87" s="2275">
        <f>CO2データ!R160</f>
        <v>5.8502459016393435E-2</v>
      </c>
      <c r="M87" s="2212"/>
      <c r="N87" s="2212"/>
      <c r="O87" s="2212"/>
      <c r="P87" s="2212"/>
      <c r="Q87" s="2213"/>
      <c r="S87" s="1986">
        <f>CO2データ!N160</f>
        <v>0.5</v>
      </c>
    </row>
    <row r="88" spans="2:27">
      <c r="B88" s="2211"/>
      <c r="C88" s="2212"/>
      <c r="D88" s="2212"/>
      <c r="E88" s="2272" t="s">
        <v>1280</v>
      </c>
      <c r="F88" s="2273" t="s">
        <v>1281</v>
      </c>
      <c r="G88" s="2274"/>
      <c r="H88" s="519">
        <f>メイン!W81</f>
        <v>0</v>
      </c>
      <c r="I88" s="1456"/>
      <c r="J88" s="519">
        <f>CO2データ!H161</f>
        <v>0</v>
      </c>
      <c r="K88" s="1456"/>
      <c r="L88" s="2275">
        <f>CO2データ!R161</f>
        <v>6.1107737704918036E-2</v>
      </c>
      <c r="M88" s="2212"/>
      <c r="N88" s="2212"/>
      <c r="O88" s="2212"/>
      <c r="P88" s="2212"/>
      <c r="Q88" s="2213"/>
      <c r="S88" s="1986">
        <f>CO2データ!N161</f>
        <v>0.76</v>
      </c>
    </row>
    <row r="89" spans="2:27">
      <c r="B89" s="2211"/>
      <c r="C89" s="2212"/>
      <c r="D89" s="2212"/>
      <c r="E89" s="2277"/>
      <c r="F89" s="2273" t="s">
        <v>1282</v>
      </c>
      <c r="G89" s="2274"/>
      <c r="H89" s="519">
        <f>メイン!W82</f>
        <v>0</v>
      </c>
      <c r="I89" s="1456"/>
      <c r="J89" s="519">
        <f>CO2データ!H162</f>
        <v>0</v>
      </c>
      <c r="K89" s="1456"/>
      <c r="L89" s="2275">
        <f>CO2データ!R162</f>
        <v>6.2127983606557372E-2</v>
      </c>
      <c r="M89" s="2212"/>
      <c r="N89" s="2212"/>
      <c r="O89" s="2212"/>
      <c r="P89" s="2212"/>
      <c r="Q89" s="2213"/>
      <c r="S89" s="1986">
        <f>CO2データ!N162</f>
        <v>0.81</v>
      </c>
    </row>
    <row r="90" spans="2:27">
      <c r="B90" s="2211"/>
      <c r="C90" s="2212"/>
      <c r="D90" s="2212"/>
      <c r="E90" s="2277"/>
      <c r="F90" s="2278" t="s">
        <v>1283</v>
      </c>
      <c r="G90" s="2282"/>
      <c r="H90" s="519">
        <f>メイン!W83</f>
        <v>0</v>
      </c>
      <c r="I90" s="1456"/>
      <c r="J90" s="519">
        <f>CO2データ!H163</f>
        <v>0</v>
      </c>
      <c r="K90" s="1456"/>
      <c r="L90" s="2275">
        <f>CO2データ!R163</f>
        <v>6.2047524590163931E-2</v>
      </c>
      <c r="M90" s="2212"/>
      <c r="N90" s="2212"/>
      <c r="O90" s="2212"/>
      <c r="P90" s="2212"/>
      <c r="Q90" s="2213"/>
      <c r="S90" s="1986">
        <f>CO2データ!N163</f>
        <v>0.92</v>
      </c>
    </row>
    <row r="91" spans="2:27">
      <c r="B91" s="2211"/>
      <c r="C91" s="2212"/>
      <c r="D91" s="2212"/>
      <c r="E91" s="2273" t="s">
        <v>555</v>
      </c>
      <c r="F91" s="2281"/>
      <c r="G91" s="2274"/>
      <c r="H91" s="519">
        <f>メイン!J60</f>
        <v>0</v>
      </c>
      <c r="I91" s="1456"/>
      <c r="J91" s="519">
        <f>CO2データ!H164</f>
        <v>0</v>
      </c>
      <c r="K91" s="1456"/>
      <c r="L91" s="2275">
        <f>CO2データ!R164</f>
        <v>6.2704918032786883E-2</v>
      </c>
      <c r="M91" s="2212"/>
      <c r="N91" s="2212"/>
      <c r="O91" s="2212"/>
      <c r="P91" s="2212"/>
      <c r="Q91" s="2213"/>
      <c r="S91" s="1986">
        <f>CO2データ!N164</f>
        <v>1</v>
      </c>
    </row>
    <row r="92" spans="2:27">
      <c r="B92" s="2211"/>
      <c r="C92" s="2212"/>
      <c r="D92" s="2212"/>
      <c r="E92" s="2273" t="s">
        <v>549</v>
      </c>
      <c r="F92" s="2281"/>
      <c r="G92" s="2274"/>
      <c r="H92" s="519">
        <f>メイン!W85</f>
        <v>0</v>
      </c>
      <c r="I92" s="1456"/>
      <c r="J92" s="519">
        <f>CO2データ!H165</f>
        <v>0</v>
      </c>
      <c r="K92" s="1456"/>
      <c r="L92" s="2275">
        <f>CO2データ!R165</f>
        <v>6.193819672131147E-2</v>
      </c>
      <c r="M92" s="2212"/>
      <c r="N92" s="2212"/>
      <c r="O92" s="2212"/>
      <c r="P92" s="2212"/>
      <c r="Q92" s="2213"/>
      <c r="S92" s="1986">
        <f>CO2データ!N165</f>
        <v>0.65</v>
      </c>
    </row>
    <row r="93" spans="2:27" ht="14.25" thickBot="1">
      <c r="B93" s="2211"/>
      <c r="C93" s="2212"/>
      <c r="D93" s="2212"/>
      <c r="E93" s="2273" t="s">
        <v>1284</v>
      </c>
      <c r="F93" s="2281"/>
      <c r="G93" s="2274"/>
      <c r="H93" s="519">
        <f>メイン!W86</f>
        <v>0</v>
      </c>
      <c r="I93" s="1456"/>
      <c r="J93" s="519">
        <f>CO2データ!H166</f>
        <v>0</v>
      </c>
      <c r="K93" s="1456"/>
      <c r="L93" s="2275">
        <f>CO2データ!R166</f>
        <v>6.21742868852459E-2</v>
      </c>
      <c r="M93" s="2212"/>
      <c r="N93" s="2212"/>
      <c r="O93" s="2212"/>
      <c r="P93" s="2212"/>
      <c r="Q93" s="2213"/>
      <c r="S93" s="1986">
        <f>CO2データ!N166</f>
        <v>0.77</v>
      </c>
    </row>
    <row r="94" spans="2:27" ht="14.25" thickBot="1">
      <c r="B94" s="2211"/>
      <c r="C94" s="2212"/>
      <c r="D94" s="2212"/>
      <c r="E94" s="2283" t="s">
        <v>1441</v>
      </c>
      <c r="F94" s="2283" t="s">
        <v>557</v>
      </c>
      <c r="G94" s="2283"/>
      <c r="H94" s="2284">
        <f>SUM(H78:H93)</f>
        <v>10000</v>
      </c>
      <c r="I94" s="1456"/>
      <c r="J94" s="2284">
        <f>SUMPRODUCT(H78:H93,J78:J93)/1000</f>
        <v>17860</v>
      </c>
      <c r="K94" s="1456" t="s">
        <v>1442</v>
      </c>
      <c r="L94" s="2285">
        <f>SUMPRODUCT(H78:H93,L78:L93)/H94</f>
        <v>6.2241855737704917E-2</v>
      </c>
      <c r="M94" s="2212"/>
      <c r="N94" s="2212"/>
      <c r="O94" s="2212"/>
      <c r="P94" s="2212"/>
      <c r="Q94" s="2213"/>
      <c r="S94" s="1986"/>
      <c r="T94" s="2286">
        <f>SUMPRODUCT(H78:H93,J78:J93,S78:S93)/1000</f>
        <v>16215.6</v>
      </c>
    </row>
    <row r="95" spans="2:27">
      <c r="B95" s="2211"/>
      <c r="C95" s="2212"/>
      <c r="D95" s="2212"/>
      <c r="E95" s="1456"/>
      <c r="F95" s="1456"/>
      <c r="G95" s="1456"/>
      <c r="H95" s="1456"/>
      <c r="I95" s="1456"/>
      <c r="J95" s="1456"/>
      <c r="K95" s="1456"/>
      <c r="L95" s="1456"/>
      <c r="M95" s="2212"/>
      <c r="N95" s="2212"/>
      <c r="O95" s="2212"/>
      <c r="P95" s="2212"/>
      <c r="Q95" s="2213"/>
    </row>
    <row r="96" spans="2:27">
      <c r="B96" s="2211"/>
      <c r="C96" s="2212"/>
      <c r="D96" s="2212"/>
      <c r="E96" s="1457" t="s">
        <v>1443</v>
      </c>
      <c r="F96" s="161"/>
      <c r="G96" s="2212"/>
      <c r="H96" s="2264" t="s">
        <v>1436</v>
      </c>
      <c r="I96" s="2212"/>
      <c r="J96" s="2212"/>
      <c r="K96" s="2212"/>
      <c r="L96" s="2212"/>
      <c r="M96" s="2212"/>
      <c r="N96" s="2212"/>
      <c r="O96" s="2212"/>
      <c r="P96" s="2212"/>
      <c r="Q96" s="2213"/>
      <c r="V96" s="1"/>
      <c r="W96" s="1"/>
      <c r="Z96" s="1"/>
      <c r="AA96" s="1"/>
    </row>
    <row r="97" spans="2:27" ht="14.25" hidden="1" thickBot="1">
      <c r="B97" s="2211"/>
      <c r="C97" s="2212"/>
      <c r="D97" s="2212"/>
      <c r="E97" s="1457"/>
      <c r="F97" s="161"/>
      <c r="G97" s="2212"/>
      <c r="H97" s="2212"/>
      <c r="I97" s="2212"/>
      <c r="J97" s="2212"/>
      <c r="K97" s="2212"/>
      <c r="L97" s="2212"/>
      <c r="M97" s="2212"/>
      <c r="N97" s="2212"/>
      <c r="O97" s="2212"/>
      <c r="P97" s="2212"/>
      <c r="Q97" s="2213"/>
      <c r="S97" t="s">
        <v>1444</v>
      </c>
      <c r="T97" s="2287">
        <v>1</v>
      </c>
      <c r="V97" s="1984"/>
      <c r="W97" s="1984"/>
      <c r="Z97" s="1984"/>
      <c r="AA97" s="1984"/>
    </row>
    <row r="98" spans="2:27" ht="14.25" hidden="1" thickBot="1">
      <c r="B98" s="2211"/>
      <c r="C98" s="2212"/>
      <c r="D98" s="2212"/>
      <c r="E98" s="1457"/>
      <c r="F98" s="1457" t="s">
        <v>1445</v>
      </c>
      <c r="G98" s="161"/>
      <c r="H98" s="1974">
        <f>IF(T97=1,0,H94-H81-H82)</f>
        <v>0</v>
      </c>
      <c r="I98" s="2212"/>
      <c r="J98" s="2212"/>
      <c r="K98" s="2212"/>
      <c r="L98" s="2212"/>
      <c r="M98" s="2212"/>
      <c r="N98" s="2288"/>
      <c r="O98" s="2212" t="s">
        <v>1446</v>
      </c>
      <c r="P98" s="2212"/>
      <c r="Q98" s="2213"/>
      <c r="S98" s="1986"/>
      <c r="V98" s="1984"/>
      <c r="W98" s="1984"/>
      <c r="Z98" s="1984"/>
      <c r="AA98" s="1984"/>
    </row>
    <row r="99" spans="2:27">
      <c r="B99" s="2289"/>
      <c r="C99" s="1448"/>
      <c r="D99" s="1448"/>
      <c r="E99" s="1457"/>
      <c r="F99" s="1457" t="s">
        <v>1447</v>
      </c>
      <c r="G99" s="161"/>
      <c r="H99" s="2219" t="s">
        <v>1366</v>
      </c>
      <c r="I99" s="2219"/>
      <c r="J99" s="1451" t="s">
        <v>190</v>
      </c>
      <c r="K99" s="1451" t="s">
        <v>191</v>
      </c>
      <c r="L99" s="1451" t="s">
        <v>192</v>
      </c>
      <c r="M99" s="1452" t="s">
        <v>193</v>
      </c>
      <c r="N99" s="1452" t="s">
        <v>1177</v>
      </c>
      <c r="O99" s="2290"/>
      <c r="P99" s="1989"/>
      <c r="Q99" s="2291"/>
    </row>
    <row r="100" spans="2:27" ht="14.25" thickBot="1">
      <c r="B100" s="2289"/>
      <c r="C100" s="1448"/>
      <c r="D100" s="1448"/>
      <c r="E100" s="1457"/>
      <c r="F100" s="1457"/>
      <c r="G100" s="2219" t="s">
        <v>1448</v>
      </c>
      <c r="H100" s="2292">
        <f>H81+H82+M14</f>
        <v>0</v>
      </c>
      <c r="I100" s="2219"/>
      <c r="J100" s="2293">
        <v>0</v>
      </c>
      <c r="K100" s="2293">
        <v>1</v>
      </c>
      <c r="L100" s="2377">
        <v>15</v>
      </c>
      <c r="M100" s="2294">
        <f>スコア入力!P120</f>
        <v>0</v>
      </c>
      <c r="N100" s="2295">
        <f>IF(M100&gt;=5,$L100,IF(M100&gt;=4,$K100,$J100))</f>
        <v>0</v>
      </c>
      <c r="O100" s="2212"/>
      <c r="P100" s="1989"/>
      <c r="Q100" s="2291"/>
    </row>
    <row r="101" spans="2:27" ht="14.25" thickBot="1">
      <c r="B101" s="2289"/>
      <c r="C101" s="1448"/>
      <c r="D101" s="1448"/>
      <c r="E101" s="1457"/>
      <c r="F101" s="1457"/>
      <c r="G101" s="161" t="s">
        <v>1449</v>
      </c>
      <c r="H101" s="1974">
        <f>IF(T97=1,H94-H81-H82,0)</f>
        <v>10000</v>
      </c>
      <c r="I101" s="2219"/>
      <c r="J101" s="2293">
        <v>0</v>
      </c>
      <c r="K101" s="2293">
        <v>1</v>
      </c>
      <c r="L101" s="2378">
        <v>15</v>
      </c>
      <c r="M101" s="2294">
        <f>スコア入力!P121</f>
        <v>3</v>
      </c>
      <c r="N101" s="2295">
        <f>IF(M101&gt;=5,$L101,IF(M101&gt;=4,$K101,$J101))</f>
        <v>0</v>
      </c>
      <c r="O101" s="2212" t="s">
        <v>881</v>
      </c>
      <c r="P101" s="1989"/>
      <c r="Q101" s="2291"/>
    </row>
    <row r="102" spans="2:27">
      <c r="B102" s="2289"/>
      <c r="C102" s="1448"/>
      <c r="D102" s="1448"/>
      <c r="E102" s="2296"/>
      <c r="F102" s="2296"/>
      <c r="G102" s="2297"/>
      <c r="H102" s="161"/>
      <c r="I102" s="161"/>
      <c r="J102" s="161"/>
      <c r="K102" s="161"/>
      <c r="L102" s="161"/>
      <c r="M102" s="161"/>
      <c r="N102" s="161"/>
      <c r="O102" s="2290"/>
      <c r="P102" s="1989"/>
      <c r="Q102" s="2291"/>
    </row>
    <row r="103" spans="2:27">
      <c r="B103" s="2262"/>
      <c r="C103" s="1448"/>
      <c r="D103" s="1448"/>
      <c r="E103" s="1457" t="s">
        <v>1450</v>
      </c>
      <c r="F103" s="2296"/>
      <c r="G103" s="2212"/>
      <c r="H103" s="2298"/>
      <c r="I103" s="2212"/>
      <c r="J103" s="1451" t="s">
        <v>190</v>
      </c>
      <c r="K103" s="1451" t="s">
        <v>191</v>
      </c>
      <c r="L103" s="1451" t="s">
        <v>192</v>
      </c>
      <c r="M103" s="1452" t="s">
        <v>193</v>
      </c>
      <c r="N103" s="1452" t="s">
        <v>1451</v>
      </c>
      <c r="O103" s="1454"/>
      <c r="P103" s="1989"/>
      <c r="Q103" s="2291"/>
    </row>
    <row r="104" spans="2:27">
      <c r="B104" s="2262"/>
      <c r="C104" s="1448"/>
      <c r="D104" s="1448"/>
      <c r="E104" s="1457"/>
      <c r="F104" s="1457" t="s">
        <v>1452</v>
      </c>
      <c r="G104" s="2212"/>
      <c r="H104" s="2212"/>
      <c r="I104" s="2212"/>
      <c r="J104" s="2299">
        <v>1</v>
      </c>
      <c r="K104" s="2300">
        <v>0.97499999999999998</v>
      </c>
      <c r="L104" s="2299">
        <v>0.95</v>
      </c>
      <c r="M104" s="2294">
        <f>スコア表示!M134</f>
        <v>3</v>
      </c>
      <c r="N104" s="2301">
        <f>IF(M104&gt;=5,$L104,IF(M104&gt;=4,$K104,$J104))</f>
        <v>1</v>
      </c>
      <c r="O104" s="1454"/>
      <c r="P104" s="1989"/>
      <c r="Q104" s="2291"/>
    </row>
    <row r="105" spans="2:27">
      <c r="B105" s="2262"/>
      <c r="C105" s="1448"/>
      <c r="D105" s="2212"/>
      <c r="E105" s="2212"/>
      <c r="F105" s="2212"/>
      <c r="G105" s="2212"/>
      <c r="H105" s="2212"/>
      <c r="I105" s="2212"/>
      <c r="J105" s="2212"/>
      <c r="K105" s="2212"/>
      <c r="L105" s="2212"/>
      <c r="M105" s="2212"/>
      <c r="N105" s="1445"/>
      <c r="O105" s="1454"/>
      <c r="P105" s="1454"/>
      <c r="Q105" s="1447"/>
    </row>
    <row r="106" spans="2:27">
      <c r="B106" s="2262"/>
      <c r="C106" s="1448"/>
      <c r="D106" s="2212"/>
      <c r="E106" s="2215" t="s">
        <v>1453</v>
      </c>
      <c r="F106" s="2212"/>
      <c r="G106" s="2302"/>
      <c r="H106" s="2212"/>
      <c r="I106" s="2212"/>
      <c r="J106" s="2212"/>
      <c r="K106" s="2212"/>
      <c r="L106" s="2212"/>
      <c r="M106" s="2212"/>
      <c r="N106" s="2212" t="s">
        <v>112</v>
      </c>
      <c r="O106" s="2212"/>
      <c r="P106" s="2212"/>
      <c r="Q106" s="2263" t="s">
        <v>185</v>
      </c>
    </row>
    <row r="107" spans="2:27">
      <c r="B107" s="2262"/>
      <c r="C107" s="1448"/>
      <c r="D107" s="2212"/>
      <c r="E107" s="2212"/>
      <c r="F107" s="2212"/>
      <c r="G107" s="2302"/>
      <c r="H107" s="2212"/>
      <c r="I107" s="2212"/>
      <c r="J107" s="2212"/>
      <c r="K107" s="2212"/>
      <c r="L107" s="2212"/>
      <c r="M107" s="2212"/>
      <c r="N107" s="1445" t="s">
        <v>1392</v>
      </c>
      <c r="O107" s="1454"/>
      <c r="P107" s="1454"/>
      <c r="Q107" s="1447" t="s">
        <v>1392</v>
      </c>
    </row>
    <row r="108" spans="2:27">
      <c r="B108" s="2262"/>
      <c r="C108" s="1448"/>
      <c r="D108" s="2212"/>
      <c r="E108" s="1456"/>
      <c r="F108" s="2212" t="s">
        <v>1285</v>
      </c>
      <c r="G108" s="2302"/>
      <c r="H108" s="2212"/>
      <c r="I108" s="2212"/>
      <c r="J108" s="2219" t="s">
        <v>1454</v>
      </c>
      <c r="K108" s="2219" t="s">
        <v>112</v>
      </c>
      <c r="L108" s="2219" t="s">
        <v>185</v>
      </c>
      <c r="M108" s="2219"/>
      <c r="N108" s="2269">
        <f>IF(N29=0,0,IF(N61=T59,IF(N42=0,"-",N42),J110*K110/1000))</f>
        <v>0</v>
      </c>
      <c r="O108" s="2212"/>
      <c r="P108" s="2212"/>
      <c r="Q108" s="2270">
        <f>IF(N29=0,0,IF(N61=T59,(N39-N40)*1.1+N40,J110*L110/1000))</f>
        <v>0</v>
      </c>
      <c r="S108" s="1986"/>
    </row>
    <row r="109" spans="2:27">
      <c r="B109" s="2262"/>
      <c r="C109" s="1448"/>
      <c r="D109" s="2212"/>
      <c r="E109" s="1456"/>
      <c r="F109" s="2212"/>
      <c r="G109" s="2302"/>
      <c r="H109" s="2212"/>
      <c r="I109" s="2212"/>
      <c r="J109" s="2219" t="s">
        <v>1366</v>
      </c>
      <c r="K109" s="2303" t="s">
        <v>881</v>
      </c>
      <c r="L109" s="2303" t="s">
        <v>881</v>
      </c>
      <c r="M109" s="2219"/>
      <c r="N109" s="2304"/>
      <c r="O109" s="2212"/>
      <c r="P109" s="2212"/>
      <c r="Q109" s="2305"/>
    </row>
    <row r="110" spans="2:27">
      <c r="B110" s="2262"/>
      <c r="C110" s="1448"/>
      <c r="D110" s="2212"/>
      <c r="E110" s="1456"/>
      <c r="F110" s="2212"/>
      <c r="G110" s="161" t="s">
        <v>1455</v>
      </c>
      <c r="H110" s="2212"/>
      <c r="I110" s="2219"/>
      <c r="J110" s="2269">
        <f>N29</f>
        <v>0</v>
      </c>
      <c r="K110" s="2269" t="e">
        <f>CO2データ!I196</f>
        <v>#N/A</v>
      </c>
      <c r="L110" s="2269" t="e">
        <f>CO2データ!I197</f>
        <v>#N/A</v>
      </c>
      <c r="M110" s="2219"/>
      <c r="N110" s="1445"/>
      <c r="O110" s="1454"/>
      <c r="P110" s="1454"/>
      <c r="Q110" s="1447"/>
    </row>
    <row r="111" spans="2:27" ht="6.75" customHeight="1">
      <c r="B111" s="2262"/>
      <c r="C111" s="1448"/>
      <c r="D111" s="2212"/>
      <c r="E111" s="1456"/>
      <c r="F111" s="2212"/>
      <c r="G111" s="161"/>
      <c r="H111" s="2212"/>
      <c r="I111" s="2219"/>
      <c r="J111" s="2304"/>
      <c r="K111" s="2304"/>
      <c r="L111" s="2304"/>
      <c r="M111" s="2219"/>
      <c r="N111" s="1445"/>
      <c r="O111" s="1454"/>
      <c r="P111" s="1454"/>
      <c r="Q111" s="1447"/>
    </row>
    <row r="112" spans="2:27">
      <c r="B112" s="2262"/>
      <c r="C112" s="1448"/>
      <c r="D112" s="2212"/>
      <c r="E112" s="2212"/>
      <c r="F112" s="2212" t="s">
        <v>869</v>
      </c>
      <c r="G112" s="2302"/>
      <c r="H112" s="2212"/>
      <c r="I112" s="2212"/>
      <c r="J112" s="2212"/>
      <c r="K112" s="2212"/>
      <c r="L112" s="2264"/>
      <c r="M112" s="2212"/>
      <c r="N112" s="2269">
        <f>IF(M29=0,0,IF(M42=0,"-",M42))</f>
        <v>0</v>
      </c>
      <c r="O112" s="1454"/>
      <c r="P112" s="1989"/>
      <c r="Q112" s="2270">
        <f>IF(M29=0,0,M39)</f>
        <v>0</v>
      </c>
      <c r="S112" s="1986"/>
    </row>
    <row r="113" spans="2:17" ht="14.25" thickBot="1">
      <c r="B113" s="2252"/>
      <c r="C113" s="2253"/>
      <c r="D113" s="2253"/>
      <c r="E113" s="2253"/>
      <c r="F113" s="2253"/>
      <c r="G113" s="2253"/>
      <c r="H113" s="2253"/>
      <c r="I113" s="2253"/>
      <c r="J113" s="2253"/>
      <c r="K113" s="2253"/>
      <c r="L113" s="2253"/>
      <c r="M113" s="2253"/>
      <c r="N113" s="2253"/>
      <c r="O113" s="2253"/>
      <c r="P113" s="2253"/>
      <c r="Q113" s="2255"/>
    </row>
    <row r="114" spans="2:17">
      <c r="H114" s="1987"/>
    </row>
    <row r="115" spans="2:17"/>
    <row r="116" spans="2:17"/>
    <row r="117" spans="2:17"/>
    <row r="118" spans="2:17"/>
  </sheetData>
  <sheetProtection password="8D30" sheet="1" objects="1" scenarios="1"/>
  <mergeCells count="4">
    <mergeCell ref="E6:G6"/>
    <mergeCell ref="E24:G24"/>
    <mergeCell ref="E61:K63"/>
    <mergeCell ref="N61:P61"/>
  </mergeCells>
  <phoneticPr fontId="20"/>
  <conditionalFormatting sqref="N98">
    <cfRule type="expression" dxfId="44" priority="5" stopIfTrue="1">
      <formula>$J$52&gt;0</formula>
    </cfRule>
  </conditionalFormatting>
  <conditionalFormatting sqref="I39:I42">
    <cfRule type="expression" dxfId="43" priority="6" stopIfTrue="1">
      <formula>OR($I$29=0,$E$24=$S$28)</formula>
    </cfRule>
  </conditionalFormatting>
  <conditionalFormatting sqref="I25:I26">
    <cfRule type="expression" dxfId="42" priority="1">
      <formula>$I$29=0</formula>
    </cfRule>
    <cfRule type="expression" dxfId="41" priority="4" stopIfTrue="1">
      <formula>$E$24=$S$27</formula>
    </cfRule>
  </conditionalFormatting>
  <conditionalFormatting sqref="M39:M43">
    <cfRule type="expression" dxfId="40" priority="3">
      <formula>$M$14=0</formula>
    </cfRule>
  </conditionalFormatting>
  <conditionalFormatting sqref="N39:N43">
    <cfRule type="expression" dxfId="39" priority="2">
      <formula>$M$14=0</formula>
    </cfRule>
  </conditionalFormatting>
  <dataValidations count="8">
    <dataValidation type="list" allowBlank="1" showInputMessage="1" showErrorMessage="1" sqref="E6">
      <formula1>$S$3:$S$4</formula1>
    </dataValidation>
    <dataValidation type="list" allowBlank="1" showInputMessage="1" showErrorMessage="1" sqref="M6">
      <formula1>$T$5:$T$9</formula1>
    </dataValidation>
    <dataValidation type="list" allowBlank="1" showInputMessage="1" showErrorMessage="1" sqref="E24:G24">
      <formula1>$S$27:$S$28</formula1>
    </dataValidation>
    <dataValidation type="list" allowBlank="1" showInputMessage="1" showErrorMessage="1" sqref="N37">
      <formula1>$S$37:$S$41</formula1>
    </dataValidation>
    <dataValidation type="list" allowBlank="1" showInputMessage="1" showErrorMessage="1" sqref="K65">
      <formula1>$U$65:$U$67</formula1>
    </dataValidation>
    <dataValidation type="list" allowBlank="1" showInputMessage="1" showErrorMessage="1" sqref="F65">
      <formula1>$T$65:$T$68</formula1>
    </dataValidation>
    <dataValidation type="list" allowBlank="1" showInputMessage="1" sqref="N61">
      <formula1>$T$59:$T$61</formula1>
    </dataValidation>
    <dataValidation allowBlank="1" showInputMessage="1" sqref="N98"/>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FFFF"/>
    <pageSetUpPr fitToPage="1"/>
  </sheetPr>
  <dimension ref="A1:AC118"/>
  <sheetViews>
    <sheetView showGridLines="0" zoomScaleNormal="100" zoomScaleSheetLayoutView="100" workbookViewId="0">
      <selection activeCell="H27" sqref="H27"/>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201"/>
      <c r="C2" s="2202" t="s">
        <v>1347</v>
      </c>
      <c r="D2" s="2203"/>
      <c r="E2" s="2203"/>
      <c r="F2" s="2204"/>
      <c r="G2" s="2204"/>
      <c r="H2" s="2205"/>
      <c r="I2" s="2203"/>
      <c r="J2" s="2206"/>
      <c r="K2" s="2206"/>
      <c r="L2" s="2206"/>
      <c r="M2" s="2207" t="s">
        <v>837</v>
      </c>
      <c r="N2" s="2208" t="str">
        <f>メイン!C11</f>
        <v>旧ビル</v>
      </c>
      <c r="O2" s="2208"/>
      <c r="P2" s="2209"/>
      <c r="Q2" s="2210"/>
    </row>
    <row r="3" spans="2:29">
      <c r="B3" s="2211"/>
      <c r="C3" s="2212"/>
      <c r="D3" s="2212"/>
      <c r="E3" s="2212"/>
      <c r="F3" s="2212"/>
      <c r="G3" s="2212"/>
      <c r="H3" s="2212"/>
      <c r="I3" s="2212"/>
      <c r="J3" s="2212"/>
      <c r="K3" s="2212"/>
      <c r="L3" s="2212"/>
      <c r="M3" s="2212"/>
      <c r="N3" s="2212"/>
      <c r="O3" s="2212"/>
      <c r="P3" s="2212"/>
      <c r="Q3" s="2213"/>
      <c r="S3" t="s">
        <v>1348</v>
      </c>
      <c r="U3" s="2214" t="s">
        <v>1349</v>
      </c>
      <c r="V3" s="2172">
        <f>IF($I$6&lt;=W9,V10,IF($I$6&lt;=W8,V9,IF($I$6&lt;=W7,V8,IF($I$6&lt;=W6,V7,1))))</f>
        <v>5</v>
      </c>
      <c r="X3">
        <f>VLOOKUP($V$3,V6:Y10,3)</f>
        <v>-10.000000000000002</v>
      </c>
      <c r="Y3">
        <f>VLOOKUP($V$3,V6:Y10,4)</f>
        <v>13.000000000000002</v>
      </c>
      <c r="Z3" s="2172">
        <f>IF($I$6&lt;=AA9,Z10,IF($I$6&lt;=AA8,Z9,IF($I$6&lt;=AA7,Z8,IF($I$6&lt;=AA6,Z7,1))))</f>
        <v>5</v>
      </c>
      <c r="AB3">
        <f>VLOOKUP($Z$3,Z6:AC10,3)</f>
        <v>-12.499999999999989</v>
      </c>
      <c r="AC3">
        <f>VLOOKUP($Z$3,Z6:AC10,4)</f>
        <v>15.624999999999991</v>
      </c>
    </row>
    <row r="4" spans="2:29">
      <c r="B4" s="2211"/>
      <c r="C4" s="2212"/>
      <c r="D4" s="2212"/>
      <c r="E4" s="2212"/>
      <c r="F4" s="2212"/>
      <c r="G4" s="2212"/>
      <c r="H4" s="2212"/>
      <c r="I4" s="2215" t="s">
        <v>1350</v>
      </c>
      <c r="J4" s="2212"/>
      <c r="K4" s="2212"/>
      <c r="L4" s="2212"/>
      <c r="M4" s="2215" t="s">
        <v>1351</v>
      </c>
      <c r="N4" s="2212"/>
      <c r="O4" s="2212"/>
      <c r="P4" s="2212"/>
      <c r="Q4" s="2213"/>
      <c r="S4" t="s">
        <v>1352</v>
      </c>
      <c r="U4" s="2214" t="s">
        <v>1353</v>
      </c>
      <c r="V4" s="2172">
        <f>IF($I$6&lt;=W16,V16,IF($I$6&lt;=W15,V15,IF($I$6&lt;=W14,V14,1)))</f>
        <v>4</v>
      </c>
      <c r="Z4" s="2172">
        <f>IF($I$6&lt;=AA16,Z16,IF($I$6&lt;=AA15,Z15,IF($I$6&lt;=AA14,Z14,IF($I$6&lt;=AA13,Z13,1))))</f>
        <v>4</v>
      </c>
    </row>
    <row r="5" spans="2:29" ht="14.25" thickBot="1">
      <c r="B5" s="2211"/>
      <c r="C5" s="2216" t="s">
        <v>1354</v>
      </c>
      <c r="D5" s="2215" t="s">
        <v>1355</v>
      </c>
      <c r="E5" s="2212"/>
      <c r="F5" s="2212"/>
      <c r="G5" s="2212"/>
      <c r="H5" s="2212"/>
      <c r="I5" s="2212"/>
      <c r="J5" s="2212"/>
      <c r="K5" s="2212"/>
      <c r="L5" s="2212"/>
      <c r="M5" s="2212"/>
      <c r="N5" s="2212"/>
      <c r="O5" s="2212"/>
      <c r="P5" s="2212"/>
      <c r="Q5" s="2213"/>
      <c r="T5" t="s">
        <v>865</v>
      </c>
      <c r="U5" t="s">
        <v>1356</v>
      </c>
      <c r="V5" s="1" t="s">
        <v>1357</v>
      </c>
      <c r="W5" s="1" t="s">
        <v>1358</v>
      </c>
      <c r="X5" t="s">
        <v>1172</v>
      </c>
      <c r="Y5" t="s">
        <v>1173</v>
      </c>
      <c r="Z5" s="1" t="s">
        <v>1357</v>
      </c>
      <c r="AA5" s="1" t="s">
        <v>1838</v>
      </c>
      <c r="AB5" t="s">
        <v>1172</v>
      </c>
      <c r="AC5" t="s">
        <v>1173</v>
      </c>
    </row>
    <row r="6" spans="2:29" ht="14.25" thickBot="1">
      <c r="B6" s="2211"/>
      <c r="C6" s="2212"/>
      <c r="D6" s="2215"/>
      <c r="E6" s="2735" t="s">
        <v>1348</v>
      </c>
      <c r="F6" s="2736"/>
      <c r="G6" s="2737"/>
      <c r="H6" s="2217" t="str">
        <f>IF(E6=S3,U3,U4)</f>
        <v>BPI=</v>
      </c>
      <c r="I6" s="2218">
        <v>0.9</v>
      </c>
      <c r="J6" s="2212"/>
      <c r="K6" s="2212"/>
      <c r="L6" s="2219" t="s">
        <v>1359</v>
      </c>
      <c r="M6" s="2220" t="s">
        <v>865</v>
      </c>
      <c r="N6" s="2212"/>
      <c r="O6" s="2212"/>
      <c r="P6" s="2212"/>
      <c r="Q6" s="2213"/>
      <c r="T6" t="s">
        <v>235</v>
      </c>
      <c r="V6" s="1">
        <v>1</v>
      </c>
      <c r="W6" s="1">
        <v>1.03</v>
      </c>
      <c r="X6" s="2172">
        <v>0</v>
      </c>
      <c r="Y6" s="2172">
        <v>1</v>
      </c>
      <c r="Z6" s="1">
        <v>1</v>
      </c>
      <c r="AA6" s="1">
        <v>1.03</v>
      </c>
      <c r="AB6" s="2172">
        <v>0</v>
      </c>
      <c r="AC6" s="2172">
        <v>1</v>
      </c>
    </row>
    <row r="7" spans="2:29" ht="5.25" customHeight="1">
      <c r="B7" s="2211"/>
      <c r="C7" s="2212"/>
      <c r="D7" s="2212"/>
      <c r="E7" s="2212"/>
      <c r="F7" s="2212"/>
      <c r="G7" s="2212"/>
      <c r="H7" s="2212"/>
      <c r="I7" s="2212"/>
      <c r="J7" s="2212"/>
      <c r="K7" s="2212"/>
      <c r="L7" s="2212"/>
      <c r="M7" s="2212"/>
      <c r="N7" s="2212"/>
      <c r="O7" s="2212"/>
      <c r="P7" s="2212"/>
      <c r="Q7" s="2213"/>
      <c r="T7" t="s">
        <v>236</v>
      </c>
      <c r="V7" s="1">
        <v>2</v>
      </c>
      <c r="W7" s="1">
        <v>1</v>
      </c>
      <c r="X7">
        <f>(V7-V6)/(W7-W6)</f>
        <v>-33.333333333333307</v>
      </c>
      <c r="Y7">
        <f>V7-X7*W7</f>
        <v>35.333333333333307</v>
      </c>
      <c r="Z7" s="1">
        <v>2</v>
      </c>
      <c r="AA7" s="1">
        <v>1</v>
      </c>
      <c r="AB7">
        <f>(Z7-Z6)/(AA7-AA6)</f>
        <v>-33.333333333333307</v>
      </c>
      <c r="AC7">
        <f>Z7-AB7*AA7</f>
        <v>35.333333333333307</v>
      </c>
    </row>
    <row r="8" spans="2:29">
      <c r="B8" s="2211"/>
      <c r="C8" s="2212"/>
      <c r="D8" s="2212"/>
      <c r="E8" s="2212"/>
      <c r="F8" s="2212"/>
      <c r="G8" s="2212"/>
      <c r="H8" s="2212"/>
      <c r="I8" s="2221" t="str">
        <f>W5</f>
        <v>1～7地域</v>
      </c>
      <c r="J8" s="2221" t="str">
        <f>AA5</f>
        <v>８地域</v>
      </c>
      <c r="K8" s="2212"/>
      <c r="L8" s="2212"/>
      <c r="M8" s="2212"/>
      <c r="N8" s="2212"/>
      <c r="O8" s="2212"/>
      <c r="P8" s="2212"/>
      <c r="Q8" s="2213"/>
      <c r="T8" t="s">
        <v>237</v>
      </c>
      <c r="V8" s="1">
        <v>3</v>
      </c>
      <c r="W8" s="1">
        <v>0.97</v>
      </c>
      <c r="X8">
        <f>(V8-V7)/(W8-W7)</f>
        <v>-33.333333333333307</v>
      </c>
      <c r="Y8">
        <f>V8-X8*W8</f>
        <v>35.333333333333307</v>
      </c>
      <c r="Z8" s="1">
        <v>3</v>
      </c>
      <c r="AA8" s="1">
        <v>0.97</v>
      </c>
      <c r="AB8">
        <f>(Z8-Z7)/(AA8-AA7)</f>
        <v>-33.333333333333307</v>
      </c>
      <c r="AC8">
        <f>Z8-AB8*AA8</f>
        <v>35.333333333333307</v>
      </c>
    </row>
    <row r="9" spans="2:29">
      <c r="B9" s="2211"/>
      <c r="C9" s="2212"/>
      <c r="D9" s="2212"/>
      <c r="E9" s="2212"/>
      <c r="F9" s="2212" t="s">
        <v>1357</v>
      </c>
      <c r="G9" s="2212"/>
      <c r="H9" s="2219" t="s">
        <v>1360</v>
      </c>
      <c r="I9" s="2222">
        <f>IF(I6&lt;=0.8,5,I6*X3+Y3)</f>
        <v>4</v>
      </c>
      <c r="J9" s="2222">
        <f>IF(I6&lt;=0.85,5,I6*AB3+AC3)</f>
        <v>4.375</v>
      </c>
      <c r="K9" s="2212"/>
      <c r="L9" s="2212"/>
      <c r="M9" s="2212"/>
      <c r="N9" s="2212"/>
      <c r="O9" s="2212"/>
      <c r="P9" s="2212"/>
      <c r="Q9" s="2213"/>
      <c r="T9" t="s">
        <v>238</v>
      </c>
      <c r="V9" s="1">
        <v>4</v>
      </c>
      <c r="W9" s="1">
        <v>0.9</v>
      </c>
      <c r="X9">
        <f>(V9-V8)/(W9-W8)</f>
        <v>-14.285714285714295</v>
      </c>
      <c r="Y9">
        <f>V9-X9*W9</f>
        <v>16.857142857142868</v>
      </c>
      <c r="Z9" s="1">
        <v>4</v>
      </c>
      <c r="AA9" s="1">
        <v>0.93</v>
      </c>
      <c r="AB9">
        <f>(Z9-Z8)/(AA9-AA8)</f>
        <v>-25.000000000000046</v>
      </c>
      <c r="AC9">
        <f>Z9-AB9*AA9</f>
        <v>27.250000000000043</v>
      </c>
    </row>
    <row r="10" spans="2:29">
      <c r="B10" s="2211"/>
      <c r="C10" s="2212"/>
      <c r="D10" s="2212"/>
      <c r="E10" s="2212"/>
      <c r="F10" s="2212"/>
      <c r="G10" s="2212"/>
      <c r="H10" s="2219" t="s">
        <v>1361</v>
      </c>
      <c r="I10" s="2222">
        <f>V4</f>
        <v>4</v>
      </c>
      <c r="J10" s="2222">
        <f>Z4</f>
        <v>4</v>
      </c>
      <c r="K10" s="2212"/>
      <c r="L10" s="2212"/>
      <c r="M10" s="2212"/>
      <c r="N10" s="2212"/>
      <c r="O10" s="2212"/>
      <c r="P10" s="2212"/>
      <c r="Q10" s="2213"/>
      <c r="T10" t="s">
        <v>864</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11"/>
      <c r="C11" s="2212"/>
      <c r="D11" s="2212"/>
      <c r="E11" s="2212"/>
      <c r="F11" s="2212"/>
      <c r="G11" s="2212"/>
      <c r="H11" s="2219"/>
      <c r="I11" s="2223"/>
      <c r="J11" s="2223"/>
      <c r="K11" s="2212"/>
      <c r="L11" s="2212"/>
      <c r="M11" s="2224"/>
      <c r="N11" s="2212"/>
      <c r="O11" s="2212"/>
      <c r="P11" s="2212"/>
      <c r="Q11" s="2213"/>
    </row>
    <row r="12" spans="2:29" ht="14.25" thickBot="1">
      <c r="B12" s="2211"/>
      <c r="C12" s="2212"/>
      <c r="D12" s="2212"/>
      <c r="E12" s="2215"/>
      <c r="F12" s="2212" t="s">
        <v>1362</v>
      </c>
      <c r="G12" s="2221">
        <f>メイン!H13</f>
        <v>0</v>
      </c>
      <c r="H12" s="2212"/>
      <c r="I12" s="2225">
        <f>IF(I6="",0,IF(E6=S3,IF(G12=AA5,J9,I9),IF(G12=AA5,J10,I10)))</f>
        <v>4</v>
      </c>
      <c r="J12" s="2212"/>
      <c r="K12" s="2212"/>
      <c r="L12" s="2212"/>
      <c r="M12" s="2225">
        <f>IF(M6="",$T10,IF(M6=T9,5,IF(M6=T8,3,IF(M6=T7,2,1))))</f>
        <v>1</v>
      </c>
      <c r="N12" s="2212"/>
      <c r="O12" s="2212"/>
      <c r="P12" s="2212"/>
      <c r="Q12" s="2213"/>
      <c r="U12" t="s">
        <v>1363</v>
      </c>
      <c r="V12" s="1" t="s">
        <v>1357</v>
      </c>
      <c r="W12" s="1" t="s">
        <v>1358</v>
      </c>
      <c r="Z12" s="1" t="s">
        <v>1357</v>
      </c>
      <c r="AA12" s="1" t="s">
        <v>1838</v>
      </c>
    </row>
    <row r="13" spans="2:29" ht="6.75" customHeight="1">
      <c r="B13" s="2211"/>
      <c r="C13" s="2212"/>
      <c r="D13" s="2212"/>
      <c r="E13" s="2215"/>
      <c r="F13" s="2212"/>
      <c r="G13" s="2212"/>
      <c r="H13" s="2212"/>
      <c r="I13" s="2212"/>
      <c r="J13" s="2212"/>
      <c r="K13" s="2212"/>
      <c r="L13" s="2212"/>
      <c r="M13" s="2212"/>
      <c r="N13" s="2212"/>
      <c r="O13" s="2212"/>
      <c r="P13" s="2212"/>
      <c r="Q13" s="2213"/>
      <c r="V13" s="1">
        <v>1</v>
      </c>
      <c r="W13" s="1"/>
      <c r="Z13" s="1">
        <v>1</v>
      </c>
      <c r="AA13" s="1"/>
    </row>
    <row r="14" spans="2:29">
      <c r="B14" s="2211"/>
      <c r="C14" s="2212"/>
      <c r="D14" s="2212"/>
      <c r="E14" s="2215"/>
      <c r="F14" s="2212"/>
      <c r="G14" s="2212"/>
      <c r="H14" s="2219" t="s">
        <v>1364</v>
      </c>
      <c r="I14" s="1974">
        <f>H94-H91</f>
        <v>10000</v>
      </c>
      <c r="J14" s="2212" t="s">
        <v>1365</v>
      </c>
      <c r="K14" s="2212"/>
      <c r="L14" s="2212"/>
      <c r="M14" s="1974">
        <f>M29+N29</f>
        <v>0</v>
      </c>
      <c r="N14" s="2212" t="s">
        <v>1366</v>
      </c>
      <c r="O14" s="2212"/>
      <c r="P14" s="2212"/>
      <c r="Q14" s="2213"/>
      <c r="V14" s="1">
        <v>2</v>
      </c>
      <c r="W14" s="1">
        <v>1</v>
      </c>
      <c r="Z14" s="1">
        <v>2</v>
      </c>
      <c r="AA14" s="1">
        <v>1</v>
      </c>
    </row>
    <row r="15" spans="2:29">
      <c r="B15" s="2211"/>
      <c r="C15" s="2212"/>
      <c r="D15" s="2212"/>
      <c r="E15" s="2215"/>
      <c r="F15" s="2212"/>
      <c r="G15" s="2212"/>
      <c r="H15" s="2219" t="s">
        <v>1367</v>
      </c>
      <c r="I15" s="2226">
        <f>IF(I14+M14=0,0,I14/(I14+M14))</f>
        <v>1</v>
      </c>
      <c r="J15" s="2212"/>
      <c r="K15" s="2212"/>
      <c r="L15" s="2219"/>
      <c r="M15" s="2226">
        <f>IF(I14+M14=0,0,M14/(I14+M14))</f>
        <v>0</v>
      </c>
      <c r="N15" s="2212"/>
      <c r="O15" s="2212"/>
      <c r="P15" s="2212"/>
      <c r="Q15" s="2213"/>
      <c r="V15" s="1">
        <v>3</v>
      </c>
      <c r="W15" s="1">
        <v>0.97</v>
      </c>
      <c r="Z15" s="1">
        <v>3</v>
      </c>
      <c r="AA15" s="1">
        <v>0.97</v>
      </c>
    </row>
    <row r="16" spans="2:29" ht="4.5" customHeight="1" thickBot="1">
      <c r="B16" s="2211"/>
      <c r="C16" s="2212"/>
      <c r="D16" s="2212"/>
      <c r="E16" s="2215"/>
      <c r="F16" s="2212"/>
      <c r="G16" s="2212"/>
      <c r="H16" s="2212"/>
      <c r="I16" s="2212"/>
      <c r="J16" s="2212"/>
      <c r="K16" s="2212"/>
      <c r="L16" s="2212"/>
      <c r="M16" s="2212"/>
      <c r="N16" s="2212"/>
      <c r="O16" s="2212"/>
      <c r="P16" s="2212"/>
      <c r="Q16" s="2213"/>
      <c r="V16" s="1">
        <v>4</v>
      </c>
      <c r="W16" s="1">
        <v>0.9</v>
      </c>
      <c r="Z16" s="1">
        <v>4</v>
      </c>
      <c r="AA16" s="1">
        <v>0.93</v>
      </c>
    </row>
    <row r="17" spans="2:29" ht="14.25" thickBot="1">
      <c r="B17" s="2211"/>
      <c r="C17" s="2212"/>
      <c r="D17" s="2212"/>
      <c r="E17" s="2215" t="s">
        <v>1368</v>
      </c>
      <c r="F17" s="2212"/>
      <c r="G17" s="2212"/>
      <c r="H17" s="2219" t="s">
        <v>860</v>
      </c>
      <c r="I17" s="2227">
        <f>I12*I15+M12*M15</f>
        <v>4</v>
      </c>
      <c r="J17" s="2212"/>
      <c r="K17" s="2212"/>
      <c r="L17" s="2212"/>
      <c r="M17" s="2212"/>
      <c r="N17" s="2212"/>
      <c r="O17" s="2212"/>
      <c r="P17" s="2212"/>
      <c r="Q17" s="2213"/>
      <c r="V17" s="1">
        <v>5</v>
      </c>
      <c r="W17" s="1"/>
      <c r="Z17" s="1">
        <v>5</v>
      </c>
      <c r="AA17" s="1"/>
    </row>
    <row r="18" spans="2:29">
      <c r="B18" s="2211"/>
      <c r="C18" s="2212"/>
      <c r="D18" s="2212"/>
      <c r="E18" s="2212"/>
      <c r="F18" s="2212"/>
      <c r="G18" s="2212"/>
      <c r="H18" s="2212"/>
      <c r="I18" s="2212"/>
      <c r="J18" s="2212"/>
      <c r="K18" s="2212"/>
      <c r="L18" s="2212"/>
      <c r="M18" s="2212"/>
      <c r="N18" s="2212"/>
      <c r="O18" s="2212"/>
      <c r="P18" s="2212"/>
      <c r="Q18" s="2213"/>
    </row>
    <row r="19" spans="2:29" hidden="1">
      <c r="B19" s="2211"/>
      <c r="C19" s="2212"/>
      <c r="D19" s="2228"/>
      <c r="E19" s="2215" t="s">
        <v>1369</v>
      </c>
      <c r="F19" s="2212"/>
      <c r="G19" s="2212"/>
      <c r="H19" s="2212"/>
      <c r="I19" s="2221">
        <f>IF(G12=W20,W25,V25)</f>
        <v>14.999999999999996</v>
      </c>
      <c r="J19" s="2212" t="s">
        <v>1370</v>
      </c>
      <c r="K19" s="2212"/>
      <c r="L19" s="2212"/>
      <c r="M19" s="2212"/>
      <c r="N19" s="2212"/>
      <c r="O19" s="2212"/>
      <c r="P19" s="2212"/>
      <c r="Q19" s="2213"/>
      <c r="T19" t="s">
        <v>1371</v>
      </c>
      <c r="V19" s="2229">
        <f>(1-I6)*100</f>
        <v>9.9999999999999982</v>
      </c>
      <c r="Z19">
        <f>IF($I$19&gt;=AA25,Z25,IF($I$19&gt;=AA24,Z24,IF($I$19&gt;=AA23,Z23,IF($I$19&gt;=AA22,Z22,Z21))))</f>
        <v>4</v>
      </c>
      <c r="AB19">
        <f>VLOOKUP($Z$19,Z21:AC25,3)</f>
        <v>0.05</v>
      </c>
      <c r="AC19">
        <f>VLOOKUP($Z$19,Z21:AC25,4)</f>
        <v>3.25</v>
      </c>
    </row>
    <row r="20" spans="2:29" ht="6" hidden="1" customHeight="1" thickBot="1">
      <c r="B20" s="2211"/>
      <c r="C20" s="2212"/>
      <c r="D20" s="2228"/>
      <c r="E20" s="2212"/>
      <c r="F20" s="2212"/>
      <c r="G20" s="2212"/>
      <c r="H20" s="2212"/>
      <c r="I20" s="2212"/>
      <c r="J20" s="2212"/>
      <c r="K20" s="2212"/>
      <c r="L20" s="2212"/>
      <c r="M20" s="2212"/>
      <c r="N20" s="2212"/>
      <c r="O20" s="2212"/>
      <c r="P20" s="2212"/>
      <c r="Q20" s="2213"/>
      <c r="V20" s="1" t="s">
        <v>1358</v>
      </c>
      <c r="W20" s="1" t="s">
        <v>1344</v>
      </c>
      <c r="Z20" s="1" t="s">
        <v>1357</v>
      </c>
      <c r="AA20" s="1" t="s">
        <v>1372</v>
      </c>
      <c r="AB20" t="s">
        <v>1172</v>
      </c>
      <c r="AC20" t="s">
        <v>1173</v>
      </c>
    </row>
    <row r="21" spans="2:29" ht="14.25" hidden="1" thickBot="1">
      <c r="B21" s="2211"/>
      <c r="C21" s="2212"/>
      <c r="D21" s="2228"/>
      <c r="E21" s="2212"/>
      <c r="F21" s="2212"/>
      <c r="G21" s="2212"/>
      <c r="H21" s="2212"/>
      <c r="I21" s="2225">
        <f>IF(I19&gt;=35,5,I19*AB19+AC19)</f>
        <v>4</v>
      </c>
      <c r="J21" s="2212"/>
      <c r="K21" s="2212"/>
      <c r="L21" s="2212"/>
      <c r="M21" s="2212"/>
      <c r="N21" s="2212"/>
      <c r="O21" s="2212"/>
      <c r="P21" s="2212"/>
      <c r="Q21" s="2213"/>
      <c r="U21" s="1915" t="s">
        <v>1373</v>
      </c>
      <c r="V21" s="1">
        <f>2*V19</f>
        <v>19.999999999999996</v>
      </c>
      <c r="W21" s="2230">
        <f>2*V19</f>
        <v>19.999999999999996</v>
      </c>
      <c r="Z21" s="1">
        <v>1</v>
      </c>
      <c r="AA21" s="1">
        <v>-5</v>
      </c>
      <c r="AB21">
        <f>(Z22-Z21)/(AA22-AA21)</f>
        <v>0.2</v>
      </c>
      <c r="AC21">
        <f>Z22-AB21*AA22</f>
        <v>2</v>
      </c>
    </row>
    <row r="22" spans="2:29" ht="12" hidden="1" customHeight="1">
      <c r="B22" s="2211"/>
      <c r="C22" s="2212"/>
      <c r="D22" s="2212"/>
      <c r="E22" s="2212"/>
      <c r="F22" s="2212"/>
      <c r="G22" s="2212"/>
      <c r="H22" s="2212"/>
      <c r="I22" s="2212"/>
      <c r="J22" s="2212"/>
      <c r="K22" s="2212"/>
      <c r="L22" s="2212"/>
      <c r="M22" s="2212"/>
      <c r="N22" s="2212"/>
      <c r="O22" s="2212"/>
      <c r="P22" s="2212"/>
      <c r="Q22" s="2213"/>
      <c r="U22" s="1915" t="s">
        <v>1374</v>
      </c>
      <c r="V22" s="2230">
        <f>1.3*V19+1.7</f>
        <v>14.699999999999998</v>
      </c>
      <c r="W22" s="2198">
        <f>2*V19</f>
        <v>19.999999999999996</v>
      </c>
      <c r="Z22" s="1">
        <v>2</v>
      </c>
      <c r="AA22" s="1">
        <v>0</v>
      </c>
      <c r="AB22">
        <f>(Z23-Z22)/(AA23-AA22)</f>
        <v>0.2</v>
      </c>
      <c r="AC22">
        <f>Z23-AB22*AA23</f>
        <v>2</v>
      </c>
    </row>
    <row r="23" spans="2:29" ht="14.25" thickBot="1">
      <c r="B23" s="2211"/>
      <c r="C23" s="2216" t="s">
        <v>1375</v>
      </c>
      <c r="D23" s="2215" t="s">
        <v>1376</v>
      </c>
      <c r="E23" s="2212"/>
      <c r="F23" s="2212"/>
      <c r="G23" s="2212"/>
      <c r="H23" s="2212"/>
      <c r="I23" s="2212"/>
      <c r="J23" s="2212"/>
      <c r="K23" s="2212"/>
      <c r="L23" s="2212"/>
      <c r="M23" s="2212"/>
      <c r="N23" s="2212"/>
      <c r="O23" s="2212"/>
      <c r="P23" s="2212"/>
      <c r="Q23" s="2213"/>
      <c r="U23" s="1915" t="s">
        <v>1377</v>
      </c>
      <c r="V23" s="2198">
        <f>1.3*V19+1.7</f>
        <v>14.699999999999998</v>
      </c>
      <c r="W23" s="2230">
        <f>2.7*V19-5.2</f>
        <v>21.799999999999997</v>
      </c>
      <c r="Z23" s="1">
        <v>3</v>
      </c>
      <c r="AA23" s="1">
        <v>5</v>
      </c>
      <c r="AB23">
        <f>(Z24-Z23)/(AA24-AA23)</f>
        <v>0.1</v>
      </c>
      <c r="AC23">
        <f>Z24-AB23*AA24</f>
        <v>2.5</v>
      </c>
    </row>
    <row r="24" spans="2:29" ht="14.25" thickBot="1">
      <c r="B24" s="2211"/>
      <c r="C24" s="2216"/>
      <c r="D24" s="2215"/>
      <c r="E24" s="2735" t="s">
        <v>1378</v>
      </c>
      <c r="F24" s="2736"/>
      <c r="G24" s="2737"/>
      <c r="H24" s="2212"/>
      <c r="I24" s="2215" t="s">
        <v>1350</v>
      </c>
      <c r="J24" s="2212"/>
      <c r="K24" s="2212"/>
      <c r="L24" s="2212"/>
      <c r="M24" s="2215" t="s">
        <v>1286</v>
      </c>
      <c r="N24" s="2215" t="s">
        <v>1379</v>
      </c>
      <c r="O24" s="2212"/>
      <c r="P24" s="2212"/>
      <c r="Q24" s="2231"/>
      <c r="U24" s="1915" t="s">
        <v>1380</v>
      </c>
      <c r="V24" s="1">
        <f>2*V19-5</f>
        <v>14.999999999999996</v>
      </c>
      <c r="W24" s="2198">
        <f>2.7*V19-5.2</f>
        <v>21.799999999999997</v>
      </c>
      <c r="Z24" s="1">
        <v>4</v>
      </c>
      <c r="AA24" s="1">
        <v>15</v>
      </c>
      <c r="AB24">
        <f>(Z25-Z24)/(AA25-AA24)</f>
        <v>0.05</v>
      </c>
      <c r="AC24">
        <f>Z25-AB24*AA25</f>
        <v>3.25</v>
      </c>
    </row>
    <row r="25" spans="2:29" ht="14.25" thickBot="1">
      <c r="B25" s="2211"/>
      <c r="C25" s="2212"/>
      <c r="D25" s="2215"/>
      <c r="E25" s="2215"/>
      <c r="F25" s="2215"/>
      <c r="G25" s="2215"/>
      <c r="H25" s="2232" t="s">
        <v>1381</v>
      </c>
      <c r="I25" s="2218">
        <v>1</v>
      </c>
      <c r="J25" s="2212"/>
      <c r="K25" s="2212"/>
      <c r="L25" s="2232" t="s">
        <v>1382</v>
      </c>
      <c r="M25" s="2226" t="str">
        <f>M44</f>
        <v>-</v>
      </c>
      <c r="N25" s="2233">
        <f>IF(N39=0,0,(N41-N40)/(N39-N40))</f>
        <v>0</v>
      </c>
      <c r="O25" s="2212" t="s">
        <v>1383</v>
      </c>
      <c r="P25" s="2212"/>
      <c r="Q25" s="2213"/>
      <c r="V25">
        <f>IF($V$19&lt;2.5,V21,IF($V$19&lt;7.5,V22,IF($V$19&lt;10,V23,V24)))</f>
        <v>14.999999999999996</v>
      </c>
      <c r="W25">
        <f>IF($V$19&lt;2.5,W21,IF($V$19&lt;7.5,W22,IF($V$19&lt;10,W23,W24)))</f>
        <v>21.799999999999997</v>
      </c>
      <c r="Z25" s="1">
        <v>5</v>
      </c>
      <c r="AA25" s="1">
        <v>35</v>
      </c>
    </row>
    <row r="26" spans="2:29" ht="14.25" thickBot="1">
      <c r="B26" s="2211"/>
      <c r="C26" s="2212"/>
      <c r="D26" s="2215"/>
      <c r="E26" s="2212"/>
      <c r="F26" s="2215"/>
      <c r="G26" s="2212"/>
      <c r="H26" s="2232" t="s">
        <v>1384</v>
      </c>
      <c r="I26" s="2218">
        <v>0.9</v>
      </c>
      <c r="J26" s="2215"/>
      <c r="K26" s="2212"/>
      <c r="L26" s="2215"/>
      <c r="M26" s="2212"/>
      <c r="N26" s="2215"/>
      <c r="O26" s="2212"/>
      <c r="P26" s="2215"/>
      <c r="Q26" s="2213"/>
    </row>
    <row r="27" spans="2:29" ht="14.25" thickBot="1">
      <c r="B27" s="2211"/>
      <c r="C27" s="2212"/>
      <c r="D27" s="2215"/>
      <c r="E27" s="2215"/>
      <c r="F27" s="2212"/>
      <c r="G27" s="2212"/>
      <c r="H27" s="2212"/>
      <c r="I27" s="2225">
        <f>IF($I$25&lt;=W39,V39,IF($I$25&lt;=W38,V38,IF($I$25&lt;=W37,V37,V36)))</f>
        <v>3</v>
      </c>
      <c r="J27" s="2212"/>
      <c r="K27" s="2212"/>
      <c r="L27" s="2212"/>
      <c r="M27" s="2225">
        <f>IF(OR(M25=0,M25="-"),0,IF(M25&lt;=W40,5,IF(M25&gt;W36,1,M25*X42+Y42)))</f>
        <v>0</v>
      </c>
      <c r="N27" s="2225">
        <f>IF(N61=T59,IF(N25=0,0,IF(N25&lt;=AA40,5,IF(N25&gt;AA36,1,N25*AB27+AC27))),N61)</f>
        <v>0</v>
      </c>
      <c r="O27" s="2212"/>
      <c r="P27" s="2215"/>
      <c r="Q27" s="2213"/>
      <c r="S27" t="s">
        <v>1385</v>
      </c>
      <c r="V27" s="2234">
        <f>IF($I$44&lt;=W40,V40,IF($I$44&lt;=W39,V39,IF($I$44&lt;=W38,V38,IF($I$44&lt;=W37,V37,V36))))</f>
        <v>1</v>
      </c>
      <c r="X27">
        <f>VLOOKUP($V$27,V36:Y40,3)</f>
        <v>-19.999999999999982</v>
      </c>
      <c r="Y27">
        <f>VLOOKUP($V$27,V36:Y40,4)</f>
        <v>22.999999999999982</v>
      </c>
      <c r="Z27">
        <f>IF($N$25&lt;=AA40,Z40,IF($N$25&lt;=AA39,Z39,IF($N$25&lt;=AA38,Z38,IF($N$25&lt;=AA37,Z37))))</f>
        <v>5</v>
      </c>
      <c r="AB27">
        <f>VLOOKUP($Z$27,Z36:AC40,3)</f>
        <v>0</v>
      </c>
      <c r="AC27">
        <f>VLOOKUP($Z$27,Z36:AC40,4)</f>
        <v>0</v>
      </c>
    </row>
    <row r="28" spans="2:29">
      <c r="B28" s="2211"/>
      <c r="C28" s="2212"/>
      <c r="D28" s="2215"/>
      <c r="E28" s="2212"/>
      <c r="F28" s="2215"/>
      <c r="G28" s="2212"/>
      <c r="H28" s="2215"/>
      <c r="I28" s="2212"/>
      <c r="J28" s="2215"/>
      <c r="K28" s="2212"/>
      <c r="L28" s="2215"/>
      <c r="M28" s="2212"/>
      <c r="N28" s="2215"/>
      <c r="O28" s="2212"/>
      <c r="P28" s="2215"/>
      <c r="Q28" s="2213"/>
      <c r="S28" t="s">
        <v>1378</v>
      </c>
    </row>
    <row r="29" spans="2:29">
      <c r="B29" s="2211"/>
      <c r="C29" s="2212"/>
      <c r="D29" s="2215"/>
      <c r="E29" s="2215"/>
      <c r="F29" s="2215"/>
      <c r="G29" s="2212"/>
      <c r="H29" s="2219" t="s">
        <v>1364</v>
      </c>
      <c r="I29" s="1974">
        <f>H94</f>
        <v>10000</v>
      </c>
      <c r="J29" s="2212" t="s">
        <v>1366</v>
      </c>
      <c r="K29" s="2212"/>
      <c r="L29" s="2212"/>
      <c r="M29" s="1974">
        <f>メイン!E65</f>
        <v>0</v>
      </c>
      <c r="N29" s="1974">
        <f>メイン!E64</f>
        <v>0</v>
      </c>
      <c r="O29" s="2212"/>
      <c r="P29" s="2215"/>
      <c r="Q29" s="2213"/>
    </row>
    <row r="30" spans="2:29" ht="14.25" thickBot="1">
      <c r="B30" s="2211"/>
      <c r="C30" s="2212"/>
      <c r="D30" s="2215"/>
      <c r="E30" s="2212"/>
      <c r="F30" s="2215"/>
      <c r="G30" s="2212"/>
      <c r="H30" s="2215"/>
      <c r="I30" s="2212"/>
      <c r="J30" s="2215"/>
      <c r="K30" s="2212"/>
      <c r="L30" s="2215"/>
      <c r="M30" s="2212"/>
      <c r="N30" s="2215"/>
      <c r="O30" s="2212"/>
      <c r="P30" s="2215"/>
      <c r="Q30" s="2213"/>
    </row>
    <row r="31" spans="2:29" ht="14.25" thickBot="1">
      <c r="B31" s="2211"/>
      <c r="C31" s="2212"/>
      <c r="D31" s="2215"/>
      <c r="E31" s="2215" t="s">
        <v>1386</v>
      </c>
      <c r="F31" s="2215"/>
      <c r="G31" s="2212"/>
      <c r="H31" s="2215"/>
      <c r="I31" s="2225">
        <f>IF(AND(I25=0,I44="-"),0,IF(E24=S28,I27,IF(I44&lt;=W40,5,IF(I44&gt;W36,1,I44*X27+Y27))))</f>
        <v>3</v>
      </c>
      <c r="J31" s="2215"/>
      <c r="K31" s="2212"/>
      <c r="L31" s="2215"/>
      <c r="M31" s="2225">
        <f>IF(M29+N29=0,0,M27*M29/M14+N27*N29/M14)</f>
        <v>0</v>
      </c>
      <c r="N31" s="2215"/>
      <c r="O31" s="2212"/>
      <c r="P31" s="2215"/>
      <c r="Q31" s="2213"/>
    </row>
    <row r="32" spans="2:29" ht="14.25" hidden="1" thickBot="1">
      <c r="B32" s="2211"/>
      <c r="C32" s="2212"/>
      <c r="D32" s="2215"/>
      <c r="E32" s="2212" t="s">
        <v>1387</v>
      </c>
      <c r="F32" s="2215"/>
      <c r="G32" s="2212"/>
      <c r="H32" s="2212" t="s">
        <v>1388</v>
      </c>
      <c r="I32" s="2225"/>
      <c r="J32" s="2215"/>
      <c r="K32" s="2212"/>
      <c r="L32" s="2215"/>
      <c r="M32" s="2224"/>
      <c r="N32" s="2215"/>
      <c r="O32" s="2212"/>
      <c r="P32" s="2215"/>
      <c r="Q32" s="2213"/>
    </row>
    <row r="33" spans="2:29" ht="14.25" hidden="1" thickBot="1">
      <c r="B33" s="2211"/>
      <c r="C33" s="2212"/>
      <c r="D33" s="2215"/>
      <c r="E33" s="2212"/>
      <c r="F33" s="2215"/>
      <c r="G33" s="2212"/>
      <c r="H33" s="2212" t="s">
        <v>1389</v>
      </c>
      <c r="I33" s="2225">
        <f>I31</f>
        <v>3</v>
      </c>
      <c r="J33" s="2215"/>
      <c r="K33" s="2212"/>
      <c r="L33" s="2215"/>
      <c r="M33" s="2212"/>
      <c r="N33" s="2215"/>
      <c r="O33" s="2212"/>
      <c r="P33" s="2215"/>
      <c r="Q33" s="2213"/>
    </row>
    <row r="34" spans="2:29" ht="14.25" thickBot="1">
      <c r="B34" s="2211"/>
      <c r="C34" s="2212"/>
      <c r="D34" s="2215"/>
      <c r="E34" s="2212"/>
      <c r="F34" s="2215"/>
      <c r="G34" s="2212"/>
      <c r="H34" s="2215"/>
      <c r="I34" s="2227">
        <f>IF(I29=0,M31,I31*I29/($I$29+$M$29+$N$29)+M31*(M29+N29)/($I$29+$M$29+$N$29))</f>
        <v>3</v>
      </c>
      <c r="J34" s="2215"/>
      <c r="K34" s="2212"/>
      <c r="L34" s="2215"/>
      <c r="M34" s="2212"/>
      <c r="N34" s="2215"/>
      <c r="O34" s="2212"/>
      <c r="P34" s="2215"/>
      <c r="Q34" s="2213"/>
    </row>
    <row r="35" spans="2:29" hidden="1">
      <c r="B35" s="2211"/>
      <c r="C35" s="2212"/>
      <c r="D35" s="2215"/>
      <c r="E35" s="2212"/>
      <c r="F35" s="2215"/>
      <c r="G35" s="2212"/>
      <c r="H35" s="2215"/>
      <c r="I35" s="2212"/>
      <c r="J35" s="2215"/>
      <c r="K35" s="2212"/>
      <c r="L35" s="2215"/>
      <c r="M35" s="2212"/>
      <c r="N35" s="2215"/>
      <c r="O35" s="2212"/>
      <c r="P35" s="2215"/>
      <c r="Q35" s="2213"/>
      <c r="V35" s="1" t="s">
        <v>1357</v>
      </c>
      <c r="W35" s="1" t="s">
        <v>859</v>
      </c>
      <c r="X35" t="s">
        <v>1172</v>
      </c>
      <c r="Y35" t="s">
        <v>1173</v>
      </c>
      <c r="Z35" s="1" t="s">
        <v>1357</v>
      </c>
      <c r="AA35" s="1" t="s">
        <v>1285</v>
      </c>
      <c r="AB35" t="s">
        <v>1172</v>
      </c>
      <c r="AC35" t="s">
        <v>1173</v>
      </c>
    </row>
    <row r="36" spans="2:29" hidden="1">
      <c r="B36" s="2211"/>
      <c r="C36" s="2212"/>
      <c r="D36" s="2235"/>
      <c r="E36" s="2215" t="s">
        <v>1390</v>
      </c>
      <c r="F36" s="2215"/>
      <c r="G36" s="2215"/>
      <c r="H36" s="2215"/>
      <c r="I36" s="2236">
        <f>-100*I25+105</f>
        <v>5</v>
      </c>
      <c r="J36" s="2215" t="s">
        <v>1370</v>
      </c>
      <c r="K36" s="2212"/>
      <c r="L36" s="2215"/>
      <c r="M36" s="2236" t="e">
        <f>-100*M25+105</f>
        <v>#VALUE!</v>
      </c>
      <c r="N36" s="2215" t="s">
        <v>1370</v>
      </c>
      <c r="O36" s="2212"/>
      <c r="P36" s="2215"/>
      <c r="Q36" s="2213"/>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211"/>
      <c r="C37" s="2212"/>
      <c r="D37" s="2235"/>
      <c r="E37" s="2212"/>
      <c r="F37" s="2215"/>
      <c r="G37" s="2212"/>
      <c r="H37" s="2215"/>
      <c r="I37" s="2225">
        <f>IF(I25=0,"-",IF(I36&gt;=W50,5,I36*X44+Y44))</f>
        <v>3</v>
      </c>
      <c r="J37" s="2215"/>
      <c r="K37" s="2212"/>
      <c r="L37" s="2215"/>
      <c r="M37" s="2225" t="e">
        <f>IF(M25=0,"-",IF(M36&gt;=AA50,5,M36*AB44+AC44))</f>
        <v>#VALUE!</v>
      </c>
      <c r="N37" s="2237"/>
      <c r="O37" s="2212"/>
      <c r="P37" s="2215"/>
      <c r="Q37" s="2213"/>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11"/>
      <c r="C38" s="2212"/>
      <c r="D38" s="2215"/>
      <c r="E38" s="2212"/>
      <c r="F38" s="2215"/>
      <c r="G38" s="2212"/>
      <c r="H38" s="2215"/>
      <c r="I38" s="2212"/>
      <c r="J38" s="2215"/>
      <c r="K38" s="2212"/>
      <c r="L38" s="2215"/>
      <c r="M38" s="2212"/>
      <c r="N38" s="2215"/>
      <c r="O38" s="2212"/>
      <c r="P38" s="2215"/>
      <c r="Q38" s="2213"/>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11"/>
      <c r="C39" s="2212"/>
      <c r="D39" s="102" t="s">
        <v>1391</v>
      </c>
      <c r="E39" s="2212"/>
      <c r="F39" s="2212"/>
      <c r="G39" s="2212"/>
      <c r="H39" s="2212"/>
      <c r="I39" s="2238"/>
      <c r="J39" s="2212" t="s">
        <v>1392</v>
      </c>
      <c r="K39" s="2212"/>
      <c r="L39" s="2212"/>
      <c r="M39" s="2238"/>
      <c r="N39" s="2238"/>
      <c r="O39" s="2212" t="s">
        <v>1392</v>
      </c>
      <c r="P39" s="2212"/>
      <c r="Q39" s="2213"/>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11"/>
      <c r="C40" s="2212"/>
      <c r="D40" s="102"/>
      <c r="E40" s="2212" t="s">
        <v>1393</v>
      </c>
      <c r="F40" s="2212"/>
      <c r="G40" s="2212"/>
      <c r="H40" s="2212"/>
      <c r="I40" s="2239"/>
      <c r="J40" s="2212"/>
      <c r="K40" s="2212"/>
      <c r="L40" s="2212"/>
      <c r="M40" s="2239"/>
      <c r="N40" s="2240">
        <f>N52</f>
        <v>0</v>
      </c>
      <c r="O40" s="2212" t="s">
        <v>1394</v>
      </c>
      <c r="P40" s="2212"/>
      <c r="Q40" s="2213"/>
      <c r="S40">
        <v>4</v>
      </c>
      <c r="V40" s="1">
        <v>5</v>
      </c>
      <c r="W40" s="1">
        <v>0.7</v>
      </c>
      <c r="Z40" s="1">
        <v>5</v>
      </c>
      <c r="AA40" s="1">
        <v>0.9</v>
      </c>
    </row>
    <row r="41" spans="2:29">
      <c r="B41" s="2211"/>
      <c r="C41" s="2212"/>
      <c r="D41" s="102" t="s">
        <v>1395</v>
      </c>
      <c r="E41" s="2212"/>
      <c r="F41" s="2212"/>
      <c r="G41" s="2212"/>
      <c r="H41" s="2212"/>
      <c r="I41" s="2241"/>
      <c r="J41" s="2212"/>
      <c r="K41" s="2212"/>
      <c r="L41" s="2212"/>
      <c r="M41" s="2241"/>
      <c r="N41" s="2241"/>
      <c r="O41" s="2212"/>
      <c r="P41" s="2212"/>
      <c r="Q41" s="2213"/>
      <c r="S41">
        <v>5</v>
      </c>
    </row>
    <row r="42" spans="2:29">
      <c r="B42" s="2211"/>
      <c r="C42" s="2212"/>
      <c r="D42" s="102" t="s">
        <v>1396</v>
      </c>
      <c r="E42" s="2212"/>
      <c r="F42" s="2212"/>
      <c r="G42" s="2212"/>
      <c r="H42" s="2212"/>
      <c r="I42" s="2241"/>
      <c r="J42" s="2212"/>
      <c r="K42" s="2212"/>
      <c r="L42" s="2212"/>
      <c r="M42" s="2241"/>
      <c r="N42" s="2241"/>
      <c r="O42" s="2212"/>
      <c r="P42" s="2212"/>
      <c r="Q42" s="2213"/>
      <c r="U42" t="s">
        <v>869</v>
      </c>
      <c r="V42">
        <f>IF($M$25&lt;=W40,V40,IF($M$25&lt;=W39,V39,IF($M$25&lt;=W38,V38,IF($M$25&lt;=W37,V37,V36))))</f>
        <v>1</v>
      </c>
      <c r="X42">
        <f>VLOOKUP($V$42,V36:Y40,3)</f>
        <v>-19.999999999999982</v>
      </c>
      <c r="Y42">
        <f>VLOOKUP($V$42,V36:Y40,4)</f>
        <v>22.999999999999982</v>
      </c>
    </row>
    <row r="43" spans="2:29" ht="14.25" thickBot="1">
      <c r="B43" s="2211"/>
      <c r="C43" s="2212"/>
      <c r="D43" s="102" t="s">
        <v>1397</v>
      </c>
      <c r="E43" s="2212"/>
      <c r="F43" s="2212"/>
      <c r="G43" s="2212"/>
      <c r="H43" s="2212"/>
      <c r="I43" s="2242"/>
      <c r="J43" s="2212" t="s">
        <v>1392</v>
      </c>
      <c r="K43" s="2212"/>
      <c r="L43" s="2212"/>
      <c r="M43" s="2242"/>
      <c r="N43" s="2242"/>
      <c r="O43" s="2212" t="s">
        <v>1392</v>
      </c>
      <c r="P43" s="2212"/>
      <c r="Q43" s="2213"/>
    </row>
    <row r="44" spans="2:29">
      <c r="B44" s="2211"/>
      <c r="C44" s="2212"/>
      <c r="D44" s="2212"/>
      <c r="E44" s="2243"/>
      <c r="F44" s="2212"/>
      <c r="G44" s="2212"/>
      <c r="H44" s="1441" t="s">
        <v>1398</v>
      </c>
      <c r="I44" s="2244" t="str">
        <f>IF(I41=0,"-",ROUND(I41/I39,5))</f>
        <v>-</v>
      </c>
      <c r="J44" s="2212"/>
      <c r="K44" s="2212"/>
      <c r="L44" s="2212"/>
      <c r="M44" s="2244" t="str">
        <f>IF(M41=0,"-",ROUND(M41/M39,5))</f>
        <v>-</v>
      </c>
      <c r="N44" s="2212"/>
      <c r="O44" s="2212"/>
      <c r="P44" s="2212"/>
      <c r="Q44" s="2213"/>
      <c r="V44">
        <f>IF($I$36&gt;=W50,V50,IF($I$36&gt;=W49,V49,IF($I$36&gt;=W48,V48,IF($I$36&gt;=W47,V47,V46))))</f>
        <v>3</v>
      </c>
      <c r="X44">
        <f>VLOOKUP($V$44,V46:Y50,3)</f>
        <v>0.1</v>
      </c>
      <c r="Y44">
        <f>VLOOKUP($V$44,V46:Y50,4)</f>
        <v>2.5</v>
      </c>
      <c r="Z44" t="e">
        <f>IF($M$36&gt;=AA50,Z50,IF($M$36&gt;=AA49,Z49,IF($M$36&gt;=AA48,Z48,IF($M$36&gt;=AA47,Z47,Z46))))</f>
        <v>#VALUE!</v>
      </c>
      <c r="AB44">
        <f>VLOOKUP($Z$19,Z46:AC50,3)</f>
        <v>0.05</v>
      </c>
      <c r="AC44">
        <f>VLOOKUP($Z$19,Z46:AC50,4)</f>
        <v>3.25</v>
      </c>
    </row>
    <row r="45" spans="2:29">
      <c r="B45" s="2211"/>
      <c r="C45" s="2212"/>
      <c r="D45" s="2212"/>
      <c r="E45" s="2243"/>
      <c r="F45" s="2212"/>
      <c r="G45" s="2212"/>
      <c r="H45" s="1441" t="s">
        <v>1399</v>
      </c>
      <c r="I45" s="2244" t="str">
        <f>IF(I42=0,"-",ROUND(I42/I39,5))</f>
        <v>-</v>
      </c>
      <c r="J45" s="2212"/>
      <c r="K45" s="2212"/>
      <c r="L45" s="2212"/>
      <c r="M45" s="2244" t="str">
        <f>IF(M42=0,"-",ROUND(M42/M39,5))</f>
        <v>-</v>
      </c>
      <c r="N45" s="2212"/>
      <c r="O45" s="2212"/>
      <c r="P45" s="2212"/>
      <c r="Q45" s="2213"/>
      <c r="T45" t="s">
        <v>1400</v>
      </c>
      <c r="V45" s="1" t="s">
        <v>1357</v>
      </c>
      <c r="W45" s="1" t="s">
        <v>859</v>
      </c>
      <c r="X45" t="s">
        <v>1172</v>
      </c>
      <c r="Y45" t="s">
        <v>1173</v>
      </c>
      <c r="Z45" s="1" t="s">
        <v>1357</v>
      </c>
      <c r="AA45" s="1" t="s">
        <v>1286</v>
      </c>
      <c r="AB45" t="s">
        <v>1172</v>
      </c>
      <c r="AC45" t="s">
        <v>1173</v>
      </c>
    </row>
    <row r="46" spans="2:29">
      <c r="B46" s="2211"/>
      <c r="C46" s="2212"/>
      <c r="D46" s="2212"/>
      <c r="E46" s="2212" t="s">
        <v>1401</v>
      </c>
      <c r="F46" s="2212"/>
      <c r="G46" s="2212"/>
      <c r="H46" s="2212"/>
      <c r="I46" s="2212"/>
      <c r="J46" s="2212"/>
      <c r="K46" s="2212"/>
      <c r="L46" s="2212"/>
      <c r="M46" s="2212"/>
      <c r="N46" s="2212"/>
      <c r="O46" s="2215"/>
      <c r="P46" s="2212"/>
      <c r="Q46" s="2213"/>
      <c r="V46" s="1">
        <v>1</v>
      </c>
      <c r="W46" s="1">
        <v>-5</v>
      </c>
      <c r="X46">
        <f>(V47-V46)/(W47-W46)</f>
        <v>0.2</v>
      </c>
      <c r="Y46">
        <f>V47-X46*W47</f>
        <v>2</v>
      </c>
      <c r="Z46" s="1">
        <v>1</v>
      </c>
      <c r="AA46" s="1">
        <v>-5</v>
      </c>
      <c r="AB46">
        <f>(Z47-Z46)/(AA47-AA46)</f>
        <v>0.2</v>
      </c>
      <c r="AC46">
        <f>Z47-AB46*AA47</f>
        <v>2</v>
      </c>
    </row>
    <row r="47" spans="2:29">
      <c r="B47" s="2211"/>
      <c r="C47" s="2212"/>
      <c r="D47" s="2212"/>
      <c r="E47" s="2212" t="s">
        <v>1402</v>
      </c>
      <c r="F47" s="2215"/>
      <c r="G47" s="2215"/>
      <c r="H47" s="2215"/>
      <c r="I47" s="2215"/>
      <c r="J47" s="2215"/>
      <c r="K47" s="2215"/>
      <c r="L47" s="2215"/>
      <c r="M47" s="2215"/>
      <c r="N47" s="2215"/>
      <c r="O47" s="2215"/>
      <c r="P47" s="2212"/>
      <c r="Q47" s="2213"/>
      <c r="V47" s="1">
        <v>2</v>
      </c>
      <c r="W47" s="1">
        <v>0</v>
      </c>
      <c r="X47">
        <f>(V48-V47)/(W48-W47)</f>
        <v>0.2</v>
      </c>
      <c r="Y47">
        <f>V48-X47*W48</f>
        <v>2</v>
      </c>
      <c r="Z47" s="1">
        <v>2</v>
      </c>
      <c r="AA47" s="1">
        <v>0</v>
      </c>
      <c r="AB47">
        <f>(Z48-Z47)/(AA48-AA47)</f>
        <v>0.2</v>
      </c>
      <c r="AC47">
        <f>Z48-AB47*AA48</f>
        <v>2</v>
      </c>
    </row>
    <row r="48" spans="2:29">
      <c r="B48" s="2211"/>
      <c r="C48" s="2212"/>
      <c r="D48" s="2212"/>
      <c r="E48" s="2212"/>
      <c r="F48" s="2212"/>
      <c r="G48" s="2212"/>
      <c r="H48" s="2212"/>
      <c r="I48" s="2212"/>
      <c r="J48" s="2212"/>
      <c r="K48" s="2212"/>
      <c r="L48" s="2212"/>
      <c r="M48" s="2215"/>
      <c r="N48" s="2215"/>
      <c r="O48" s="2215"/>
      <c r="P48" s="2212"/>
      <c r="Q48" s="2213"/>
      <c r="V48" s="1">
        <v>3</v>
      </c>
      <c r="W48" s="1">
        <v>5</v>
      </c>
      <c r="X48">
        <f>(V49-V48)/(W49-W48)</f>
        <v>0.1</v>
      </c>
      <c r="Y48">
        <f>V49-X48*W49</f>
        <v>2.5</v>
      </c>
      <c r="Z48" s="1">
        <v>3</v>
      </c>
      <c r="AA48" s="1">
        <v>5</v>
      </c>
      <c r="AB48">
        <f>(Z49-Z48)/(AA49-AA48)</f>
        <v>0.1</v>
      </c>
      <c r="AC48">
        <f>Z49-AB48*AA49</f>
        <v>2.5</v>
      </c>
    </row>
    <row r="49" spans="2:29">
      <c r="B49" s="2211"/>
      <c r="C49" s="2212"/>
      <c r="D49" s="2212"/>
      <c r="E49" s="2215"/>
      <c r="F49" s="2215"/>
      <c r="G49" s="2215"/>
      <c r="H49" s="2215"/>
      <c r="I49" s="2215"/>
      <c r="J49" s="2215"/>
      <c r="K49" s="2215"/>
      <c r="L49" s="2215"/>
      <c r="M49" s="2215"/>
      <c r="N49" s="2215"/>
      <c r="O49" s="2215"/>
      <c r="P49" s="2212"/>
      <c r="Q49" s="2213"/>
      <c r="V49" s="1">
        <v>4</v>
      </c>
      <c r="W49" s="1">
        <v>15</v>
      </c>
      <c r="X49">
        <f>(V50-V49)/(W50-W49)</f>
        <v>0.05</v>
      </c>
      <c r="Y49">
        <f>V50-X49*W50</f>
        <v>3.25</v>
      </c>
      <c r="Z49" s="1">
        <v>4</v>
      </c>
      <c r="AA49" s="1">
        <v>15</v>
      </c>
      <c r="AB49">
        <f>(Z50-Z49)/(AA50-AA49)</f>
        <v>0.05</v>
      </c>
      <c r="AC49">
        <f>Z50-AB49*AA50</f>
        <v>3.25</v>
      </c>
    </row>
    <row r="50" spans="2:29">
      <c r="B50" s="2211"/>
      <c r="C50" s="2212"/>
      <c r="D50" s="2212" t="s">
        <v>1403</v>
      </c>
      <c r="E50" s="2215" t="s">
        <v>1404</v>
      </c>
      <c r="F50" s="2215"/>
      <c r="G50" s="2215"/>
      <c r="H50" s="2215"/>
      <c r="I50" s="2215"/>
      <c r="J50" s="2215"/>
      <c r="K50" s="2215"/>
      <c r="L50" s="2215"/>
      <c r="M50" s="2215"/>
      <c r="N50" s="2215"/>
      <c r="O50" s="2215"/>
      <c r="P50" s="2212"/>
      <c r="Q50" s="2213"/>
      <c r="V50" s="1">
        <v>5</v>
      </c>
      <c r="W50" s="1">
        <v>35</v>
      </c>
      <c r="Z50" s="1">
        <v>5</v>
      </c>
      <c r="AA50" s="1">
        <v>35</v>
      </c>
    </row>
    <row r="51" spans="2:29" ht="14.25" thickBot="1">
      <c r="B51" s="2211"/>
      <c r="C51" s="2212"/>
      <c r="D51" s="2212"/>
      <c r="E51" s="2215"/>
      <c r="F51" s="2215"/>
      <c r="G51" s="2215"/>
      <c r="H51" s="2245" t="s">
        <v>1405</v>
      </c>
      <c r="I51" s="2215" t="s">
        <v>1406</v>
      </c>
      <c r="J51" s="2215" t="s">
        <v>1407</v>
      </c>
      <c r="K51" s="2215" t="s">
        <v>1408</v>
      </c>
      <c r="L51" s="2215" t="s">
        <v>1409</v>
      </c>
      <c r="M51" s="2215" t="s">
        <v>1410</v>
      </c>
      <c r="N51" s="2215" t="s">
        <v>1411</v>
      </c>
      <c r="O51" s="2215"/>
      <c r="P51" s="2212"/>
      <c r="Q51" s="2213"/>
    </row>
    <row r="52" spans="2:29" ht="14.25" thickBot="1">
      <c r="B52" s="2211"/>
      <c r="C52" s="2212"/>
      <c r="D52" s="2212"/>
      <c r="E52" s="2215"/>
      <c r="F52" s="2215"/>
      <c r="G52" s="1983" t="s">
        <v>1412</v>
      </c>
      <c r="H52" s="2246"/>
      <c r="I52" s="1974">
        <f>H52*$N$29</f>
        <v>0</v>
      </c>
      <c r="J52" s="1974">
        <v>0</v>
      </c>
      <c r="K52" s="2238"/>
      <c r="L52" s="1974">
        <v>12181</v>
      </c>
      <c r="M52" s="2247">
        <f>I52*J52+K52*L52</f>
        <v>0</v>
      </c>
      <c r="N52" s="2248">
        <f>SUM(M52:M56)/1000</f>
        <v>0</v>
      </c>
      <c r="O52" s="2212" t="s">
        <v>1392</v>
      </c>
      <c r="P52" s="2212"/>
      <c r="Q52" s="2213"/>
    </row>
    <row r="53" spans="2:29">
      <c r="B53" s="2211"/>
      <c r="C53" s="2212"/>
      <c r="D53" s="2212"/>
      <c r="E53" s="2215"/>
      <c r="F53" s="2215"/>
      <c r="G53" s="1983" t="s">
        <v>1413</v>
      </c>
      <c r="H53" s="2249"/>
      <c r="I53" s="1974">
        <f t="shared" ref="I53:I56" si="0">H53*$N$29</f>
        <v>0</v>
      </c>
      <c r="J53" s="1974">
        <v>87</v>
      </c>
      <c r="K53" s="2241"/>
      <c r="L53" s="1974">
        <v>9571</v>
      </c>
      <c r="M53" s="1974">
        <f>I53*J53+K53*L53</f>
        <v>0</v>
      </c>
      <c r="N53" s="2215"/>
      <c r="O53" s="2215"/>
      <c r="P53" s="2212"/>
      <c r="Q53" s="2213"/>
    </row>
    <row r="54" spans="2:29">
      <c r="B54" s="2211"/>
      <c r="C54" s="2212"/>
      <c r="D54" s="2212"/>
      <c r="E54" s="2215"/>
      <c r="F54" s="2215"/>
      <c r="G54" s="1983" t="s">
        <v>1414</v>
      </c>
      <c r="H54" s="2249"/>
      <c r="I54" s="1974">
        <f t="shared" si="0"/>
        <v>0</v>
      </c>
      <c r="J54" s="1974">
        <v>167</v>
      </c>
      <c r="K54" s="2241"/>
      <c r="L54" s="1974">
        <v>4771</v>
      </c>
      <c r="M54" s="1974">
        <f>I54*J54+K54*L54</f>
        <v>0</v>
      </c>
      <c r="N54" s="2215"/>
      <c r="O54" s="2215"/>
      <c r="P54" s="2212"/>
      <c r="Q54" s="2213"/>
    </row>
    <row r="55" spans="2:29">
      <c r="B55" s="2211"/>
      <c r="C55" s="2212"/>
      <c r="D55" s="2212"/>
      <c r="E55" s="2215"/>
      <c r="F55" s="2215"/>
      <c r="G55" s="1983" t="s">
        <v>1415</v>
      </c>
      <c r="H55" s="2249"/>
      <c r="I55" s="1974">
        <f t="shared" si="0"/>
        <v>0</v>
      </c>
      <c r="J55" s="1974">
        <v>47</v>
      </c>
      <c r="K55" s="2241"/>
      <c r="L55" s="1974">
        <v>15571</v>
      </c>
      <c r="M55" s="1974">
        <f>I55*J55+K55*L55</f>
        <v>0</v>
      </c>
      <c r="N55" s="2215"/>
      <c r="O55" s="2215"/>
      <c r="P55" s="2212"/>
      <c r="Q55" s="2213"/>
    </row>
    <row r="56" spans="2:29" ht="14.25" thickBot="1">
      <c r="B56" s="2211"/>
      <c r="C56" s="2212"/>
      <c r="D56" s="2212"/>
      <c r="E56" s="2215"/>
      <c r="F56" s="2215"/>
      <c r="G56" s="1983" t="s">
        <v>1416</v>
      </c>
      <c r="H56" s="2250"/>
      <c r="I56" s="1974">
        <f t="shared" si="0"/>
        <v>0</v>
      </c>
      <c r="J56" s="1974">
        <v>0</v>
      </c>
      <c r="K56" s="2242"/>
      <c r="L56" s="1974">
        <v>21211</v>
      </c>
      <c r="M56" s="1974">
        <f>I56*J56+K56*L56</f>
        <v>0</v>
      </c>
      <c r="N56" s="2215"/>
      <c r="O56" s="2215"/>
      <c r="P56" s="2212"/>
      <c r="Q56" s="2213"/>
    </row>
    <row r="57" spans="2:29">
      <c r="B57" s="2211"/>
      <c r="C57" s="2212"/>
      <c r="D57" s="2212"/>
      <c r="E57" s="2212"/>
      <c r="F57" s="2212"/>
      <c r="G57" s="2212" t="s">
        <v>557</v>
      </c>
      <c r="H57" s="2251">
        <f>SUM(H52:H56)</f>
        <v>0</v>
      </c>
      <c r="I57" s="2212"/>
      <c r="J57" s="2215"/>
      <c r="K57" s="2212"/>
      <c r="L57" s="2212"/>
      <c r="M57" s="2212"/>
      <c r="N57" s="2212"/>
      <c r="O57" s="2212"/>
      <c r="P57" s="2212"/>
      <c r="Q57" s="2213"/>
    </row>
    <row r="58" spans="2:29">
      <c r="B58" s="2211"/>
      <c r="C58" s="2212"/>
      <c r="D58" s="2212"/>
      <c r="E58" s="2212"/>
      <c r="F58" s="2212"/>
      <c r="G58" s="2212"/>
      <c r="H58" s="2212"/>
      <c r="I58" s="2212"/>
      <c r="J58" s="2215"/>
      <c r="K58" s="2212"/>
      <c r="L58" s="2212"/>
      <c r="M58" s="2212"/>
      <c r="N58" s="2212"/>
      <c r="O58" s="2212"/>
      <c r="P58" s="2212"/>
      <c r="Q58" s="2213"/>
    </row>
    <row r="59" spans="2:29">
      <c r="B59" s="2211"/>
      <c r="C59" s="2212"/>
      <c r="D59" s="2212"/>
      <c r="E59" s="2212"/>
      <c r="F59" s="2212"/>
      <c r="G59" s="2212"/>
      <c r="H59" s="2212"/>
      <c r="I59" s="2212"/>
      <c r="J59" s="2215"/>
      <c r="K59" s="2212"/>
      <c r="L59" s="2212"/>
      <c r="M59" s="2212"/>
      <c r="N59" s="2212"/>
      <c r="O59" s="2212"/>
      <c r="P59" s="2212"/>
      <c r="Q59" s="2213"/>
      <c r="T59" s="2172" t="s">
        <v>1417</v>
      </c>
    </row>
    <row r="60" spans="2:29" ht="14.25" thickBot="1">
      <c r="B60" s="2211"/>
      <c r="C60" s="2212"/>
      <c r="D60" s="2243" t="s">
        <v>1842</v>
      </c>
      <c r="E60" s="2212"/>
      <c r="F60" s="2212"/>
      <c r="G60" s="2212"/>
      <c r="H60" s="2212"/>
      <c r="I60" s="2212"/>
      <c r="J60" s="2215"/>
      <c r="K60" s="2212"/>
      <c r="L60" s="2212"/>
      <c r="M60" s="2212"/>
      <c r="N60" s="2212"/>
      <c r="O60" s="2212"/>
      <c r="P60" s="2212"/>
      <c r="Q60" s="2213"/>
      <c r="T60">
        <v>1</v>
      </c>
    </row>
    <row r="61" spans="2:29" ht="13.5" customHeight="1" thickBot="1">
      <c r="B61" s="2211"/>
      <c r="C61" s="2212"/>
      <c r="D61" s="2212"/>
      <c r="E61" s="2738" t="s">
        <v>1418</v>
      </c>
      <c r="F61" s="2738"/>
      <c r="G61" s="2738"/>
      <c r="H61" s="2738"/>
      <c r="I61" s="2738"/>
      <c r="J61" s="2738"/>
      <c r="K61" s="2738"/>
      <c r="L61" s="2212"/>
      <c r="M61" s="2212" t="s">
        <v>1419</v>
      </c>
      <c r="N61" s="2739" t="s">
        <v>1417</v>
      </c>
      <c r="O61" s="2740"/>
      <c r="P61" s="2741"/>
      <c r="Q61" s="2213"/>
      <c r="T61">
        <v>4</v>
      </c>
    </row>
    <row r="62" spans="2:29">
      <c r="B62" s="2211"/>
      <c r="C62" s="2212"/>
      <c r="D62" s="2212"/>
      <c r="E62" s="2738"/>
      <c r="F62" s="2738"/>
      <c r="G62" s="2738"/>
      <c r="H62" s="2738"/>
      <c r="I62" s="2738"/>
      <c r="J62" s="2738"/>
      <c r="K62" s="2738"/>
      <c r="L62" s="2212"/>
      <c r="M62" s="2212"/>
      <c r="N62" s="2212"/>
      <c r="O62" s="2212"/>
      <c r="P62" s="2212"/>
      <c r="Q62" s="2213"/>
    </row>
    <row r="63" spans="2:29">
      <c r="B63" s="2211"/>
      <c r="C63" s="2212"/>
      <c r="D63" s="2212"/>
      <c r="E63" s="2738"/>
      <c r="F63" s="2738"/>
      <c r="G63" s="2738"/>
      <c r="H63" s="2738"/>
      <c r="I63" s="2738"/>
      <c r="J63" s="2738"/>
      <c r="K63" s="2738"/>
      <c r="L63" s="2212"/>
      <c r="M63" s="2212"/>
      <c r="N63" s="2212"/>
      <c r="O63" s="2212"/>
      <c r="P63" s="2212"/>
      <c r="Q63" s="2213"/>
    </row>
    <row r="64" spans="2:29" ht="7.5" customHeight="1" thickBot="1">
      <c r="B64" s="2211"/>
      <c r="C64" s="2212"/>
      <c r="D64" s="2212"/>
      <c r="E64" s="2212"/>
      <c r="F64" s="2212"/>
      <c r="G64" s="2212"/>
      <c r="H64" s="2212"/>
      <c r="I64" s="2212"/>
      <c r="J64" s="2215"/>
      <c r="K64" s="2212"/>
      <c r="L64" s="2212"/>
      <c r="M64" s="2212"/>
      <c r="N64" s="2212"/>
      <c r="O64" s="2212"/>
      <c r="P64" s="2212"/>
      <c r="Q64" s="2213"/>
    </row>
    <row r="65" spans="2:21" ht="14.25" thickBot="1">
      <c r="B65" s="2211"/>
      <c r="C65" s="2212"/>
      <c r="D65" s="2212"/>
      <c r="E65" s="2212" t="s">
        <v>1420</v>
      </c>
      <c r="F65" s="2220" t="s">
        <v>1421</v>
      </c>
      <c r="G65" s="2212"/>
      <c r="H65" s="2212"/>
      <c r="I65" s="2212"/>
      <c r="J65" s="2215" t="s">
        <v>1422</v>
      </c>
      <c r="K65" s="2220" t="s">
        <v>1421</v>
      </c>
      <c r="L65" s="2212"/>
      <c r="M65" s="2212"/>
      <c r="N65" s="2212"/>
      <c r="O65" s="2212"/>
      <c r="P65" s="2212"/>
      <c r="Q65" s="2213"/>
      <c r="T65" t="s">
        <v>1302</v>
      </c>
      <c r="U65" t="s">
        <v>1303</v>
      </c>
    </row>
    <row r="66" spans="2:21">
      <c r="B66" s="2211"/>
      <c r="C66" s="2212"/>
      <c r="D66" s="2212"/>
      <c r="E66" s="2212"/>
      <c r="F66" s="2212" t="s">
        <v>1423</v>
      </c>
      <c r="G66" s="2212"/>
      <c r="H66" s="2212"/>
      <c r="I66" s="2212"/>
      <c r="J66" s="2215"/>
      <c r="K66" s="2212" t="s">
        <v>1424</v>
      </c>
      <c r="L66" s="2212"/>
      <c r="M66" s="2212"/>
      <c r="N66" s="2212"/>
      <c r="O66" s="2212"/>
      <c r="P66" s="2212"/>
      <c r="Q66" s="2213"/>
      <c r="T66" t="s">
        <v>1313</v>
      </c>
      <c r="U66" t="s">
        <v>1309</v>
      </c>
    </row>
    <row r="67" spans="2:21">
      <c r="B67" s="2211"/>
      <c r="C67" s="2212"/>
      <c r="D67" s="2212"/>
      <c r="E67" s="2212"/>
      <c r="F67" s="2212" t="s">
        <v>1425</v>
      </c>
      <c r="G67" s="2212"/>
      <c r="H67" s="2212"/>
      <c r="I67" s="2212"/>
      <c r="J67" s="2215"/>
      <c r="K67" s="2212" t="s">
        <v>1426</v>
      </c>
      <c r="L67" s="2212"/>
      <c r="M67" s="2212"/>
      <c r="N67" s="2212"/>
      <c r="O67" s="2212"/>
      <c r="P67" s="2212"/>
      <c r="Q67" s="2213"/>
      <c r="T67" t="s">
        <v>1320</v>
      </c>
      <c r="U67" t="s">
        <v>1427</v>
      </c>
    </row>
    <row r="68" spans="2:21">
      <c r="B68" s="2211"/>
      <c r="C68" s="2212"/>
      <c r="D68" s="2212"/>
      <c r="E68" s="2212"/>
      <c r="F68" s="2212" t="s">
        <v>1428</v>
      </c>
      <c r="G68" s="2212"/>
      <c r="H68" s="2212"/>
      <c r="I68" s="2212"/>
      <c r="J68" s="2215"/>
      <c r="K68" s="2212" t="s">
        <v>1429</v>
      </c>
      <c r="L68" s="2212"/>
      <c r="M68" s="2212"/>
      <c r="N68" s="2212"/>
      <c r="O68" s="2212"/>
      <c r="P68" s="2212"/>
      <c r="Q68" s="2213"/>
      <c r="T68" t="s">
        <v>1427</v>
      </c>
    </row>
    <row r="69" spans="2:21" ht="14.25" thickBot="1">
      <c r="B69" s="2252"/>
      <c r="C69" s="2253"/>
      <c r="D69" s="2253"/>
      <c r="E69" s="2253"/>
      <c r="F69" s="2253" t="s">
        <v>1429</v>
      </c>
      <c r="G69" s="2253"/>
      <c r="H69" s="2253"/>
      <c r="I69" s="2253"/>
      <c r="J69" s="2254"/>
      <c r="K69" s="2253"/>
      <c r="L69" s="2253"/>
      <c r="M69" s="2253"/>
      <c r="N69" s="2253"/>
      <c r="O69" s="2253"/>
      <c r="P69" s="2253"/>
      <c r="Q69" s="2255"/>
    </row>
    <row r="70" spans="2:21" ht="14.25" thickBot="1">
      <c r="B70" s="510"/>
      <c r="C70" s="510"/>
      <c r="D70" s="510"/>
      <c r="E70" s="510"/>
      <c r="F70" s="510"/>
      <c r="G70" s="510"/>
      <c r="H70" s="510"/>
      <c r="I70" s="510"/>
      <c r="J70" s="510"/>
      <c r="K70" s="510"/>
      <c r="L70" s="510"/>
      <c r="M70" s="510"/>
      <c r="N70" s="510"/>
      <c r="O70" s="510"/>
      <c r="P70" s="510"/>
      <c r="Q70" s="510"/>
    </row>
    <row r="71" spans="2:21" ht="27" customHeight="1">
      <c r="B71" s="2256"/>
      <c r="C71" s="2257" t="s">
        <v>1430</v>
      </c>
      <c r="D71" s="2258"/>
      <c r="E71" s="2258"/>
      <c r="F71" s="2258"/>
      <c r="G71" s="2258"/>
      <c r="H71" s="2258"/>
      <c r="I71" s="2258"/>
      <c r="J71" s="2258"/>
      <c r="K71" s="2258"/>
      <c r="L71" s="2258"/>
      <c r="M71" s="2258"/>
      <c r="N71" s="2259"/>
      <c r="O71" s="2260"/>
      <c r="P71" s="2260"/>
      <c r="Q71" s="2261"/>
    </row>
    <row r="72" spans="2:21">
      <c r="B72" s="2262"/>
      <c r="C72" s="1448"/>
      <c r="D72" s="1448" t="s">
        <v>1431</v>
      </c>
      <c r="E72" s="2212"/>
      <c r="F72" s="2212"/>
      <c r="G72" s="2215"/>
      <c r="H72" s="2212"/>
      <c r="I72" s="2212"/>
      <c r="J72" s="2212"/>
      <c r="K72" s="2212"/>
      <c r="L72" s="2212"/>
      <c r="M72" s="2212"/>
      <c r="N72" s="2212" t="s">
        <v>112</v>
      </c>
      <c r="O72" s="2212"/>
      <c r="P72" s="2212"/>
      <c r="Q72" s="2263" t="s">
        <v>185</v>
      </c>
    </row>
    <row r="73" spans="2:21">
      <c r="B73" s="2262"/>
      <c r="C73" s="1448"/>
      <c r="D73" s="1448"/>
      <c r="E73" s="2212"/>
      <c r="F73" s="2219" t="s">
        <v>1432</v>
      </c>
      <c r="G73" s="2212"/>
      <c r="H73" s="2212"/>
      <c r="I73" s="2212"/>
      <c r="J73" s="2212" t="s">
        <v>1433</v>
      </c>
      <c r="K73" s="2212"/>
      <c r="L73" s="2264" t="s">
        <v>1434</v>
      </c>
      <c r="M73" s="2212"/>
      <c r="N73" s="1445" t="s">
        <v>1392</v>
      </c>
      <c r="O73" s="1454"/>
      <c r="P73" s="1454"/>
      <c r="Q73" s="1447" t="s">
        <v>1392</v>
      </c>
    </row>
    <row r="74" spans="2:21">
      <c r="B74" s="2262"/>
      <c r="C74" s="1448"/>
      <c r="D74" s="1448"/>
      <c r="E74" s="2215" t="s">
        <v>1435</v>
      </c>
      <c r="F74" s="2265">
        <f>IF(E24=S27,I45,I26)</f>
        <v>0.9</v>
      </c>
      <c r="G74" s="161"/>
      <c r="H74" s="2212"/>
      <c r="I74" s="2212"/>
      <c r="J74" s="2266">
        <f>(H98*N98+H100*N100+N101*H101)/1000</f>
        <v>0</v>
      </c>
      <c r="K74" s="2267" t="s">
        <v>1392</v>
      </c>
      <c r="L74" s="2268">
        <f>N104</f>
        <v>1</v>
      </c>
      <c r="M74" s="2267"/>
      <c r="N74" s="2269">
        <f>(J94*F74-J74)*L74</f>
        <v>17370</v>
      </c>
      <c r="O74" s="1454"/>
      <c r="P74" s="1989"/>
      <c r="Q74" s="2270">
        <f>J94</f>
        <v>19300</v>
      </c>
      <c r="T74" s="2271">
        <f>T94/Q74</f>
        <v>0.9</v>
      </c>
    </row>
    <row r="75" spans="2:21">
      <c r="B75" s="2211"/>
      <c r="C75" s="2212"/>
      <c r="D75" s="2212"/>
      <c r="E75" s="2212"/>
      <c r="F75" s="2212"/>
      <c r="G75" s="2212"/>
      <c r="H75" s="2212"/>
      <c r="I75" s="2212"/>
      <c r="J75" s="2212"/>
      <c r="K75" s="2212"/>
      <c r="L75" s="2212"/>
      <c r="M75" s="2212"/>
      <c r="N75" s="2212"/>
      <c r="O75" s="2212"/>
      <c r="P75" s="2212"/>
      <c r="Q75" s="2213"/>
    </row>
    <row r="76" spans="2:21">
      <c r="B76" s="2211"/>
      <c r="C76" s="2212"/>
      <c r="D76" s="2212"/>
      <c r="E76" s="2212"/>
      <c r="F76" s="2212"/>
      <c r="G76" s="2264"/>
      <c r="H76" s="2264" t="s">
        <v>1436</v>
      </c>
      <c r="I76" s="2212"/>
      <c r="J76" s="2264" t="s">
        <v>1437</v>
      </c>
      <c r="K76" s="2264"/>
      <c r="L76" s="2264" t="s">
        <v>1438</v>
      </c>
      <c r="M76" s="2212"/>
      <c r="N76" s="2212"/>
      <c r="O76" s="2212"/>
      <c r="P76" s="2212"/>
      <c r="Q76" s="2213"/>
    </row>
    <row r="77" spans="2:21">
      <c r="B77" s="2211"/>
      <c r="C77" s="2212"/>
      <c r="D77" s="2212"/>
      <c r="E77" s="2212"/>
      <c r="F77" s="2212"/>
      <c r="G77" s="2219"/>
      <c r="H77" s="2219" t="s">
        <v>1366</v>
      </c>
      <c r="I77" s="2212"/>
      <c r="J77" s="2264" t="s">
        <v>1439</v>
      </c>
      <c r="K77" s="2264"/>
      <c r="L77" s="2264" t="s">
        <v>240</v>
      </c>
      <c r="M77" s="2212"/>
      <c r="N77" s="2212"/>
      <c r="O77" s="2212"/>
      <c r="P77" s="2212"/>
      <c r="Q77" s="2213"/>
      <c r="S77" t="s">
        <v>1440</v>
      </c>
    </row>
    <row r="78" spans="2:21">
      <c r="B78" s="2211"/>
      <c r="C78" s="2212"/>
      <c r="D78" s="2212"/>
      <c r="E78" s="2272" t="s">
        <v>204</v>
      </c>
      <c r="F78" s="2273" t="s">
        <v>539</v>
      </c>
      <c r="G78" s="2274"/>
      <c r="H78" s="519">
        <f>メイン!P71</f>
        <v>10000</v>
      </c>
      <c r="I78" s="1456"/>
      <c r="J78" s="519">
        <f>CO2データ!V151</f>
        <v>1930</v>
      </c>
      <c r="K78" s="1456"/>
      <c r="L78" s="2275">
        <f>CO2データ!R151</f>
        <v>6.2164426229508192E-2</v>
      </c>
      <c r="M78" s="2212"/>
      <c r="N78" s="2212"/>
      <c r="O78" s="2212"/>
      <c r="P78" s="2212"/>
      <c r="Q78" s="2213"/>
      <c r="S78" s="1986">
        <f>CO2データ!N151</f>
        <v>0.9</v>
      </c>
    </row>
    <row r="79" spans="2:21">
      <c r="B79" s="2211"/>
      <c r="C79" s="2212"/>
      <c r="D79" s="2212"/>
      <c r="E79" s="2276"/>
      <c r="F79" s="2273" t="s">
        <v>1272</v>
      </c>
      <c r="G79" s="2274"/>
      <c r="H79" s="519">
        <f>メイン!P72</f>
        <v>0</v>
      </c>
      <c r="I79" s="1456"/>
      <c r="J79" s="519">
        <f>CO2データ!V152</f>
        <v>0</v>
      </c>
      <c r="K79" s="1456"/>
      <c r="L79" s="2275">
        <f>CO2データ!R152</f>
        <v>6.2011081967213111E-2</v>
      </c>
      <c r="M79" s="2212"/>
      <c r="N79" s="2212"/>
      <c r="O79" s="2212"/>
      <c r="P79" s="2212"/>
      <c r="Q79" s="2213"/>
      <c r="S79" s="1986">
        <f>CO2データ!N152</f>
        <v>0.83</v>
      </c>
    </row>
    <row r="80" spans="2:21">
      <c r="B80" s="2211"/>
      <c r="C80" s="2212"/>
      <c r="D80" s="2212"/>
      <c r="E80" s="2277" t="s">
        <v>1273</v>
      </c>
      <c r="F80" s="2273" t="s">
        <v>1274</v>
      </c>
      <c r="G80" s="2274"/>
      <c r="H80" s="519">
        <f>メイン!P73</f>
        <v>0</v>
      </c>
      <c r="I80" s="1456"/>
      <c r="J80" s="519">
        <f>CO2データ!V153</f>
        <v>0</v>
      </c>
      <c r="K80" s="1456"/>
      <c r="L80" s="2275">
        <f>CO2データ!R153</f>
        <v>6.1399991803278681E-2</v>
      </c>
      <c r="M80" s="2212"/>
      <c r="N80" s="2212"/>
      <c r="O80" s="2212"/>
      <c r="P80" s="2212"/>
      <c r="Q80" s="2213"/>
      <c r="S80" s="1986">
        <f>CO2データ!N153</f>
        <v>0.71</v>
      </c>
    </row>
    <row r="81" spans="2:27">
      <c r="B81" s="2211"/>
      <c r="C81" s="2212"/>
      <c r="D81" s="2212"/>
      <c r="E81" s="2277"/>
      <c r="F81" s="2278" t="s">
        <v>1275</v>
      </c>
      <c r="G81" s="2279" t="s">
        <v>1123</v>
      </c>
      <c r="H81" s="519">
        <f>メイン!P74</f>
        <v>0</v>
      </c>
      <c r="I81" s="1456"/>
      <c r="J81" s="519">
        <f>CO2データ!V154</f>
        <v>0</v>
      </c>
      <c r="K81" s="1456"/>
      <c r="L81" s="2275">
        <f>CO2データ!R154</f>
        <v>6.1774326969943165E-2</v>
      </c>
      <c r="M81" s="2212"/>
      <c r="N81" s="2212"/>
      <c r="O81" s="2212"/>
      <c r="P81" s="2212"/>
      <c r="Q81" s="2213"/>
      <c r="S81" s="1986">
        <f>CO2データ!N154</f>
        <v>0.62299911901772109</v>
      </c>
    </row>
    <row r="82" spans="2:27">
      <c r="B82" s="2211"/>
      <c r="C82" s="2212"/>
      <c r="D82" s="2212"/>
      <c r="E82" s="2277"/>
      <c r="F82" s="2280"/>
      <c r="G82" s="2279" t="s">
        <v>602</v>
      </c>
      <c r="H82" s="519">
        <f>メイン!P75</f>
        <v>0</v>
      </c>
      <c r="I82" s="1456"/>
      <c r="J82" s="519">
        <f>CO2データ!V155</f>
        <v>0</v>
      </c>
      <c r="K82" s="1456"/>
      <c r="L82" s="2275">
        <f>CO2データ!R155</f>
        <v>6.1566316966792003E-2</v>
      </c>
      <c r="M82" s="2212"/>
      <c r="N82" s="2212"/>
      <c r="O82" s="2212"/>
      <c r="P82" s="2212"/>
      <c r="Q82" s="2213"/>
      <c r="S82" s="1986">
        <f>CO2データ!N155</f>
        <v>0.75998792472086629</v>
      </c>
    </row>
    <row r="83" spans="2:27">
      <c r="B83" s="2211"/>
      <c r="C83" s="2212"/>
      <c r="D83" s="2212"/>
      <c r="E83" s="2277"/>
      <c r="F83" s="2273" t="s">
        <v>1276</v>
      </c>
      <c r="G83" s="2274"/>
      <c r="H83" s="519">
        <f>メイン!P76</f>
        <v>0</v>
      </c>
      <c r="I83" s="1456"/>
      <c r="J83" s="519">
        <f>CO2データ!V156</f>
        <v>0</v>
      </c>
      <c r="K83" s="1456"/>
      <c r="L83" s="2275">
        <f>CO2データ!R156</f>
        <v>6.2912139344262291E-2</v>
      </c>
      <c r="M83" s="2212"/>
      <c r="N83" s="2212"/>
      <c r="O83" s="2212"/>
      <c r="P83" s="2212"/>
      <c r="Q83" s="2213"/>
      <c r="S83" s="1986">
        <f>CO2データ!N156</f>
        <v>0.74</v>
      </c>
    </row>
    <row r="84" spans="2:27">
      <c r="B84" s="2211"/>
      <c r="C84" s="2212"/>
      <c r="D84" s="2212"/>
      <c r="E84" s="2276"/>
      <c r="F84" s="2273" t="s">
        <v>1277</v>
      </c>
      <c r="G84" s="2274"/>
      <c r="H84" s="519">
        <f>メイン!P77</f>
        <v>0</v>
      </c>
      <c r="I84" s="1456"/>
      <c r="J84" s="519">
        <f>CO2データ!V157</f>
        <v>0</v>
      </c>
      <c r="K84" s="1456"/>
      <c r="L84" s="2275">
        <f>CO2データ!R157</f>
        <v>6.1682385245901646E-2</v>
      </c>
      <c r="M84" s="2212"/>
      <c r="N84" s="2212"/>
      <c r="O84" s="2212"/>
      <c r="P84" s="2212"/>
      <c r="Q84" s="2213"/>
      <c r="S84" s="1986">
        <f>CO2データ!N157</f>
        <v>0.79</v>
      </c>
    </row>
    <row r="85" spans="2:27">
      <c r="B85" s="2211"/>
      <c r="C85" s="2212"/>
      <c r="D85" s="2212"/>
      <c r="E85" s="2272" t="s">
        <v>1278</v>
      </c>
      <c r="F85" s="2273" t="s">
        <v>955</v>
      </c>
      <c r="G85" s="2274"/>
      <c r="H85" s="519">
        <f>メイン!P78</f>
        <v>0</v>
      </c>
      <c r="I85" s="1456"/>
      <c r="J85" s="519">
        <f>CO2データ!V158</f>
        <v>0</v>
      </c>
      <c r="K85" s="1456"/>
      <c r="L85" s="2275">
        <f>CO2データ!R158</f>
        <v>6.2551573770491808E-2</v>
      </c>
      <c r="M85" s="2212"/>
      <c r="N85" s="2212"/>
      <c r="O85" s="2212"/>
      <c r="P85" s="2212"/>
      <c r="Q85" s="2213"/>
      <c r="S85" s="1986">
        <f>CO2データ!N158</f>
        <v>0.93</v>
      </c>
    </row>
    <row r="86" spans="2:27">
      <c r="B86" s="2211"/>
      <c r="C86" s="2212"/>
      <c r="D86" s="2212"/>
      <c r="E86" s="2276"/>
      <c r="F86" s="2273" t="s">
        <v>1279</v>
      </c>
      <c r="G86" s="2274"/>
      <c r="H86" s="519">
        <f>メイン!P79</f>
        <v>0</v>
      </c>
      <c r="I86" s="1456"/>
      <c r="J86" s="519">
        <f>CO2データ!V159</f>
        <v>0</v>
      </c>
      <c r="K86" s="1456"/>
      <c r="L86" s="2275">
        <f>CO2データ!R159</f>
        <v>6.2422524590163939E-2</v>
      </c>
      <c r="M86" s="2212"/>
      <c r="N86" s="2212"/>
      <c r="O86" s="2212"/>
      <c r="P86" s="2212"/>
      <c r="Q86" s="2213"/>
      <c r="S86" s="1986">
        <f>CO2データ!N159</f>
        <v>0.92</v>
      </c>
    </row>
    <row r="87" spans="2:27">
      <c r="B87" s="2211"/>
      <c r="C87" s="2212"/>
      <c r="D87" s="2212"/>
      <c r="E87" s="2273" t="s">
        <v>545</v>
      </c>
      <c r="F87" s="2281"/>
      <c r="G87" s="2274"/>
      <c r="H87" s="519">
        <f>メイン!P80</f>
        <v>0</v>
      </c>
      <c r="I87" s="1456"/>
      <c r="J87" s="519">
        <f>CO2データ!V160</f>
        <v>0</v>
      </c>
      <c r="K87" s="1456"/>
      <c r="L87" s="2275">
        <f>CO2データ!R160</f>
        <v>5.8502459016393435E-2</v>
      </c>
      <c r="M87" s="2212"/>
      <c r="N87" s="2212"/>
      <c r="O87" s="2212"/>
      <c r="P87" s="2212"/>
      <c r="Q87" s="2213"/>
      <c r="S87" s="1986">
        <f>CO2データ!N160</f>
        <v>0.5</v>
      </c>
    </row>
    <row r="88" spans="2:27">
      <c r="B88" s="2211"/>
      <c r="C88" s="2212"/>
      <c r="D88" s="2212"/>
      <c r="E88" s="2272" t="s">
        <v>1280</v>
      </c>
      <c r="F88" s="2273" t="s">
        <v>1281</v>
      </c>
      <c r="G88" s="2274"/>
      <c r="H88" s="519">
        <f>メイン!P81</f>
        <v>0</v>
      </c>
      <c r="I88" s="1456"/>
      <c r="J88" s="519">
        <f>CO2データ!V161</f>
        <v>0</v>
      </c>
      <c r="K88" s="1456"/>
      <c r="L88" s="2275">
        <f>CO2データ!R161</f>
        <v>6.1107737704918036E-2</v>
      </c>
      <c r="M88" s="2212"/>
      <c r="N88" s="2212"/>
      <c r="O88" s="2212"/>
      <c r="P88" s="2212"/>
      <c r="Q88" s="2213"/>
      <c r="S88" s="1986">
        <f>CO2データ!N161</f>
        <v>0.76</v>
      </c>
    </row>
    <row r="89" spans="2:27">
      <c r="B89" s="2211"/>
      <c r="C89" s="2212"/>
      <c r="D89" s="2212"/>
      <c r="E89" s="2277"/>
      <c r="F89" s="2273" t="s">
        <v>1282</v>
      </c>
      <c r="G89" s="2274"/>
      <c r="H89" s="519">
        <f>メイン!P82</f>
        <v>0</v>
      </c>
      <c r="I89" s="1456"/>
      <c r="J89" s="519">
        <f>CO2データ!V162</f>
        <v>0</v>
      </c>
      <c r="K89" s="1456"/>
      <c r="L89" s="2275">
        <f>CO2データ!R162</f>
        <v>6.2127983606557372E-2</v>
      </c>
      <c r="M89" s="2212"/>
      <c r="N89" s="2212"/>
      <c r="O89" s="2212"/>
      <c r="P89" s="2212"/>
      <c r="Q89" s="2213"/>
      <c r="S89" s="1986">
        <f>CO2データ!N162</f>
        <v>0.81</v>
      </c>
    </row>
    <row r="90" spans="2:27">
      <c r="B90" s="2211"/>
      <c r="C90" s="2212"/>
      <c r="D90" s="2212"/>
      <c r="E90" s="2277"/>
      <c r="F90" s="2278" t="s">
        <v>1283</v>
      </c>
      <c r="G90" s="2282"/>
      <c r="H90" s="519">
        <f>メイン!P83</f>
        <v>0</v>
      </c>
      <c r="I90" s="1456"/>
      <c r="J90" s="519">
        <f>CO2データ!V163</f>
        <v>0</v>
      </c>
      <c r="K90" s="1456"/>
      <c r="L90" s="2275">
        <f>CO2データ!R163</f>
        <v>6.2047524590163931E-2</v>
      </c>
      <c r="M90" s="2212"/>
      <c r="N90" s="2212"/>
      <c r="O90" s="2212"/>
      <c r="P90" s="2212"/>
      <c r="Q90" s="2213"/>
      <c r="S90" s="1986">
        <f>CO2データ!N163</f>
        <v>0.92</v>
      </c>
    </row>
    <row r="91" spans="2:27">
      <c r="B91" s="2211"/>
      <c r="C91" s="2212"/>
      <c r="D91" s="2212"/>
      <c r="E91" s="2273" t="s">
        <v>555</v>
      </c>
      <c r="F91" s="2281"/>
      <c r="G91" s="2274"/>
      <c r="H91" s="519">
        <f>メイン!E60</f>
        <v>0</v>
      </c>
      <c r="I91" s="1456"/>
      <c r="J91" s="519">
        <f>CO2データ!V164</f>
        <v>0</v>
      </c>
      <c r="K91" s="1456"/>
      <c r="L91" s="2275">
        <f>CO2データ!R164</f>
        <v>6.2704918032786883E-2</v>
      </c>
      <c r="M91" s="2212"/>
      <c r="N91" s="2212"/>
      <c r="O91" s="2212"/>
      <c r="P91" s="2212"/>
      <c r="Q91" s="2213"/>
      <c r="S91" s="1986">
        <f>CO2データ!N164</f>
        <v>1</v>
      </c>
    </row>
    <row r="92" spans="2:27">
      <c r="B92" s="2211"/>
      <c r="C92" s="2212"/>
      <c r="D92" s="2212"/>
      <c r="E92" s="2273" t="s">
        <v>549</v>
      </c>
      <c r="F92" s="2281"/>
      <c r="G92" s="2274"/>
      <c r="H92" s="519">
        <f>メイン!P85</f>
        <v>0</v>
      </c>
      <c r="I92" s="1456"/>
      <c r="J92" s="519">
        <f>CO2データ!V165</f>
        <v>0</v>
      </c>
      <c r="K92" s="1456"/>
      <c r="L92" s="2275">
        <f>CO2データ!R165</f>
        <v>6.193819672131147E-2</v>
      </c>
      <c r="M92" s="2212"/>
      <c r="N92" s="2212"/>
      <c r="O92" s="2212"/>
      <c r="P92" s="2212"/>
      <c r="Q92" s="2213"/>
      <c r="S92" s="1986">
        <f>CO2データ!N165</f>
        <v>0.65</v>
      </c>
    </row>
    <row r="93" spans="2:27" ht="14.25" thickBot="1">
      <c r="B93" s="2211"/>
      <c r="C93" s="2212"/>
      <c r="D93" s="2212"/>
      <c r="E93" s="2273" t="s">
        <v>1284</v>
      </c>
      <c r="F93" s="2281"/>
      <c r="G93" s="2274"/>
      <c r="H93" s="519">
        <f>メイン!P86</f>
        <v>0</v>
      </c>
      <c r="I93" s="1456"/>
      <c r="J93" s="519">
        <f>CO2データ!V166</f>
        <v>0</v>
      </c>
      <c r="K93" s="1456"/>
      <c r="L93" s="2275">
        <f>CO2データ!R166</f>
        <v>6.21742868852459E-2</v>
      </c>
      <c r="M93" s="2212"/>
      <c r="N93" s="2212"/>
      <c r="O93" s="2212"/>
      <c r="P93" s="2212"/>
      <c r="Q93" s="2213"/>
      <c r="S93" s="1986">
        <f>CO2データ!N166</f>
        <v>0.77</v>
      </c>
    </row>
    <row r="94" spans="2:27" ht="14.25" thickBot="1">
      <c r="B94" s="2211"/>
      <c r="C94" s="2212"/>
      <c r="D94" s="2212"/>
      <c r="E94" s="2283" t="s">
        <v>1441</v>
      </c>
      <c r="F94" s="2283" t="s">
        <v>557</v>
      </c>
      <c r="G94" s="2283"/>
      <c r="H94" s="2284">
        <f>SUM(H78:H93)</f>
        <v>10000</v>
      </c>
      <c r="I94" s="1456"/>
      <c r="J94" s="2284">
        <f>SUMPRODUCT(H78:H93,J78:J93)/1000</f>
        <v>19300</v>
      </c>
      <c r="K94" s="1456" t="s">
        <v>1442</v>
      </c>
      <c r="L94" s="2285">
        <f>SUMPRODUCT(H78:H93,L78:L93)/H94</f>
        <v>6.2164426229508192E-2</v>
      </c>
      <c r="M94" s="2212"/>
      <c r="N94" s="2212"/>
      <c r="O94" s="2212"/>
      <c r="P94" s="2212"/>
      <c r="Q94" s="2213"/>
      <c r="S94" s="1986"/>
      <c r="T94" s="2286">
        <f>SUMPRODUCT(H78:H93,J78:J93,S78:S93)/1000</f>
        <v>17370</v>
      </c>
    </row>
    <row r="95" spans="2:27">
      <c r="B95" s="2211"/>
      <c r="C95" s="2212"/>
      <c r="D95" s="2212"/>
      <c r="E95" s="1456"/>
      <c r="F95" s="1456"/>
      <c r="G95" s="1456"/>
      <c r="H95" s="1456"/>
      <c r="I95" s="1456"/>
      <c r="J95" s="1456"/>
      <c r="K95" s="1456"/>
      <c r="L95" s="1456"/>
      <c r="M95" s="2212"/>
      <c r="N95" s="2212"/>
      <c r="O95" s="2212"/>
      <c r="P95" s="2212"/>
      <c r="Q95" s="2213"/>
    </row>
    <row r="96" spans="2:27">
      <c r="B96" s="2211"/>
      <c r="C96" s="2212"/>
      <c r="D96" s="2212"/>
      <c r="E96" s="1457" t="s">
        <v>1443</v>
      </c>
      <c r="F96" s="161"/>
      <c r="G96" s="2212"/>
      <c r="H96" s="2264" t="s">
        <v>1436</v>
      </c>
      <c r="I96" s="2212"/>
      <c r="J96" s="2212"/>
      <c r="K96" s="2212"/>
      <c r="L96" s="2212"/>
      <c r="M96" s="2212"/>
      <c r="N96" s="2212"/>
      <c r="O96" s="2212"/>
      <c r="P96" s="2212"/>
      <c r="Q96" s="2213"/>
      <c r="V96" s="1"/>
      <c r="W96" s="1"/>
      <c r="Z96" s="1"/>
      <c r="AA96" s="1"/>
    </row>
    <row r="97" spans="2:27" ht="14.25" hidden="1" thickBot="1">
      <c r="B97" s="2211"/>
      <c r="C97" s="2212"/>
      <c r="D97" s="2212"/>
      <c r="E97" s="1457"/>
      <c r="F97" s="161"/>
      <c r="G97" s="2212"/>
      <c r="H97" s="2212"/>
      <c r="I97" s="2212"/>
      <c r="J97" s="2212"/>
      <c r="K97" s="2212"/>
      <c r="L97" s="2212"/>
      <c r="M97" s="2212"/>
      <c r="N97" s="2212"/>
      <c r="O97" s="2212"/>
      <c r="P97" s="2212"/>
      <c r="Q97" s="2213"/>
      <c r="S97" t="s">
        <v>1444</v>
      </c>
      <c r="T97" s="2287">
        <v>1</v>
      </c>
      <c r="V97" s="1984"/>
      <c r="W97" s="1984"/>
      <c r="Z97" s="1984"/>
      <c r="AA97" s="1984"/>
    </row>
    <row r="98" spans="2:27" ht="14.25" hidden="1" thickBot="1">
      <c r="B98" s="2211"/>
      <c r="C98" s="2212"/>
      <c r="D98" s="2212"/>
      <c r="E98" s="1457"/>
      <c r="F98" s="1457" t="s">
        <v>1445</v>
      </c>
      <c r="G98" s="161"/>
      <c r="H98" s="1974">
        <f>IF(T97=1,0,H94-H81-H82)</f>
        <v>0</v>
      </c>
      <c r="I98" s="2212"/>
      <c r="J98" s="2212"/>
      <c r="K98" s="2212"/>
      <c r="L98" s="2212"/>
      <c r="M98" s="2212"/>
      <c r="N98" s="2288"/>
      <c r="O98" s="2212" t="s">
        <v>1446</v>
      </c>
      <c r="P98" s="2212"/>
      <c r="Q98" s="2213"/>
      <c r="S98" s="1986"/>
      <c r="V98" s="1984"/>
      <c r="W98" s="1984"/>
      <c r="Z98" s="1984"/>
      <c r="AA98" s="1984"/>
    </row>
    <row r="99" spans="2:27">
      <c r="B99" s="2289"/>
      <c r="C99" s="1448"/>
      <c r="D99" s="1448"/>
      <c r="E99" s="1457"/>
      <c r="F99" s="1457" t="s">
        <v>1447</v>
      </c>
      <c r="G99" s="161"/>
      <c r="H99" s="2219" t="s">
        <v>1366</v>
      </c>
      <c r="I99" s="2219"/>
      <c r="J99" s="1451" t="s">
        <v>190</v>
      </c>
      <c r="K99" s="1451" t="s">
        <v>191</v>
      </c>
      <c r="L99" s="1451" t="s">
        <v>192</v>
      </c>
      <c r="M99" s="1452" t="s">
        <v>193</v>
      </c>
      <c r="N99" s="1452" t="s">
        <v>1177</v>
      </c>
      <c r="O99" s="2290"/>
      <c r="P99" s="1989"/>
      <c r="Q99" s="2291"/>
    </row>
    <row r="100" spans="2:27" ht="14.25" thickBot="1">
      <c r="B100" s="2289"/>
      <c r="C100" s="1448"/>
      <c r="D100" s="1448"/>
      <c r="E100" s="1457"/>
      <c r="F100" s="1457"/>
      <c r="G100" s="2219" t="s">
        <v>1448</v>
      </c>
      <c r="H100" s="2292">
        <f>H81+H82+M14</f>
        <v>0</v>
      </c>
      <c r="I100" s="2219"/>
      <c r="J100" s="2293">
        <v>0</v>
      </c>
      <c r="K100" s="2293">
        <v>1</v>
      </c>
      <c r="L100" s="2377">
        <v>15</v>
      </c>
      <c r="M100" s="2294">
        <f>スコア入力!N120</f>
        <v>0</v>
      </c>
      <c r="N100" s="2295">
        <f>IF(M100&gt;=5,$L100,IF(M100&gt;=4,$K100,$J100))</f>
        <v>0</v>
      </c>
      <c r="O100" s="2212"/>
      <c r="P100" s="1989"/>
      <c r="Q100" s="2291"/>
    </row>
    <row r="101" spans="2:27" ht="14.25" thickBot="1">
      <c r="B101" s="2289"/>
      <c r="C101" s="1448"/>
      <c r="D101" s="1448"/>
      <c r="E101" s="1457"/>
      <c r="F101" s="1457"/>
      <c r="G101" s="161" t="s">
        <v>1449</v>
      </c>
      <c r="H101" s="1974">
        <f>IF(T97=1,H94-H81-H82,0)</f>
        <v>10000</v>
      </c>
      <c r="I101" s="2219"/>
      <c r="J101" s="2293">
        <v>0</v>
      </c>
      <c r="K101" s="2293">
        <v>1</v>
      </c>
      <c r="L101" s="2378">
        <v>15</v>
      </c>
      <c r="M101" s="2294">
        <f>スコア入力!N121</f>
        <v>3</v>
      </c>
      <c r="N101" s="2295">
        <f>IF(M101&gt;=5,$L101,IF(M101&gt;=4,$K101,$J101))</f>
        <v>0</v>
      </c>
      <c r="O101" s="2212" t="s">
        <v>881</v>
      </c>
      <c r="P101" s="1989"/>
      <c r="Q101" s="2291"/>
    </row>
    <row r="102" spans="2:27">
      <c r="B102" s="2289"/>
      <c r="C102" s="1448"/>
      <c r="D102" s="1448"/>
      <c r="E102" s="2296"/>
      <c r="F102" s="2296"/>
      <c r="G102" s="2297"/>
      <c r="H102" s="161"/>
      <c r="I102" s="161"/>
      <c r="J102" s="161"/>
      <c r="K102" s="161"/>
      <c r="L102" s="161"/>
      <c r="M102" s="161"/>
      <c r="N102" s="161"/>
      <c r="O102" s="2290"/>
      <c r="P102" s="1989"/>
      <c r="Q102" s="2291"/>
    </row>
    <row r="103" spans="2:27">
      <c r="B103" s="2262"/>
      <c r="C103" s="1448"/>
      <c r="D103" s="1448"/>
      <c r="E103" s="1457" t="s">
        <v>1450</v>
      </c>
      <c r="F103" s="2296"/>
      <c r="G103" s="2212"/>
      <c r="H103" s="2298"/>
      <c r="I103" s="2212"/>
      <c r="J103" s="1451" t="s">
        <v>190</v>
      </c>
      <c r="K103" s="1451" t="s">
        <v>191</v>
      </c>
      <c r="L103" s="1451" t="s">
        <v>192</v>
      </c>
      <c r="M103" s="1452" t="s">
        <v>193</v>
      </c>
      <c r="N103" s="1452" t="s">
        <v>1451</v>
      </c>
      <c r="O103" s="1454"/>
      <c r="P103" s="1989"/>
      <c r="Q103" s="2291"/>
    </row>
    <row r="104" spans="2:27">
      <c r="B104" s="2262"/>
      <c r="C104" s="1448"/>
      <c r="D104" s="1448"/>
      <c r="E104" s="1457"/>
      <c r="F104" s="1457" t="s">
        <v>1452</v>
      </c>
      <c r="G104" s="2212"/>
      <c r="H104" s="2212"/>
      <c r="I104" s="2212"/>
      <c r="J104" s="2299">
        <v>1</v>
      </c>
      <c r="K104" s="2300">
        <v>0.97499999999999998</v>
      </c>
      <c r="L104" s="2299">
        <v>0.95</v>
      </c>
      <c r="M104" s="2294">
        <f>スコア表示!L134</f>
        <v>3</v>
      </c>
      <c r="N104" s="2301">
        <f>IF(M104&gt;=5,$L104,IF(M104&gt;=4,$K104,$J104))</f>
        <v>1</v>
      </c>
      <c r="O104" s="1454"/>
      <c r="P104" s="1989"/>
      <c r="Q104" s="2291"/>
    </row>
    <row r="105" spans="2:27">
      <c r="B105" s="2262"/>
      <c r="C105" s="1448"/>
      <c r="D105" s="2212"/>
      <c r="E105" s="2212"/>
      <c r="F105" s="2212"/>
      <c r="G105" s="2212"/>
      <c r="H105" s="2212"/>
      <c r="I105" s="2212"/>
      <c r="J105" s="2212"/>
      <c r="K105" s="2212"/>
      <c r="L105" s="2212"/>
      <c r="M105" s="2212"/>
      <c r="N105" s="1445"/>
      <c r="O105" s="1454"/>
      <c r="P105" s="1454"/>
      <c r="Q105" s="1447"/>
    </row>
    <row r="106" spans="2:27">
      <c r="B106" s="2262"/>
      <c r="C106" s="1448"/>
      <c r="D106" s="2212"/>
      <c r="E106" s="2215" t="s">
        <v>1453</v>
      </c>
      <c r="F106" s="2212"/>
      <c r="G106" s="2302"/>
      <c r="H106" s="2212"/>
      <c r="I106" s="2212"/>
      <c r="J106" s="2212"/>
      <c r="K106" s="2212"/>
      <c r="L106" s="2212"/>
      <c r="M106" s="2212"/>
      <c r="N106" s="2212" t="s">
        <v>112</v>
      </c>
      <c r="O106" s="2212"/>
      <c r="P106" s="2212"/>
      <c r="Q106" s="2263" t="s">
        <v>185</v>
      </c>
    </row>
    <row r="107" spans="2:27">
      <c r="B107" s="2262"/>
      <c r="C107" s="1448"/>
      <c r="D107" s="2212"/>
      <c r="E107" s="2212"/>
      <c r="F107" s="2212"/>
      <c r="G107" s="2302"/>
      <c r="H107" s="2212"/>
      <c r="I107" s="2212"/>
      <c r="J107" s="2212"/>
      <c r="K107" s="2212"/>
      <c r="L107" s="2212"/>
      <c r="M107" s="2212"/>
      <c r="N107" s="1445" t="s">
        <v>1392</v>
      </c>
      <c r="O107" s="1454"/>
      <c r="P107" s="1454"/>
      <c r="Q107" s="1447" t="s">
        <v>1392</v>
      </c>
    </row>
    <row r="108" spans="2:27">
      <c r="B108" s="2262"/>
      <c r="C108" s="1448"/>
      <c r="D108" s="2212"/>
      <c r="E108" s="1456"/>
      <c r="F108" s="2212" t="s">
        <v>1285</v>
      </c>
      <c r="G108" s="2302"/>
      <c r="H108" s="2212"/>
      <c r="I108" s="2212"/>
      <c r="J108" s="2219" t="s">
        <v>1454</v>
      </c>
      <c r="K108" s="2219" t="s">
        <v>112</v>
      </c>
      <c r="L108" s="2219" t="s">
        <v>185</v>
      </c>
      <c r="M108" s="2219"/>
      <c r="N108" s="2269">
        <f>IF(N29=0,0,IF(N61=T59,IF(N42=0,"-",N42),J110*K110/1000))</f>
        <v>0</v>
      </c>
      <c r="O108" s="2212"/>
      <c r="P108" s="2212"/>
      <c r="Q108" s="2270">
        <f>IF(N29=0,0,IF(N61=T59,(N39-N40)*1.1+N40,J110*L110/1000))</f>
        <v>0</v>
      </c>
      <c r="S108" s="1986"/>
    </row>
    <row r="109" spans="2:27">
      <c r="B109" s="2262"/>
      <c r="C109" s="1448"/>
      <c r="D109" s="2212"/>
      <c r="E109" s="1456"/>
      <c r="F109" s="2212"/>
      <c r="G109" s="2302"/>
      <c r="H109" s="2212"/>
      <c r="I109" s="2212"/>
      <c r="J109" s="2219" t="s">
        <v>1366</v>
      </c>
      <c r="K109" s="2303" t="s">
        <v>881</v>
      </c>
      <c r="L109" s="2303" t="s">
        <v>881</v>
      </c>
      <c r="M109" s="2219"/>
      <c r="N109" s="2304"/>
      <c r="O109" s="2212"/>
      <c r="P109" s="2212"/>
      <c r="Q109" s="2305"/>
    </row>
    <row r="110" spans="2:27">
      <c r="B110" s="2262"/>
      <c r="C110" s="1448"/>
      <c r="D110" s="2212"/>
      <c r="E110" s="1456"/>
      <c r="F110" s="2212"/>
      <c r="G110" s="161" t="s">
        <v>1455</v>
      </c>
      <c r="H110" s="2212"/>
      <c r="I110" s="2219"/>
      <c r="J110" s="2269">
        <f>N29</f>
        <v>0</v>
      </c>
      <c r="K110" s="2269" t="e">
        <f>CO2データ!P196</f>
        <v>#N/A</v>
      </c>
      <c r="L110" s="2269" t="e">
        <f>CO2データ!P197</f>
        <v>#N/A</v>
      </c>
      <c r="M110" s="2219"/>
      <c r="N110" s="1445"/>
      <c r="O110" s="1454"/>
      <c r="P110" s="1454"/>
      <c r="Q110" s="1447"/>
    </row>
    <row r="111" spans="2:27" ht="6.75" customHeight="1">
      <c r="B111" s="2262"/>
      <c r="C111" s="1448"/>
      <c r="D111" s="2212"/>
      <c r="E111" s="1456"/>
      <c r="F111" s="2212"/>
      <c r="G111" s="161"/>
      <c r="H111" s="2212"/>
      <c r="I111" s="2219"/>
      <c r="J111" s="2304"/>
      <c r="K111" s="2304"/>
      <c r="L111" s="2304"/>
      <c r="M111" s="2219"/>
      <c r="N111" s="1445"/>
      <c r="O111" s="1454"/>
      <c r="P111" s="1454"/>
      <c r="Q111" s="1447"/>
    </row>
    <row r="112" spans="2:27">
      <c r="B112" s="2262"/>
      <c r="C112" s="1448"/>
      <c r="D112" s="2212"/>
      <c r="E112" s="2212"/>
      <c r="F112" s="2212" t="s">
        <v>869</v>
      </c>
      <c r="G112" s="2302"/>
      <c r="H112" s="2212"/>
      <c r="I112" s="2212"/>
      <c r="J112" s="2212"/>
      <c r="K112" s="2212"/>
      <c r="L112" s="2264"/>
      <c r="M112" s="2212"/>
      <c r="N112" s="2269">
        <f>IF(M29=0,0,IF(M42=0,"-",M42))</f>
        <v>0</v>
      </c>
      <c r="O112" s="1454"/>
      <c r="P112" s="1989"/>
      <c r="Q112" s="2270">
        <f>IF(M29=0,0,M39)</f>
        <v>0</v>
      </c>
      <c r="S112" s="1986"/>
    </row>
    <row r="113" spans="2:17" ht="14.25" thickBot="1">
      <c r="B113" s="2252"/>
      <c r="C113" s="2253"/>
      <c r="D113" s="2253"/>
      <c r="E113" s="2253"/>
      <c r="F113" s="2253"/>
      <c r="G113" s="2253"/>
      <c r="H113" s="2253"/>
      <c r="I113" s="2253"/>
      <c r="J113" s="2253"/>
      <c r="K113" s="2253"/>
      <c r="L113" s="2253"/>
      <c r="M113" s="2253"/>
      <c r="N113" s="2253"/>
      <c r="O113" s="2253"/>
      <c r="P113" s="2253"/>
      <c r="Q113" s="2255"/>
    </row>
    <row r="114" spans="2:17">
      <c r="H114" s="1987"/>
    </row>
    <row r="115" spans="2:17"/>
    <row r="116" spans="2:17"/>
    <row r="117" spans="2:17"/>
    <row r="118" spans="2:17"/>
  </sheetData>
  <sheetProtection password="8D30" sheet="1" objects="1" scenarios="1"/>
  <mergeCells count="4">
    <mergeCell ref="E6:G6"/>
    <mergeCell ref="E24:G24"/>
    <mergeCell ref="E61:K63"/>
    <mergeCell ref="N61:P61"/>
  </mergeCells>
  <phoneticPr fontId="20"/>
  <conditionalFormatting sqref="N98">
    <cfRule type="expression" dxfId="38" priority="5" stopIfTrue="1">
      <formula>$J$52&gt;0</formula>
    </cfRule>
  </conditionalFormatting>
  <conditionalFormatting sqref="I39:I42">
    <cfRule type="expression" dxfId="37" priority="6" stopIfTrue="1">
      <formula>OR($I$29=0,$E$24=$S$28)</formula>
    </cfRule>
  </conditionalFormatting>
  <conditionalFormatting sqref="I25:I26">
    <cfRule type="expression" dxfId="36" priority="1">
      <formula>$I$29=0</formula>
    </cfRule>
    <cfRule type="expression" dxfId="35" priority="4" stopIfTrue="1">
      <formula>$E$24=$S$27</formula>
    </cfRule>
  </conditionalFormatting>
  <conditionalFormatting sqref="M39:M43">
    <cfRule type="expression" dxfId="34" priority="3">
      <formula>$M$14=0</formula>
    </cfRule>
  </conditionalFormatting>
  <conditionalFormatting sqref="N39:N43">
    <cfRule type="expression" dxfId="33" priority="2">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FFFF"/>
    <pageSetUpPr fitToPage="1"/>
  </sheetPr>
  <dimension ref="A1:V102"/>
  <sheetViews>
    <sheetView showGridLines="0" zoomScaleNormal="100" zoomScaleSheetLayoutView="100" workbookViewId="0">
      <selection activeCell="E20" sqref="E20"/>
    </sheetView>
  </sheetViews>
  <sheetFormatPr defaultColWidth="0" defaultRowHeight="13.5" zeroHeight="1"/>
  <cols>
    <col min="1" max="1" width="3.75" customWidth="1"/>
    <col min="2" max="3" width="3.5" customWidth="1"/>
    <col min="4" max="4" width="11.25" customWidth="1"/>
    <col min="5" max="5" width="12.375" customWidth="1"/>
    <col min="6" max="6" width="2.375" customWidth="1"/>
    <col min="7" max="7" width="12.25" customWidth="1"/>
    <col min="8" max="9" width="9" customWidth="1"/>
    <col min="10" max="10" width="10.75" customWidth="1"/>
    <col min="11" max="11" width="12" customWidth="1"/>
    <col min="12" max="15" width="9" customWidth="1"/>
    <col min="16" max="22" width="0" hidden="1" customWidth="1"/>
    <col min="23" max="16384" width="9" hidden="1"/>
  </cols>
  <sheetData>
    <row r="1" spans="2:14">
      <c r="B1" s="63"/>
      <c r="C1" s="63"/>
      <c r="D1" s="63"/>
      <c r="E1" s="63"/>
      <c r="F1" s="63"/>
      <c r="G1" s="63"/>
      <c r="H1" s="63"/>
      <c r="I1" s="63"/>
      <c r="J1" s="63"/>
      <c r="K1" s="63"/>
      <c r="L1" s="1916" t="s">
        <v>837</v>
      </c>
      <c r="M1" s="2730" t="str">
        <f>メイン!H11</f>
        <v>新ビル</v>
      </c>
      <c r="N1" s="2730"/>
    </row>
    <row r="2" spans="2:14">
      <c r="B2" s="1917" t="s">
        <v>1108</v>
      </c>
      <c r="C2" s="1918"/>
      <c r="D2" s="1918"/>
      <c r="E2" s="1918"/>
      <c r="F2" s="1918"/>
      <c r="G2" s="1918"/>
      <c r="H2" s="1918"/>
      <c r="I2" s="1918"/>
      <c r="J2" s="1918"/>
      <c r="K2" s="63"/>
      <c r="L2" s="63"/>
      <c r="M2" s="63"/>
      <c r="N2" s="240"/>
    </row>
    <row r="3" spans="2:14" ht="14.25" thickBot="1">
      <c r="B3" s="1919"/>
      <c r="C3" s="1920"/>
      <c r="D3" s="1920"/>
      <c r="E3" s="1920"/>
      <c r="F3" s="1920"/>
      <c r="G3" s="1920"/>
      <c r="H3" s="1920"/>
      <c r="I3" s="1920"/>
      <c r="J3" s="63"/>
      <c r="K3" s="63"/>
      <c r="L3" s="63"/>
      <c r="M3" s="63"/>
      <c r="N3" s="240"/>
    </row>
    <row r="4" spans="2:14" ht="16.5" thickBot="1">
      <c r="B4" s="1921"/>
      <c r="C4" s="1921"/>
      <c r="D4" s="63"/>
      <c r="E4" s="63"/>
      <c r="F4" s="63"/>
      <c r="G4" s="63"/>
      <c r="H4" s="63"/>
      <c r="I4" s="63"/>
      <c r="J4" s="1922"/>
      <c r="K4" s="22" t="s">
        <v>857</v>
      </c>
      <c r="L4" s="63"/>
      <c r="M4" s="63"/>
      <c r="N4" s="63"/>
    </row>
    <row r="5" spans="2:14" ht="15.75">
      <c r="B5" s="1921"/>
      <c r="C5" s="1923" t="s">
        <v>1180</v>
      </c>
      <c r="D5" s="63"/>
      <c r="E5" s="63"/>
      <c r="F5" s="63"/>
      <c r="G5" s="63"/>
      <c r="H5" s="63"/>
      <c r="I5" s="63"/>
      <c r="J5" s="63"/>
      <c r="K5" s="63"/>
      <c r="L5" s="63"/>
      <c r="M5" s="63"/>
      <c r="N5" s="63"/>
    </row>
    <row r="6" spans="2:14" ht="16.5" thickBot="1">
      <c r="B6" s="1921"/>
      <c r="C6" s="1921"/>
      <c r="D6" s="1928" t="s">
        <v>1748</v>
      </c>
      <c r="E6" s="1925"/>
      <c r="F6" s="63"/>
      <c r="G6" s="63"/>
      <c r="H6" s="63"/>
      <c r="L6" s="63"/>
      <c r="M6" s="63"/>
      <c r="N6" s="63"/>
    </row>
    <row r="7" spans="2:14" ht="16.5" thickBot="1">
      <c r="B7" s="1921"/>
      <c r="C7" s="1921"/>
      <c r="D7" s="1924"/>
      <c r="E7" s="1944" t="s">
        <v>1749</v>
      </c>
      <c r="F7" s="63"/>
      <c r="J7" s="1926"/>
      <c r="K7" s="1927" t="s">
        <v>1750</v>
      </c>
      <c r="L7" s="1933" t="s">
        <v>1848</v>
      </c>
      <c r="M7" s="63"/>
      <c r="N7" s="63"/>
    </row>
    <row r="8" spans="2:14" ht="16.5" thickBot="1">
      <c r="B8" s="1921"/>
      <c r="C8" s="1921"/>
      <c r="E8" s="2449" t="s">
        <v>1847</v>
      </c>
      <c r="J8" s="1926">
        <v>0</v>
      </c>
      <c r="K8" s="1927" t="s">
        <v>1750</v>
      </c>
      <c r="L8" s="2367">
        <f>メイン!J60</f>
        <v>0</v>
      </c>
      <c r="M8" s="2368" t="s">
        <v>488</v>
      </c>
      <c r="N8" s="63"/>
    </row>
    <row r="9" spans="2:14" ht="16.5" thickBot="1">
      <c r="B9" s="1921"/>
      <c r="C9" s="1921"/>
      <c r="D9" s="1928"/>
      <c r="E9" s="2450" t="s">
        <v>1751</v>
      </c>
      <c r="F9" s="63"/>
      <c r="G9" s="63"/>
      <c r="H9" s="63"/>
      <c r="I9" s="63"/>
      <c r="J9" s="1921"/>
      <c r="K9" s="1921"/>
      <c r="L9" s="63"/>
      <c r="M9" s="63"/>
      <c r="N9" s="63"/>
    </row>
    <row r="10" spans="2:14" ht="15.75">
      <c r="B10" s="1921"/>
      <c r="C10" s="1921"/>
      <c r="D10" s="1928"/>
      <c r="E10" s="2451" t="s">
        <v>1753</v>
      </c>
      <c r="F10" s="63"/>
      <c r="H10" s="2359" t="s">
        <v>1269</v>
      </c>
      <c r="I10" s="2360" t="s">
        <v>248</v>
      </c>
      <c r="J10" s="2361" t="s">
        <v>1752</v>
      </c>
      <c r="K10" s="1933"/>
      <c r="L10" s="63"/>
      <c r="M10" s="63"/>
      <c r="N10" s="63"/>
    </row>
    <row r="11" spans="2:14" ht="16.5" thickBot="1">
      <c r="B11" s="1921"/>
      <c r="C11" s="1921"/>
      <c r="D11" s="63"/>
      <c r="F11" s="63"/>
      <c r="H11" s="2362"/>
      <c r="I11" s="2363"/>
      <c r="J11" s="2364"/>
      <c r="L11" s="63"/>
      <c r="M11" s="63"/>
      <c r="N11" s="63"/>
    </row>
    <row r="12" spans="2:14" ht="12" customHeight="1" thickBot="1">
      <c r="B12" s="1921"/>
      <c r="C12" s="1921"/>
      <c r="D12" s="63"/>
      <c r="E12" s="1921"/>
      <c r="F12" s="1921"/>
      <c r="G12" s="1921"/>
      <c r="H12" s="1921"/>
      <c r="I12" s="1921"/>
      <c r="J12" s="1921"/>
      <c r="K12" s="1921"/>
      <c r="L12" s="63"/>
      <c r="M12" s="63"/>
      <c r="N12" s="63"/>
    </row>
    <row r="13" spans="2:14" ht="16.5" thickBot="1">
      <c r="B13" s="1921"/>
      <c r="C13" s="1921"/>
      <c r="D13" s="1928" t="s">
        <v>1754</v>
      </c>
      <c r="E13" s="63"/>
      <c r="F13" s="63"/>
      <c r="G13" s="1929" t="s">
        <v>1111</v>
      </c>
      <c r="H13" s="1930" t="s">
        <v>1755</v>
      </c>
      <c r="I13" s="1931"/>
      <c r="J13" s="1932" t="s">
        <v>1112</v>
      </c>
      <c r="K13" s="63"/>
      <c r="L13" s="1933" t="s">
        <v>1756</v>
      </c>
      <c r="M13" s="63"/>
      <c r="N13" s="63"/>
    </row>
    <row r="14" spans="2:14" ht="16.5" thickTop="1">
      <c r="B14" s="1921"/>
      <c r="C14" s="1921"/>
      <c r="D14" s="63"/>
      <c r="E14" s="63"/>
      <c r="F14" s="63"/>
      <c r="G14" s="2365" t="s">
        <v>555</v>
      </c>
      <c r="H14" s="2366">
        <f>メイン!H60</f>
        <v>0</v>
      </c>
      <c r="I14" s="1934">
        <f>IF(H14=0,0,+H14/$L$14)</f>
        <v>0</v>
      </c>
      <c r="J14" s="1935"/>
      <c r="K14" s="1927" t="s">
        <v>1750</v>
      </c>
      <c r="L14" s="2367">
        <f>メイン!H63</f>
        <v>10000</v>
      </c>
      <c r="M14" s="2368" t="s">
        <v>1747</v>
      </c>
      <c r="N14" s="63"/>
    </row>
    <row r="15" spans="2:14" ht="15.75">
      <c r="B15" s="1921"/>
      <c r="C15" s="1921"/>
      <c r="D15" s="63"/>
      <c r="E15" s="63"/>
      <c r="F15" s="63"/>
      <c r="G15" s="1936" t="s">
        <v>959</v>
      </c>
      <c r="H15" s="2369"/>
      <c r="I15" s="1937">
        <f>IF(H15=0,0,+H15/$L$14)</f>
        <v>0</v>
      </c>
      <c r="J15" s="1938"/>
      <c r="K15" s="1927" t="s">
        <v>1750</v>
      </c>
      <c r="L15" s="63"/>
      <c r="M15" s="1924"/>
      <c r="N15" s="1939"/>
    </row>
    <row r="16" spans="2:14" ht="15.75">
      <c r="B16" s="1921"/>
      <c r="C16" s="1921"/>
      <c r="D16" s="63"/>
      <c r="E16" s="63"/>
      <c r="F16" s="63"/>
      <c r="G16" s="2370" t="s">
        <v>1113</v>
      </c>
      <c r="H16" s="2371"/>
      <c r="I16" s="1937">
        <f>IF(H16=0,0,+H16/$L$14)</f>
        <v>0</v>
      </c>
      <c r="J16" s="2372"/>
      <c r="K16" s="1927" t="s">
        <v>1750</v>
      </c>
      <c r="L16" s="63"/>
      <c r="M16" s="1924"/>
      <c r="N16" s="1939"/>
    </row>
    <row r="17" spans="2:22" ht="15.75">
      <c r="B17" s="1921"/>
      <c r="C17" s="1921"/>
      <c r="D17" s="63"/>
      <c r="E17" s="63"/>
      <c r="F17" s="63"/>
      <c r="G17" s="2370"/>
      <c r="H17" s="2371"/>
      <c r="I17" s="1937">
        <f>IF(H17=0,0,+H17/$L$14)</f>
        <v>0</v>
      </c>
      <c r="J17" s="2372"/>
      <c r="K17" s="1927" t="s">
        <v>1750</v>
      </c>
      <c r="L17" s="63"/>
      <c r="M17" s="1924"/>
      <c r="N17" s="1939"/>
    </row>
    <row r="18" spans="2:22" ht="16.5" thickBot="1">
      <c r="B18" s="1921"/>
      <c r="C18" s="1921"/>
      <c r="D18" s="63"/>
      <c r="E18" s="63"/>
      <c r="F18" s="63"/>
      <c r="G18" s="1940"/>
      <c r="H18" s="2373"/>
      <c r="I18" s="1941">
        <f>IF(H18=0,0,+H18/$L$14)</f>
        <v>0</v>
      </c>
      <c r="J18" s="1942"/>
      <c r="K18" s="1927" t="s">
        <v>1750</v>
      </c>
      <c r="L18" s="63"/>
      <c r="M18" s="1924"/>
      <c r="N18" s="1939"/>
    </row>
    <row r="19" spans="2:22" ht="6.75" customHeight="1" thickBot="1">
      <c r="B19" s="1921"/>
      <c r="C19" s="1921"/>
      <c r="D19" s="1921"/>
      <c r="E19" s="1921"/>
      <c r="F19" s="1921"/>
      <c r="G19" s="1921"/>
      <c r="H19" s="1921"/>
      <c r="I19" s="1921"/>
      <c r="J19" s="1921"/>
      <c r="K19" s="1921"/>
      <c r="L19" s="1921"/>
      <c r="M19" s="1924"/>
      <c r="N19" s="1939"/>
    </row>
    <row r="20" spans="2:22" ht="16.5" thickBot="1">
      <c r="B20" s="1921"/>
      <c r="C20" s="63"/>
      <c r="D20" s="1928" t="s">
        <v>1114</v>
      </c>
      <c r="E20" s="63"/>
      <c r="F20" s="63"/>
      <c r="G20" s="63"/>
      <c r="H20" s="1921"/>
      <c r="I20" s="63"/>
      <c r="J20" s="1943">
        <f>+J7-SUM(J14:J18)</f>
        <v>0</v>
      </c>
      <c r="K20" s="1927" t="s">
        <v>1750</v>
      </c>
      <c r="L20" s="63"/>
      <c r="M20" s="1924"/>
      <c r="N20" s="1939"/>
    </row>
    <row r="21" spans="2:22" ht="9" customHeight="1" thickBot="1">
      <c r="B21" s="1921"/>
      <c r="C21" s="63"/>
      <c r="D21" s="1928"/>
      <c r="E21" s="63"/>
      <c r="F21" s="63"/>
      <c r="G21" s="63"/>
      <c r="H21" s="1921"/>
      <c r="I21" s="1921"/>
      <c r="J21" s="1921"/>
      <c r="K21" s="1921"/>
      <c r="L21" s="63"/>
      <c r="M21" s="1924"/>
      <c r="N21" s="1939"/>
    </row>
    <row r="22" spans="2:22" ht="16.5" thickBot="1">
      <c r="B22" s="1921"/>
      <c r="C22" s="1928" t="s">
        <v>1115</v>
      </c>
      <c r="D22" s="63"/>
      <c r="E22" s="63"/>
      <c r="F22" s="1928"/>
      <c r="G22" s="63"/>
      <c r="H22" s="1921"/>
      <c r="I22" s="63"/>
      <c r="J22" s="1944" t="s">
        <v>1116</v>
      </c>
      <c r="K22" s="63"/>
      <c r="L22" s="1945"/>
      <c r="M22" s="1924"/>
      <c r="N22" s="1939"/>
    </row>
    <row r="23" spans="2:22">
      <c r="B23" s="63"/>
      <c r="C23" s="63"/>
      <c r="D23" s="1944" t="s">
        <v>1118</v>
      </c>
      <c r="E23" s="1946"/>
      <c r="F23" s="63"/>
      <c r="G23" s="1944" t="s">
        <v>1119</v>
      </c>
      <c r="H23" s="63"/>
      <c r="I23" s="63"/>
      <c r="J23" s="63"/>
      <c r="K23" s="1944" t="s">
        <v>1120</v>
      </c>
      <c r="L23" s="63"/>
      <c r="M23" s="63"/>
      <c r="N23" s="63"/>
    </row>
    <row r="24" spans="2:22" ht="14.25" thickBot="1">
      <c r="B24" s="63"/>
      <c r="C24" s="63"/>
      <c r="D24" s="1947" t="s">
        <v>225</v>
      </c>
      <c r="E24" s="1947" t="s">
        <v>1121</v>
      </c>
      <c r="F24" s="1948"/>
      <c r="G24" s="1949" t="s">
        <v>225</v>
      </c>
      <c r="H24" s="1949" t="s">
        <v>1122</v>
      </c>
      <c r="I24" s="63"/>
      <c r="J24" s="63"/>
      <c r="K24" s="1949" t="s">
        <v>225</v>
      </c>
      <c r="L24" s="1950" t="s">
        <v>1757</v>
      </c>
      <c r="M24" s="1950" t="s">
        <v>1758</v>
      </c>
      <c r="N24" s="63"/>
      <c r="T24" t="s">
        <v>1123</v>
      </c>
      <c r="U24" t="s">
        <v>1124</v>
      </c>
      <c r="V24" t="s">
        <v>1125</v>
      </c>
    </row>
    <row r="25" spans="2:22" ht="14.25" hidden="1" thickBot="1">
      <c r="B25" s="63"/>
      <c r="C25" s="63"/>
      <c r="D25" s="1951"/>
      <c r="E25" s="1951"/>
      <c r="F25" s="63"/>
      <c r="G25" s="1952"/>
      <c r="H25" s="1953"/>
      <c r="I25" s="63"/>
      <c r="J25" s="63"/>
      <c r="K25" s="1954" t="e">
        <f>VLOOKUP(L22,U24:V30,2)</f>
        <v>#N/A</v>
      </c>
      <c r="L25" s="63"/>
      <c r="M25" s="63"/>
      <c r="N25" s="63"/>
      <c r="T25" t="s">
        <v>1126</v>
      </c>
      <c r="U25" t="s">
        <v>1117</v>
      </c>
      <c r="V25" t="s">
        <v>1127</v>
      </c>
    </row>
    <row r="26" spans="2:22" ht="14.25">
      <c r="B26" s="63"/>
      <c r="C26" s="63"/>
      <c r="D26" s="1955" t="s">
        <v>204</v>
      </c>
      <c r="E26" s="1956">
        <f>メイン!W71</f>
        <v>7000</v>
      </c>
      <c r="F26" s="63"/>
      <c r="G26" s="1957" t="s">
        <v>204</v>
      </c>
      <c r="H26" s="2374">
        <f>IF(E26=0,"",E26/$E$44)</f>
        <v>0.7</v>
      </c>
      <c r="I26" s="63"/>
      <c r="J26" s="63"/>
      <c r="K26" s="1957" t="s">
        <v>204</v>
      </c>
      <c r="L26" s="1958" t="e">
        <f t="shared" ref="L26:L42" si="0">HLOOKUP(K$25,$G$56:$M$73,P57)</f>
        <v>#N/A</v>
      </c>
      <c r="M26" s="1958" t="e">
        <f t="shared" ref="M26:M42" si="1">HLOOKUP(K$25,$G$78:$M$95,P79)</f>
        <v>#N/A</v>
      </c>
      <c r="N26" s="63"/>
      <c r="T26" t="s">
        <v>1117</v>
      </c>
      <c r="U26" t="s">
        <v>1128</v>
      </c>
      <c r="V26" t="s">
        <v>1129</v>
      </c>
    </row>
    <row r="27" spans="2:22" ht="14.25" hidden="1">
      <c r="B27" s="63"/>
      <c r="C27" s="63"/>
      <c r="D27" s="1959" t="s">
        <v>1130</v>
      </c>
      <c r="E27" s="1960"/>
      <c r="F27" s="63"/>
      <c r="G27" s="1961" t="s">
        <v>1130</v>
      </c>
      <c r="H27" s="2375"/>
      <c r="I27" s="63"/>
      <c r="J27" s="63"/>
      <c r="K27" s="1961" t="s">
        <v>1130</v>
      </c>
      <c r="L27" s="1958" t="e">
        <f t="shared" si="0"/>
        <v>#N/A</v>
      </c>
      <c r="M27" s="1958" t="e">
        <f t="shared" si="1"/>
        <v>#N/A</v>
      </c>
      <c r="N27" s="63"/>
      <c r="T27" t="s">
        <v>1131</v>
      </c>
      <c r="U27" t="s">
        <v>1132</v>
      </c>
      <c r="V27" t="s">
        <v>1133</v>
      </c>
    </row>
    <row r="28" spans="2:22" ht="14.25">
      <c r="B28" s="63"/>
      <c r="C28" s="63"/>
      <c r="D28" s="1962" t="s">
        <v>952</v>
      </c>
      <c r="E28" s="1963">
        <f>メイン!W72</f>
        <v>0</v>
      </c>
      <c r="F28" s="63"/>
      <c r="G28" s="1957" t="s">
        <v>952</v>
      </c>
      <c r="H28" s="2375" t="str">
        <f t="shared" ref="H28:H42" si="2">IF(E28=0,"",E28/$E$44)</f>
        <v/>
      </c>
      <c r="I28" s="63"/>
      <c r="J28" s="63"/>
      <c r="K28" s="1957" t="s">
        <v>952</v>
      </c>
      <c r="L28" s="1958" t="e">
        <f t="shared" si="0"/>
        <v>#N/A</v>
      </c>
      <c r="M28" s="1958" t="e">
        <f t="shared" si="1"/>
        <v>#N/A</v>
      </c>
      <c r="N28" s="63"/>
      <c r="T28" t="s">
        <v>1124</v>
      </c>
      <c r="U28" t="s">
        <v>1131</v>
      </c>
      <c r="V28" t="s">
        <v>1134</v>
      </c>
    </row>
    <row r="29" spans="2:22" ht="14.25">
      <c r="B29" s="63"/>
      <c r="C29" s="63"/>
      <c r="D29" s="1955" t="s">
        <v>953</v>
      </c>
      <c r="E29" s="1956">
        <f>メイン!W73</f>
        <v>0</v>
      </c>
      <c r="F29" s="63"/>
      <c r="G29" s="1957" t="s">
        <v>953</v>
      </c>
      <c r="H29" s="2375" t="str">
        <f t="shared" si="2"/>
        <v/>
      </c>
      <c r="I29" s="63"/>
      <c r="J29" s="63"/>
      <c r="K29" s="1957" t="s">
        <v>953</v>
      </c>
      <c r="L29" s="1958" t="e">
        <f t="shared" si="0"/>
        <v>#N/A</v>
      </c>
      <c r="M29" s="1958" t="e">
        <f t="shared" si="1"/>
        <v>#N/A</v>
      </c>
      <c r="N29" s="63"/>
      <c r="T29" t="s">
        <v>1132</v>
      </c>
      <c r="U29" t="s">
        <v>1126</v>
      </c>
      <c r="V29" t="s">
        <v>1135</v>
      </c>
    </row>
    <row r="30" spans="2:22" ht="14.25">
      <c r="B30" s="63"/>
      <c r="C30" s="63"/>
      <c r="D30" s="1959" t="s">
        <v>1136</v>
      </c>
      <c r="E30" s="1960">
        <f>メイン!W74+メイン!W75</f>
        <v>0</v>
      </c>
      <c r="F30" s="63"/>
      <c r="G30" s="1957" t="s">
        <v>1136</v>
      </c>
      <c r="H30" s="2375" t="str">
        <f t="shared" si="2"/>
        <v/>
      </c>
      <c r="I30" s="63"/>
      <c r="J30" s="63"/>
      <c r="K30" s="1957" t="s">
        <v>1136</v>
      </c>
      <c r="L30" s="1958" t="e">
        <f t="shared" si="0"/>
        <v>#N/A</v>
      </c>
      <c r="M30" s="1958" t="e">
        <f t="shared" si="1"/>
        <v>#N/A</v>
      </c>
      <c r="N30" s="63"/>
      <c r="T30" t="s">
        <v>1128</v>
      </c>
      <c r="U30" t="s">
        <v>1123</v>
      </c>
      <c r="V30" t="s">
        <v>1137</v>
      </c>
    </row>
    <row r="31" spans="2:22" ht="14.25">
      <c r="B31" s="63"/>
      <c r="C31" s="63"/>
      <c r="D31" s="1959" t="s">
        <v>1161</v>
      </c>
      <c r="E31" s="1960">
        <f>メイン!W76</f>
        <v>0</v>
      </c>
      <c r="F31" s="63"/>
      <c r="G31" s="1957" t="s">
        <v>1161</v>
      </c>
      <c r="H31" s="2375" t="str">
        <f t="shared" si="2"/>
        <v/>
      </c>
      <c r="I31" s="63"/>
      <c r="J31" s="63"/>
      <c r="K31" s="1957" t="s">
        <v>1161</v>
      </c>
      <c r="L31" s="1958" t="e">
        <f t="shared" si="0"/>
        <v>#N/A</v>
      </c>
      <c r="M31" s="1958" t="e">
        <f t="shared" si="1"/>
        <v>#N/A</v>
      </c>
      <c r="N31" s="63"/>
    </row>
    <row r="32" spans="2:22" ht="14.25">
      <c r="B32" s="63"/>
      <c r="C32" s="63"/>
      <c r="D32" s="1962" t="s">
        <v>954</v>
      </c>
      <c r="E32" s="1963">
        <f>メイン!W77</f>
        <v>0</v>
      </c>
      <c r="F32" s="63"/>
      <c r="G32" s="1957" t="s">
        <v>954</v>
      </c>
      <c r="H32" s="2375" t="str">
        <f t="shared" si="2"/>
        <v/>
      </c>
      <c r="I32" s="63"/>
      <c r="J32" s="63"/>
      <c r="K32" s="1957" t="s">
        <v>954</v>
      </c>
      <c r="L32" s="1958" t="e">
        <f>HLOOKUP(K$25,$G$56:$M$73,P63)</f>
        <v>#N/A</v>
      </c>
      <c r="M32" s="1958" t="e">
        <f t="shared" si="1"/>
        <v>#N/A</v>
      </c>
      <c r="N32" s="63"/>
    </row>
    <row r="33" spans="2:14" ht="14.25" hidden="1">
      <c r="B33" s="63"/>
      <c r="C33" s="63"/>
      <c r="D33" s="1964" t="s">
        <v>1162</v>
      </c>
      <c r="E33" s="1965"/>
      <c r="F33" s="63"/>
      <c r="G33" s="1961" t="s">
        <v>1162</v>
      </c>
      <c r="H33" s="2375" t="str">
        <f t="shared" si="2"/>
        <v/>
      </c>
      <c r="I33" s="63"/>
      <c r="J33" s="63"/>
      <c r="K33" s="1961" t="s">
        <v>1162</v>
      </c>
      <c r="L33" s="1958" t="e">
        <f t="shared" si="0"/>
        <v>#N/A</v>
      </c>
      <c r="M33" s="1958" t="e">
        <f t="shared" si="1"/>
        <v>#N/A</v>
      </c>
      <c r="N33" s="63"/>
    </row>
    <row r="34" spans="2:14" ht="14.25">
      <c r="B34" s="63"/>
      <c r="C34" s="63"/>
      <c r="D34" s="1955" t="s">
        <v>1759</v>
      </c>
      <c r="E34" s="1956">
        <f>メイン!W78</f>
        <v>0</v>
      </c>
      <c r="F34" s="63"/>
      <c r="G34" s="1957" t="s">
        <v>1760</v>
      </c>
      <c r="H34" s="2375" t="str">
        <f t="shared" si="2"/>
        <v/>
      </c>
      <c r="I34" s="63"/>
      <c r="J34" s="63"/>
      <c r="K34" s="1957" t="s">
        <v>1760</v>
      </c>
      <c r="L34" s="1958" t="e">
        <f t="shared" si="0"/>
        <v>#N/A</v>
      </c>
      <c r="M34" s="1958" t="e">
        <f t="shared" si="1"/>
        <v>#N/A</v>
      </c>
      <c r="N34" s="63"/>
    </row>
    <row r="35" spans="2:14" ht="14.25">
      <c r="B35" s="63"/>
      <c r="C35" s="63"/>
      <c r="D35" s="1962" t="s">
        <v>543</v>
      </c>
      <c r="E35" s="1963">
        <f>メイン!W79</f>
        <v>3000</v>
      </c>
      <c r="F35" s="63"/>
      <c r="G35" s="1957" t="s">
        <v>1761</v>
      </c>
      <c r="H35" s="2375">
        <f t="shared" si="2"/>
        <v>0.3</v>
      </c>
      <c r="I35" s="63"/>
      <c r="J35" s="63"/>
      <c r="K35" s="1957" t="s">
        <v>1761</v>
      </c>
      <c r="L35" s="1958" t="e">
        <f t="shared" si="0"/>
        <v>#N/A</v>
      </c>
      <c r="M35" s="1958" t="e">
        <f t="shared" si="1"/>
        <v>#N/A</v>
      </c>
      <c r="N35" s="63"/>
    </row>
    <row r="36" spans="2:14" ht="14.25">
      <c r="B36" s="63"/>
      <c r="C36" s="63"/>
      <c r="D36" s="1964" t="s">
        <v>545</v>
      </c>
      <c r="E36" s="1965">
        <f>メイン!W80</f>
        <v>0</v>
      </c>
      <c r="F36" s="63"/>
      <c r="G36" s="1966" t="s">
        <v>1762</v>
      </c>
      <c r="H36" s="2375" t="str">
        <f t="shared" si="2"/>
        <v/>
      </c>
      <c r="I36" s="63"/>
      <c r="J36" s="63"/>
      <c r="K36" s="1966" t="s">
        <v>1762</v>
      </c>
      <c r="L36" s="1958" t="e">
        <f>HLOOKUP(K$25,$G$56:$M$73,P67)</f>
        <v>#N/A</v>
      </c>
      <c r="M36" s="1958" t="e">
        <f t="shared" si="1"/>
        <v>#N/A</v>
      </c>
      <c r="N36" s="63"/>
    </row>
    <row r="37" spans="2:14" ht="14.25">
      <c r="B37" s="63"/>
      <c r="C37" s="63"/>
      <c r="D37" s="1959" t="s">
        <v>956</v>
      </c>
      <c r="E37" s="1960">
        <f>メイン!W81</f>
        <v>0</v>
      </c>
      <c r="F37" s="63"/>
      <c r="G37" s="1957" t="s">
        <v>956</v>
      </c>
      <c r="H37" s="2375" t="str">
        <f t="shared" si="2"/>
        <v/>
      </c>
      <c r="I37" s="63"/>
      <c r="J37" s="63"/>
      <c r="K37" s="1957" t="s">
        <v>956</v>
      </c>
      <c r="L37" s="1958" t="e">
        <f t="shared" si="0"/>
        <v>#N/A</v>
      </c>
      <c r="M37" s="1958" t="e">
        <f t="shared" si="1"/>
        <v>#N/A</v>
      </c>
      <c r="N37" s="63"/>
    </row>
    <row r="38" spans="2:14" ht="14.25">
      <c r="B38" s="63"/>
      <c r="C38" s="63"/>
      <c r="D38" s="1959" t="s">
        <v>957</v>
      </c>
      <c r="E38" s="1960">
        <f>メイン!W82</f>
        <v>0</v>
      </c>
      <c r="F38" s="63"/>
      <c r="G38" s="1957" t="s">
        <v>957</v>
      </c>
      <c r="H38" s="2375" t="str">
        <f t="shared" si="2"/>
        <v/>
      </c>
      <c r="I38" s="63"/>
      <c r="J38" s="63"/>
      <c r="K38" s="1957" t="s">
        <v>957</v>
      </c>
      <c r="L38" s="1958" t="e">
        <f t="shared" si="0"/>
        <v>#N/A</v>
      </c>
      <c r="M38" s="1958" t="e">
        <f t="shared" si="1"/>
        <v>#N/A</v>
      </c>
      <c r="N38" s="63"/>
    </row>
    <row r="39" spans="2:14" ht="14.25">
      <c r="B39" s="63"/>
      <c r="C39" s="63"/>
      <c r="D39" s="1962" t="s">
        <v>958</v>
      </c>
      <c r="E39" s="1963">
        <f>メイン!W83</f>
        <v>0</v>
      </c>
      <c r="F39" s="63"/>
      <c r="G39" s="1957" t="s">
        <v>958</v>
      </c>
      <c r="H39" s="2375" t="str">
        <f t="shared" si="2"/>
        <v/>
      </c>
      <c r="I39" s="63"/>
      <c r="J39" s="63"/>
      <c r="K39" s="1957" t="s">
        <v>958</v>
      </c>
      <c r="L39" s="1958" t="e">
        <f t="shared" si="0"/>
        <v>#N/A</v>
      </c>
      <c r="M39" s="1958" t="e">
        <f t="shared" si="1"/>
        <v>#N/A</v>
      </c>
      <c r="N39" s="63"/>
    </row>
    <row r="40" spans="2:14" ht="14.25">
      <c r="B40" s="63"/>
      <c r="C40" s="63"/>
      <c r="D40" s="1964" t="s">
        <v>211</v>
      </c>
      <c r="E40" s="1965">
        <f>メイン!W85</f>
        <v>0</v>
      </c>
      <c r="F40" s="63"/>
      <c r="G40" s="1957" t="s">
        <v>211</v>
      </c>
      <c r="H40" s="2375" t="str">
        <f t="shared" si="2"/>
        <v/>
      </c>
      <c r="I40" s="63"/>
      <c r="J40" s="63"/>
      <c r="K40" s="1957" t="s">
        <v>211</v>
      </c>
      <c r="L40" s="1958" t="e">
        <f t="shared" si="0"/>
        <v>#N/A</v>
      </c>
      <c r="M40" s="1958" t="e">
        <f t="shared" si="1"/>
        <v>#N/A</v>
      </c>
      <c r="N40" s="63"/>
    </row>
    <row r="41" spans="2:14" ht="14.25" hidden="1">
      <c r="B41" s="63"/>
      <c r="C41" s="63"/>
      <c r="D41" s="1964" t="s">
        <v>960</v>
      </c>
      <c r="E41" s="1965"/>
      <c r="F41" s="63"/>
      <c r="G41" s="1961" t="s">
        <v>960</v>
      </c>
      <c r="H41" s="2375" t="str">
        <f t="shared" si="2"/>
        <v/>
      </c>
      <c r="I41" s="63"/>
      <c r="J41" s="63"/>
      <c r="K41" s="1961" t="s">
        <v>960</v>
      </c>
      <c r="L41" s="1958" t="e">
        <f t="shared" si="0"/>
        <v>#N/A</v>
      </c>
      <c r="M41" s="1958" t="e">
        <f t="shared" si="1"/>
        <v>#N/A</v>
      </c>
      <c r="N41" s="63"/>
    </row>
    <row r="42" spans="2:14" ht="15" thickBot="1">
      <c r="B42" s="63"/>
      <c r="C42" s="63"/>
      <c r="D42" s="1964" t="s">
        <v>862</v>
      </c>
      <c r="E42" s="1965">
        <f>メイン!W86</f>
        <v>0</v>
      </c>
      <c r="F42" s="63"/>
      <c r="G42" s="1957" t="s">
        <v>1763</v>
      </c>
      <c r="H42" s="2376" t="str">
        <f t="shared" si="2"/>
        <v/>
      </c>
      <c r="I42" s="63"/>
      <c r="J42" s="63"/>
      <c r="K42" s="1957" t="s">
        <v>1763</v>
      </c>
      <c r="L42" s="1958" t="e">
        <f t="shared" si="0"/>
        <v>#N/A</v>
      </c>
      <c r="M42" s="1958" t="e">
        <f t="shared" si="1"/>
        <v>#N/A</v>
      </c>
      <c r="N42" s="63"/>
    </row>
    <row r="43" spans="2:14" hidden="1">
      <c r="B43" s="63"/>
      <c r="C43" s="63"/>
      <c r="D43" s="1967"/>
      <c r="E43" s="1965"/>
      <c r="F43" s="63"/>
      <c r="G43" s="1968"/>
      <c r="H43" s="1969"/>
      <c r="I43" s="63"/>
      <c r="J43" s="63"/>
      <c r="K43" s="1968"/>
      <c r="L43" s="1958"/>
      <c r="M43" s="1958"/>
      <c r="N43" s="63"/>
    </row>
    <row r="44" spans="2:14">
      <c r="B44" s="63"/>
      <c r="C44" s="63"/>
      <c r="D44" s="1967" t="s">
        <v>557</v>
      </c>
      <c r="E44" s="1970">
        <f>SUM(E25:E43)</f>
        <v>10000</v>
      </c>
      <c r="F44" s="63"/>
      <c r="G44" s="1971" t="s">
        <v>557</v>
      </c>
      <c r="H44" s="1972">
        <f>SUM(H26:H42)</f>
        <v>1</v>
      </c>
      <c r="I44" s="63"/>
      <c r="J44" s="63"/>
      <c r="K44" s="1968" t="s">
        <v>557</v>
      </c>
      <c r="L44" s="1970" t="e">
        <f>SUMPRODUCT(H26:H42,L26:L42)</f>
        <v>#N/A</v>
      </c>
      <c r="M44" s="1970" t="e">
        <f>SUMPRODUCT(H26:H42,M26:M42)</f>
        <v>#N/A</v>
      </c>
      <c r="N44" s="63"/>
    </row>
    <row r="45" spans="2:14">
      <c r="B45" s="63"/>
      <c r="C45" s="63"/>
      <c r="D45" s="1927" t="s">
        <v>1764</v>
      </c>
      <c r="E45" s="63"/>
      <c r="F45" s="63"/>
      <c r="G45" s="63"/>
      <c r="H45" s="63"/>
      <c r="I45" s="63"/>
      <c r="J45" s="63"/>
      <c r="K45" s="63"/>
      <c r="L45" s="63"/>
      <c r="M45" s="63"/>
      <c r="N45" s="63"/>
    </row>
    <row r="46" spans="2:14">
      <c r="B46" s="63"/>
      <c r="C46" s="63"/>
      <c r="D46" s="63"/>
      <c r="E46" s="63"/>
      <c r="F46" s="63"/>
      <c r="G46" s="1950"/>
      <c r="H46" s="63"/>
      <c r="I46" s="63"/>
      <c r="J46" s="63"/>
      <c r="K46" s="63"/>
      <c r="L46" s="63"/>
      <c r="M46" s="63"/>
      <c r="N46" s="63"/>
    </row>
    <row r="47" spans="2:14">
      <c r="B47" s="63"/>
      <c r="C47" s="1973" t="s">
        <v>1163</v>
      </c>
      <c r="D47" s="63"/>
      <c r="E47" s="63"/>
      <c r="F47" s="63"/>
      <c r="G47" s="63"/>
      <c r="H47" s="63"/>
      <c r="I47" s="63"/>
      <c r="J47" s="63"/>
      <c r="K47" s="63"/>
      <c r="L47" s="63"/>
      <c r="M47" s="63"/>
      <c r="N47" s="63"/>
    </row>
    <row r="48" spans="2:14">
      <c r="B48" s="63"/>
      <c r="C48" s="63"/>
      <c r="D48" s="1944" t="s">
        <v>1181</v>
      </c>
      <c r="E48" s="63"/>
      <c r="F48" s="63"/>
      <c r="G48" s="63"/>
      <c r="H48" s="63"/>
      <c r="I48" s="1974">
        <f>L14-SUM(H14:H18)</f>
        <v>10000</v>
      </c>
      <c r="J48" s="1927" t="s">
        <v>1747</v>
      </c>
      <c r="K48" s="1927"/>
      <c r="L48" s="1927"/>
      <c r="M48" s="1927"/>
      <c r="N48" s="63"/>
    </row>
    <row r="49" spans="2:16">
      <c r="B49" s="63"/>
      <c r="C49" s="63"/>
      <c r="D49" s="1928" t="s">
        <v>1164</v>
      </c>
      <c r="E49" s="63"/>
      <c r="F49" s="63"/>
      <c r="G49" s="63"/>
      <c r="H49" s="63"/>
      <c r="I49" s="1974">
        <f>J20/I48*1000</f>
        <v>0</v>
      </c>
      <c r="J49" s="1927" t="s">
        <v>1765</v>
      </c>
      <c r="K49" s="1927"/>
      <c r="L49" s="1927"/>
      <c r="M49" s="1927"/>
      <c r="N49" s="63"/>
    </row>
    <row r="50" spans="2:16" ht="14.25" thickBot="1">
      <c r="B50" s="63"/>
      <c r="C50" s="63"/>
      <c r="D50" s="1928" t="s">
        <v>1165</v>
      </c>
      <c r="E50" s="63"/>
      <c r="F50" s="63"/>
      <c r="G50" s="1950"/>
      <c r="H50" s="1975" t="s">
        <v>1166</v>
      </c>
      <c r="I50" s="1974" t="e">
        <f>L44</f>
        <v>#N/A</v>
      </c>
      <c r="J50" s="1927" t="s">
        <v>1765</v>
      </c>
      <c r="K50" s="1976" t="s">
        <v>1167</v>
      </c>
      <c r="L50" s="1974" t="e">
        <f>M44</f>
        <v>#N/A</v>
      </c>
      <c r="M50" s="1927" t="s">
        <v>1765</v>
      </c>
      <c r="N50" s="63"/>
    </row>
    <row r="51" spans="2:16" ht="14.25" thickBot="1">
      <c r="B51" s="63"/>
      <c r="C51" s="63"/>
      <c r="D51" s="1928" t="s">
        <v>1168</v>
      </c>
      <c r="E51" s="63"/>
      <c r="F51" s="63"/>
      <c r="G51" s="63"/>
      <c r="H51" s="63"/>
      <c r="I51" s="1977" t="e">
        <f>IF(I14&gt;=0.8,1,IF(I48=0,0,IF(I49&gt;L50,-1,IF(I49&lt;I50,1,0))))</f>
        <v>#N/A</v>
      </c>
      <c r="J51" s="1944" t="e">
        <f>IF(I51=1,"レベル上げる",IF(I51=-1,"レベル下げる","上下なし"))</f>
        <v>#N/A</v>
      </c>
      <c r="K51" s="1978" t="s">
        <v>1169</v>
      </c>
      <c r="L51" s="63"/>
      <c r="M51" s="63"/>
      <c r="N51" s="63"/>
    </row>
    <row r="52" spans="2:16" ht="9.75" customHeight="1">
      <c r="B52" s="63"/>
      <c r="C52" s="63"/>
      <c r="D52" s="63"/>
      <c r="E52" s="63"/>
      <c r="F52" s="63"/>
      <c r="G52" s="1950"/>
      <c r="H52" s="63"/>
      <c r="I52" s="63"/>
      <c r="J52" s="63"/>
      <c r="K52" s="63"/>
      <c r="L52" s="63"/>
      <c r="M52" s="63"/>
      <c r="N52" s="63"/>
    </row>
    <row r="53" spans="2:16">
      <c r="B53" s="63"/>
      <c r="C53" s="63"/>
      <c r="D53" s="63"/>
      <c r="E53" s="1979" t="s">
        <v>1170</v>
      </c>
      <c r="F53" s="63"/>
      <c r="G53" s="63"/>
      <c r="H53" s="63"/>
      <c r="I53" s="63"/>
      <c r="J53" s="63"/>
      <c r="K53" s="63"/>
      <c r="L53" s="63"/>
      <c r="M53" s="63"/>
      <c r="N53" s="63"/>
    </row>
    <row r="54" spans="2:16">
      <c r="B54" s="63"/>
      <c r="C54" s="63"/>
      <c r="D54" s="1950"/>
      <c r="E54" s="1949" t="s">
        <v>1171</v>
      </c>
      <c r="F54" s="63"/>
      <c r="G54" s="63"/>
      <c r="H54" s="63"/>
      <c r="I54" s="63"/>
      <c r="J54" s="63"/>
      <c r="K54" s="63"/>
      <c r="L54" s="63"/>
      <c r="M54" s="63"/>
      <c r="N54" s="63"/>
    </row>
    <row r="55" spans="2:16">
      <c r="B55" s="63"/>
      <c r="C55" s="63"/>
      <c r="D55" s="63"/>
      <c r="E55" s="1968" t="s">
        <v>225</v>
      </c>
      <c r="F55" s="63"/>
      <c r="G55" s="1980" t="s">
        <v>1123</v>
      </c>
      <c r="H55" s="1980" t="s">
        <v>1126</v>
      </c>
      <c r="I55" s="1980" t="s">
        <v>1117</v>
      </c>
      <c r="J55" s="1980" t="s">
        <v>1131</v>
      </c>
      <c r="K55" s="1980" t="s">
        <v>1124</v>
      </c>
      <c r="L55" s="1980" t="s">
        <v>1132</v>
      </c>
      <c r="M55" s="1980" t="s">
        <v>1128</v>
      </c>
      <c r="N55" s="63"/>
    </row>
    <row r="56" spans="2:16" hidden="1">
      <c r="B56" s="63"/>
      <c r="C56" s="63"/>
      <c r="D56" s="63"/>
      <c r="E56" s="1981"/>
      <c r="F56" s="63"/>
      <c r="G56" s="1980" t="s">
        <v>1766</v>
      </c>
      <c r="H56" s="1980" t="s">
        <v>1767</v>
      </c>
      <c r="I56" s="1980" t="s">
        <v>1768</v>
      </c>
      <c r="J56" s="1980" t="s">
        <v>1769</v>
      </c>
      <c r="K56" s="1980" t="s">
        <v>1770</v>
      </c>
      <c r="L56" s="1980" t="s">
        <v>1771</v>
      </c>
      <c r="M56" s="1980" t="s">
        <v>1772</v>
      </c>
      <c r="N56" s="63"/>
    </row>
    <row r="57" spans="2:16">
      <c r="B57" s="63"/>
      <c r="C57" s="63"/>
      <c r="D57" s="63"/>
      <c r="E57" s="1968" t="s">
        <v>204</v>
      </c>
      <c r="F57" s="63"/>
      <c r="G57" s="1958">
        <v>1900</v>
      </c>
      <c r="H57" s="1958">
        <v>1900</v>
      </c>
      <c r="I57" s="1958">
        <v>1900</v>
      </c>
      <c r="J57" s="1958">
        <v>1900</v>
      </c>
      <c r="K57" s="1958">
        <v>1900</v>
      </c>
      <c r="L57" s="1958">
        <v>1900</v>
      </c>
      <c r="M57" s="1958">
        <v>1900</v>
      </c>
      <c r="N57" s="63"/>
      <c r="P57">
        <v>2</v>
      </c>
    </row>
    <row r="58" spans="2:16" hidden="1">
      <c r="B58" s="63"/>
      <c r="C58" s="63"/>
      <c r="D58" s="63"/>
      <c r="E58" s="1981" t="s">
        <v>1130</v>
      </c>
      <c r="F58" s="63"/>
      <c r="G58" s="1958"/>
      <c r="H58" s="1958"/>
      <c r="I58" s="1958"/>
      <c r="J58" s="1958"/>
      <c r="K58" s="1958"/>
      <c r="L58" s="1958"/>
      <c r="M58" s="1958"/>
      <c r="N58" s="63"/>
      <c r="P58">
        <v>3</v>
      </c>
    </row>
    <row r="59" spans="2:16">
      <c r="B59" s="63"/>
      <c r="C59" s="63"/>
      <c r="D59" s="63"/>
      <c r="E59" s="1968" t="s">
        <v>952</v>
      </c>
      <c r="F59" s="63"/>
      <c r="G59" s="1958">
        <v>1100</v>
      </c>
      <c r="H59" s="1958">
        <v>1100</v>
      </c>
      <c r="I59" s="1958">
        <v>1100</v>
      </c>
      <c r="J59" s="1958">
        <v>1100</v>
      </c>
      <c r="K59" s="1958">
        <v>1100</v>
      </c>
      <c r="L59" s="1958">
        <v>1100</v>
      </c>
      <c r="M59" s="1958">
        <v>1100</v>
      </c>
      <c r="N59" s="63"/>
      <c r="P59">
        <v>4</v>
      </c>
    </row>
    <row r="60" spans="2:16">
      <c r="B60" s="63"/>
      <c r="C60" s="63"/>
      <c r="D60" s="63"/>
      <c r="E60" s="1968" t="s">
        <v>953</v>
      </c>
      <c r="F60" s="63"/>
      <c r="G60" s="1958">
        <v>520</v>
      </c>
      <c r="H60" s="1958">
        <v>520</v>
      </c>
      <c r="I60" s="1958">
        <v>520</v>
      </c>
      <c r="J60" s="1958">
        <v>520</v>
      </c>
      <c r="K60" s="1958">
        <v>520</v>
      </c>
      <c r="L60" s="1958">
        <v>520</v>
      </c>
      <c r="M60" s="1958">
        <v>520</v>
      </c>
      <c r="N60" s="63"/>
      <c r="P60">
        <v>5</v>
      </c>
    </row>
    <row r="61" spans="2:16">
      <c r="B61" s="63"/>
      <c r="C61" s="63"/>
      <c r="D61" s="63"/>
      <c r="E61" s="1968" t="s">
        <v>1136</v>
      </c>
      <c r="F61" s="63"/>
      <c r="G61" s="1982">
        <v>510</v>
      </c>
      <c r="H61" s="1958">
        <v>270</v>
      </c>
      <c r="I61" s="1958">
        <v>270</v>
      </c>
      <c r="J61" s="1958">
        <v>270</v>
      </c>
      <c r="K61" s="1958">
        <v>270</v>
      </c>
      <c r="L61" s="1958">
        <v>270</v>
      </c>
      <c r="M61" s="1958">
        <v>270</v>
      </c>
      <c r="N61" s="63"/>
      <c r="P61">
        <v>6</v>
      </c>
    </row>
    <row r="62" spans="2:16">
      <c r="B62" s="63"/>
      <c r="C62" s="63"/>
      <c r="D62" s="63"/>
      <c r="E62" s="1968" t="s">
        <v>1161</v>
      </c>
      <c r="F62" s="63"/>
      <c r="G62" s="1958">
        <v>330</v>
      </c>
      <c r="H62" s="1958">
        <v>330</v>
      </c>
      <c r="I62" s="1958">
        <v>330</v>
      </c>
      <c r="J62" s="1958">
        <v>330</v>
      </c>
      <c r="K62" s="1958">
        <v>330</v>
      </c>
      <c r="L62" s="1958">
        <v>330</v>
      </c>
      <c r="M62" s="1958">
        <v>330</v>
      </c>
      <c r="N62" s="63"/>
      <c r="P62">
        <v>7</v>
      </c>
    </row>
    <row r="63" spans="2:16">
      <c r="B63" s="63"/>
      <c r="C63" s="63"/>
      <c r="D63" s="63"/>
      <c r="E63" s="1968" t="s">
        <v>954</v>
      </c>
      <c r="F63" s="63"/>
      <c r="G63" s="1958">
        <v>1000</v>
      </c>
      <c r="H63" s="1958">
        <v>1000</v>
      </c>
      <c r="I63" s="1958">
        <v>1000</v>
      </c>
      <c r="J63" s="1958">
        <v>1000</v>
      </c>
      <c r="K63" s="1958">
        <v>1000</v>
      </c>
      <c r="L63" s="1958">
        <v>1000</v>
      </c>
      <c r="M63" s="1958">
        <v>1000</v>
      </c>
      <c r="N63" s="63"/>
      <c r="P63">
        <v>8</v>
      </c>
    </row>
    <row r="64" spans="2:16" hidden="1">
      <c r="B64" s="63"/>
      <c r="C64" s="63"/>
      <c r="D64" s="63"/>
      <c r="E64" s="1981" t="s">
        <v>1162</v>
      </c>
      <c r="F64" s="63"/>
      <c r="G64" s="1958"/>
      <c r="H64" s="1958"/>
      <c r="I64" s="1958"/>
      <c r="J64" s="1958"/>
      <c r="K64" s="1958"/>
      <c r="L64" s="1958"/>
      <c r="M64" s="1958"/>
      <c r="N64" s="63"/>
      <c r="P64">
        <v>9</v>
      </c>
    </row>
    <row r="65" spans="2:16">
      <c r="B65" s="63"/>
      <c r="C65" s="63"/>
      <c r="D65" s="63"/>
      <c r="E65" s="1968" t="s">
        <v>1773</v>
      </c>
      <c r="F65" s="63"/>
      <c r="G65" s="1958">
        <v>2900</v>
      </c>
      <c r="H65" s="1958">
        <v>2900</v>
      </c>
      <c r="I65" s="1958">
        <v>2900</v>
      </c>
      <c r="J65" s="1958">
        <v>2900</v>
      </c>
      <c r="K65" s="1958">
        <v>2900</v>
      </c>
      <c r="L65" s="1958">
        <v>2900</v>
      </c>
      <c r="M65" s="1958">
        <v>2900</v>
      </c>
      <c r="N65" s="63"/>
      <c r="P65">
        <v>10</v>
      </c>
    </row>
    <row r="66" spans="2:16">
      <c r="B66" s="63"/>
      <c r="C66" s="63"/>
      <c r="D66" s="63"/>
      <c r="E66" s="1968" t="s">
        <v>1774</v>
      </c>
      <c r="F66" s="63"/>
      <c r="G66" s="1958">
        <v>2400</v>
      </c>
      <c r="H66" s="1958">
        <v>2400</v>
      </c>
      <c r="I66" s="1958">
        <v>2400</v>
      </c>
      <c r="J66" s="1958">
        <v>2400</v>
      </c>
      <c r="K66" s="1958">
        <v>2400</v>
      </c>
      <c r="L66" s="1958">
        <v>2400</v>
      </c>
      <c r="M66" s="1958">
        <v>2400</v>
      </c>
      <c r="N66" s="63"/>
      <c r="P66">
        <v>11</v>
      </c>
    </row>
    <row r="67" spans="2:16">
      <c r="B67" s="63"/>
      <c r="C67" s="63"/>
      <c r="D67" s="63"/>
      <c r="E67" s="551" t="s">
        <v>1775</v>
      </c>
      <c r="F67" s="63"/>
      <c r="G67" s="1958">
        <v>2900</v>
      </c>
      <c r="H67" s="1958">
        <v>2900</v>
      </c>
      <c r="I67" s="1958">
        <v>2900</v>
      </c>
      <c r="J67" s="1958">
        <v>2900</v>
      </c>
      <c r="K67" s="1958">
        <v>2900</v>
      </c>
      <c r="L67" s="1958">
        <v>2900</v>
      </c>
      <c r="M67" s="1958">
        <v>2900</v>
      </c>
      <c r="N67" s="63"/>
      <c r="P67">
        <v>12</v>
      </c>
    </row>
    <row r="68" spans="2:16">
      <c r="B68" s="63"/>
      <c r="C68" s="63"/>
      <c r="D68" s="63"/>
      <c r="E68" s="1968" t="s">
        <v>956</v>
      </c>
      <c r="F68" s="63"/>
      <c r="G68" s="1958">
        <v>1400</v>
      </c>
      <c r="H68" s="1958">
        <v>1400</v>
      </c>
      <c r="I68" s="1958">
        <v>1400</v>
      </c>
      <c r="J68" s="1958">
        <v>1400</v>
      </c>
      <c r="K68" s="1958">
        <v>1400</v>
      </c>
      <c r="L68" s="1958">
        <v>1400</v>
      </c>
      <c r="M68" s="1958">
        <v>1400</v>
      </c>
      <c r="N68" s="63"/>
      <c r="P68">
        <v>13</v>
      </c>
    </row>
    <row r="69" spans="2:16">
      <c r="B69" s="63"/>
      <c r="C69" s="63"/>
      <c r="D69" s="63"/>
      <c r="E69" s="1968" t="s">
        <v>957</v>
      </c>
      <c r="F69" s="63"/>
      <c r="G69" s="1958">
        <v>1300</v>
      </c>
      <c r="H69" s="1958">
        <v>1300</v>
      </c>
      <c r="I69" s="1958">
        <v>1300</v>
      </c>
      <c r="J69" s="1958">
        <v>1300</v>
      </c>
      <c r="K69" s="1958">
        <v>1300</v>
      </c>
      <c r="L69" s="1958">
        <v>1300</v>
      </c>
      <c r="M69" s="1958">
        <v>1300</v>
      </c>
      <c r="N69" s="63"/>
      <c r="P69">
        <v>14</v>
      </c>
    </row>
    <row r="70" spans="2:16">
      <c r="B70" s="63"/>
      <c r="C70" s="63"/>
      <c r="D70" s="63"/>
      <c r="E70" s="1968" t="s">
        <v>958</v>
      </c>
      <c r="F70" s="63"/>
      <c r="G70" s="1958">
        <v>1450</v>
      </c>
      <c r="H70" s="1958">
        <v>1450</v>
      </c>
      <c r="I70" s="1958">
        <v>1450</v>
      </c>
      <c r="J70" s="1958">
        <v>1450</v>
      </c>
      <c r="K70" s="1958">
        <v>1450</v>
      </c>
      <c r="L70" s="1958">
        <v>1450</v>
      </c>
      <c r="M70" s="1958">
        <v>1450</v>
      </c>
      <c r="N70" s="63"/>
      <c r="P70">
        <v>15</v>
      </c>
    </row>
    <row r="71" spans="2:16">
      <c r="B71" s="63"/>
      <c r="C71" s="63"/>
      <c r="D71" s="63"/>
      <c r="E71" s="1968" t="s">
        <v>211</v>
      </c>
      <c r="F71" s="63"/>
      <c r="G71" s="1958">
        <v>2450</v>
      </c>
      <c r="H71" s="1958">
        <v>2450</v>
      </c>
      <c r="I71" s="1958">
        <v>2450</v>
      </c>
      <c r="J71" s="1958">
        <v>2450</v>
      </c>
      <c r="K71" s="1958">
        <v>2450</v>
      </c>
      <c r="L71" s="1958">
        <v>2450</v>
      </c>
      <c r="M71" s="1958">
        <v>2450</v>
      </c>
      <c r="N71" s="63"/>
      <c r="P71">
        <v>16</v>
      </c>
    </row>
    <row r="72" spans="2:16" hidden="1">
      <c r="B72" s="63"/>
      <c r="C72" s="63"/>
      <c r="D72" s="63"/>
      <c r="E72" s="1981" t="s">
        <v>960</v>
      </c>
      <c r="F72" s="63"/>
      <c r="G72" s="1958"/>
      <c r="H72" s="1958"/>
      <c r="I72" s="1958"/>
      <c r="J72" s="1958"/>
      <c r="K72" s="1958"/>
      <c r="L72" s="1958"/>
      <c r="M72" s="1958"/>
      <c r="N72" s="63"/>
      <c r="P72">
        <v>17</v>
      </c>
    </row>
    <row r="73" spans="2:16">
      <c r="B73" s="63"/>
      <c r="C73" s="63"/>
      <c r="D73" s="63"/>
      <c r="E73" s="1968" t="s">
        <v>1776</v>
      </c>
      <c r="F73" s="63"/>
      <c r="G73" s="1958">
        <v>2750</v>
      </c>
      <c r="H73" s="1958">
        <v>2750</v>
      </c>
      <c r="I73" s="1958">
        <v>2750</v>
      </c>
      <c r="J73" s="1958">
        <v>2750</v>
      </c>
      <c r="K73" s="1958">
        <v>2750</v>
      </c>
      <c r="L73" s="1958">
        <v>2750</v>
      </c>
      <c r="M73" s="1958">
        <v>2750</v>
      </c>
      <c r="N73" s="63"/>
      <c r="P73">
        <v>18</v>
      </c>
    </row>
    <row r="74" spans="2:16" hidden="1">
      <c r="B74" s="63"/>
      <c r="C74" s="63"/>
      <c r="D74" s="63"/>
      <c r="E74" s="1968"/>
      <c r="F74" s="63"/>
      <c r="G74" s="1968"/>
      <c r="H74" s="1968"/>
      <c r="I74" s="1968"/>
      <c r="J74" s="1968"/>
      <c r="K74" s="1968"/>
      <c r="L74" s="1968"/>
      <c r="M74" s="1968"/>
      <c r="N74" s="63"/>
    </row>
    <row r="75" spans="2:16" ht="7.5" customHeight="1">
      <c r="B75" s="63"/>
      <c r="C75" s="63"/>
      <c r="D75" s="63"/>
      <c r="E75" s="63"/>
      <c r="F75" s="63"/>
      <c r="G75" s="63"/>
      <c r="H75" s="63"/>
      <c r="I75" s="63"/>
      <c r="J75" s="63"/>
      <c r="K75" s="63"/>
      <c r="L75" s="63"/>
      <c r="M75" s="63"/>
      <c r="N75" s="63"/>
    </row>
    <row r="76" spans="2:16">
      <c r="B76" s="63"/>
      <c r="C76" s="63"/>
      <c r="D76" s="63"/>
      <c r="E76" s="1950" t="s">
        <v>1758</v>
      </c>
      <c r="F76" s="63"/>
      <c r="G76" s="63"/>
      <c r="H76" s="63"/>
      <c r="I76" s="63"/>
      <c r="J76" s="63"/>
      <c r="K76" s="63"/>
      <c r="L76" s="63"/>
      <c r="M76" s="63"/>
      <c r="N76" s="63"/>
    </row>
    <row r="77" spans="2:16">
      <c r="B77" s="63"/>
      <c r="C77" s="63"/>
      <c r="D77" s="63"/>
      <c r="E77" s="1968" t="s">
        <v>225</v>
      </c>
      <c r="F77" s="63"/>
      <c r="G77" s="1980" t="s">
        <v>1123</v>
      </c>
      <c r="H77" s="1980" t="s">
        <v>1126</v>
      </c>
      <c r="I77" s="1980" t="s">
        <v>1117</v>
      </c>
      <c r="J77" s="1980" t="s">
        <v>1131</v>
      </c>
      <c r="K77" s="1980" t="s">
        <v>1124</v>
      </c>
      <c r="L77" s="1980" t="s">
        <v>1132</v>
      </c>
      <c r="M77" s="1980" t="s">
        <v>1128</v>
      </c>
      <c r="N77" s="63"/>
    </row>
    <row r="78" spans="2:16" hidden="1">
      <c r="B78" s="63"/>
      <c r="C78" s="63"/>
      <c r="D78" s="63"/>
      <c r="E78" s="1981"/>
      <c r="F78" s="63"/>
      <c r="G78" s="1980" t="s">
        <v>1766</v>
      </c>
      <c r="H78" s="1980" t="s">
        <v>1767</v>
      </c>
      <c r="I78" s="1980" t="s">
        <v>1768</v>
      </c>
      <c r="J78" s="1980" t="s">
        <v>1769</v>
      </c>
      <c r="K78" s="1980" t="s">
        <v>1770</v>
      </c>
      <c r="L78" s="1980" t="s">
        <v>1771</v>
      </c>
      <c r="M78" s="1980" t="s">
        <v>1772</v>
      </c>
      <c r="N78" s="63"/>
    </row>
    <row r="79" spans="2:16">
      <c r="B79" s="63"/>
      <c r="C79" s="63"/>
      <c r="D79" s="63"/>
      <c r="E79" s="1968" t="s">
        <v>204</v>
      </c>
      <c r="F79" s="63"/>
      <c r="G79" s="1958">
        <v>3250</v>
      </c>
      <c r="H79" s="1958">
        <v>3250</v>
      </c>
      <c r="I79" s="1958">
        <v>3250</v>
      </c>
      <c r="J79" s="1958">
        <v>3250</v>
      </c>
      <c r="K79" s="1958">
        <v>3250</v>
      </c>
      <c r="L79" s="1958">
        <v>3250</v>
      </c>
      <c r="M79" s="1958">
        <v>3250</v>
      </c>
      <c r="N79" s="63"/>
      <c r="P79">
        <v>2</v>
      </c>
    </row>
    <row r="80" spans="2:16" hidden="1">
      <c r="B80" s="63"/>
      <c r="C80" s="63"/>
      <c r="D80" s="63"/>
      <c r="E80" s="1981" t="s">
        <v>1130</v>
      </c>
      <c r="F80" s="63"/>
      <c r="G80" s="1958"/>
      <c r="H80" s="1958"/>
      <c r="I80" s="1958"/>
      <c r="J80" s="1958"/>
      <c r="K80" s="1958"/>
      <c r="L80" s="1958"/>
      <c r="M80" s="1958"/>
      <c r="N80" s="63"/>
      <c r="P80">
        <v>3</v>
      </c>
    </row>
    <row r="81" spans="2:16">
      <c r="B81" s="63"/>
      <c r="C81" s="63"/>
      <c r="D81" s="63"/>
      <c r="E81" s="1968" t="s">
        <v>952</v>
      </c>
      <c r="F81" s="63"/>
      <c r="G81" s="1958">
        <v>1600</v>
      </c>
      <c r="H81" s="1958">
        <v>1600</v>
      </c>
      <c r="I81" s="1958">
        <v>1600</v>
      </c>
      <c r="J81" s="1958">
        <v>1600</v>
      </c>
      <c r="K81" s="1958">
        <v>1600</v>
      </c>
      <c r="L81" s="1958">
        <v>1600</v>
      </c>
      <c r="M81" s="1958">
        <v>1600</v>
      </c>
      <c r="N81" s="63"/>
      <c r="P81">
        <v>4</v>
      </c>
    </row>
    <row r="82" spans="2:16">
      <c r="B82" s="63"/>
      <c r="C82" s="63"/>
      <c r="D82" s="63"/>
      <c r="E82" s="1968" t="s">
        <v>953</v>
      </c>
      <c r="F82" s="63"/>
      <c r="G82" s="1958">
        <v>1400</v>
      </c>
      <c r="H82" s="1958">
        <v>1400</v>
      </c>
      <c r="I82" s="1958">
        <v>1400</v>
      </c>
      <c r="J82" s="1958">
        <v>1400</v>
      </c>
      <c r="K82" s="1958">
        <v>1400</v>
      </c>
      <c r="L82" s="1958">
        <v>1400</v>
      </c>
      <c r="M82" s="1958">
        <v>1400</v>
      </c>
      <c r="N82" s="63"/>
      <c r="P82">
        <v>5</v>
      </c>
    </row>
    <row r="83" spans="2:16">
      <c r="B83" s="63"/>
      <c r="C83" s="63"/>
      <c r="D83" s="63"/>
      <c r="E83" s="1968" t="s">
        <v>1136</v>
      </c>
      <c r="F83" s="63"/>
      <c r="G83" s="1958">
        <v>800</v>
      </c>
      <c r="H83" s="1958">
        <v>460</v>
      </c>
      <c r="I83" s="1958">
        <v>460</v>
      </c>
      <c r="J83" s="1958">
        <v>460</v>
      </c>
      <c r="K83" s="1958">
        <v>460</v>
      </c>
      <c r="L83" s="1958">
        <v>460</v>
      </c>
      <c r="M83" s="1958">
        <v>460</v>
      </c>
      <c r="N83" s="63"/>
      <c r="P83">
        <v>6</v>
      </c>
    </row>
    <row r="84" spans="2:16">
      <c r="B84" s="63"/>
      <c r="C84" s="63"/>
      <c r="D84" s="63"/>
      <c r="E84" s="1968" t="s">
        <v>1161</v>
      </c>
      <c r="F84" s="63"/>
      <c r="G84" s="1958">
        <v>630</v>
      </c>
      <c r="H84" s="1958">
        <v>630</v>
      </c>
      <c r="I84" s="1958">
        <v>630</v>
      </c>
      <c r="J84" s="1958">
        <v>630</v>
      </c>
      <c r="K84" s="1958">
        <v>630</v>
      </c>
      <c r="L84" s="1958">
        <v>630</v>
      </c>
      <c r="M84" s="1958">
        <v>630</v>
      </c>
      <c r="N84" s="63"/>
      <c r="P84">
        <v>7</v>
      </c>
    </row>
    <row r="85" spans="2:16">
      <c r="B85" s="63"/>
      <c r="C85" s="63"/>
      <c r="D85" s="63"/>
      <c r="E85" s="1968" t="s">
        <v>954</v>
      </c>
      <c r="F85" s="63"/>
      <c r="G85" s="1958">
        <v>2300</v>
      </c>
      <c r="H85" s="1958">
        <v>2300</v>
      </c>
      <c r="I85" s="1958">
        <v>2300</v>
      </c>
      <c r="J85" s="1958">
        <v>2300</v>
      </c>
      <c r="K85" s="1958">
        <v>2300</v>
      </c>
      <c r="L85" s="1958">
        <v>2300</v>
      </c>
      <c r="M85" s="1958">
        <v>2300</v>
      </c>
      <c r="N85" s="63"/>
      <c r="P85">
        <v>8</v>
      </c>
    </row>
    <row r="86" spans="2:16" hidden="1">
      <c r="B86" s="63"/>
      <c r="C86" s="63"/>
      <c r="D86" s="63"/>
      <c r="E86" s="1981" t="s">
        <v>1162</v>
      </c>
      <c r="F86" s="63"/>
      <c r="G86" s="1958"/>
      <c r="H86" s="1958"/>
      <c r="I86" s="1958"/>
      <c r="J86" s="1958"/>
      <c r="K86" s="1958"/>
      <c r="L86" s="1958"/>
      <c r="M86" s="1958"/>
      <c r="N86" s="63"/>
      <c r="P86">
        <v>9</v>
      </c>
    </row>
    <row r="87" spans="2:16">
      <c r="B87" s="63"/>
      <c r="C87" s="63"/>
      <c r="D87" s="63"/>
      <c r="E87" s="1968" t="s">
        <v>1773</v>
      </c>
      <c r="F87" s="63"/>
      <c r="G87" s="1958">
        <v>4600</v>
      </c>
      <c r="H87" s="1958">
        <v>4600</v>
      </c>
      <c r="I87" s="1958">
        <v>4600</v>
      </c>
      <c r="J87" s="1958">
        <v>4600</v>
      </c>
      <c r="K87" s="1958">
        <v>4600</v>
      </c>
      <c r="L87" s="1958">
        <v>4600</v>
      </c>
      <c r="M87" s="1958">
        <v>4600</v>
      </c>
      <c r="N87" s="63"/>
      <c r="P87">
        <v>10</v>
      </c>
    </row>
    <row r="88" spans="2:16">
      <c r="B88" s="63"/>
      <c r="C88" s="63"/>
      <c r="D88" s="63"/>
      <c r="E88" s="1968" t="s">
        <v>1774</v>
      </c>
      <c r="F88" s="63"/>
      <c r="G88" s="1958">
        <v>3750</v>
      </c>
      <c r="H88" s="1958">
        <v>3750</v>
      </c>
      <c r="I88" s="1958">
        <v>3750</v>
      </c>
      <c r="J88" s="1958">
        <v>3750</v>
      </c>
      <c r="K88" s="1958">
        <v>3750</v>
      </c>
      <c r="L88" s="1958">
        <v>3750</v>
      </c>
      <c r="M88" s="1958">
        <v>3750</v>
      </c>
      <c r="N88" s="63"/>
      <c r="P88">
        <v>11</v>
      </c>
    </row>
    <row r="89" spans="2:16">
      <c r="B89" s="63"/>
      <c r="C89" s="63"/>
      <c r="D89" s="63"/>
      <c r="E89" s="551" t="s">
        <v>1775</v>
      </c>
      <c r="F89" s="63"/>
      <c r="G89" s="1958">
        <v>4600</v>
      </c>
      <c r="H89" s="1958">
        <v>4600</v>
      </c>
      <c r="I89" s="1958">
        <v>4600</v>
      </c>
      <c r="J89" s="1958">
        <v>4600</v>
      </c>
      <c r="K89" s="1958">
        <v>4600</v>
      </c>
      <c r="L89" s="1958">
        <v>4600</v>
      </c>
      <c r="M89" s="1958">
        <v>4600</v>
      </c>
      <c r="N89" s="63"/>
      <c r="P89">
        <v>12</v>
      </c>
    </row>
    <row r="90" spans="2:16">
      <c r="B90" s="63"/>
      <c r="C90" s="63"/>
      <c r="D90" s="63"/>
      <c r="E90" s="1968" t="s">
        <v>956</v>
      </c>
      <c r="F90" s="63"/>
      <c r="G90" s="1958">
        <v>2900</v>
      </c>
      <c r="H90" s="1958">
        <v>2900</v>
      </c>
      <c r="I90" s="1958">
        <v>2900</v>
      </c>
      <c r="J90" s="1958">
        <v>2900</v>
      </c>
      <c r="K90" s="1958">
        <v>2900</v>
      </c>
      <c r="L90" s="1958">
        <v>2900</v>
      </c>
      <c r="M90" s="1958">
        <v>2900</v>
      </c>
      <c r="N90" s="63"/>
      <c r="P90">
        <v>13</v>
      </c>
    </row>
    <row r="91" spans="2:16">
      <c r="B91" s="63"/>
      <c r="C91" s="63"/>
      <c r="D91" s="63"/>
      <c r="E91" s="1968" t="s">
        <v>957</v>
      </c>
      <c r="F91" s="63"/>
      <c r="G91" s="1958">
        <v>2200</v>
      </c>
      <c r="H91" s="1958">
        <v>2200</v>
      </c>
      <c r="I91" s="1958">
        <v>2200</v>
      </c>
      <c r="J91" s="1958">
        <v>2200</v>
      </c>
      <c r="K91" s="1958">
        <v>2200</v>
      </c>
      <c r="L91" s="1958">
        <v>2200</v>
      </c>
      <c r="M91" s="1958">
        <v>2200</v>
      </c>
      <c r="N91" s="63"/>
      <c r="P91">
        <v>14</v>
      </c>
    </row>
    <row r="92" spans="2:16">
      <c r="B92" s="63"/>
      <c r="C92" s="63"/>
      <c r="D92" s="63"/>
      <c r="E92" s="1968" t="s">
        <v>958</v>
      </c>
      <c r="F92" s="63"/>
      <c r="G92" s="1958">
        <v>2900</v>
      </c>
      <c r="H92" s="1958">
        <v>2900</v>
      </c>
      <c r="I92" s="1958">
        <v>2900</v>
      </c>
      <c r="J92" s="1958">
        <v>2900</v>
      </c>
      <c r="K92" s="1958">
        <v>2900</v>
      </c>
      <c r="L92" s="1958">
        <v>2900</v>
      </c>
      <c r="M92" s="1958">
        <v>2900</v>
      </c>
      <c r="N92" s="63"/>
      <c r="P92">
        <v>15</v>
      </c>
    </row>
    <row r="93" spans="2:16">
      <c r="B93" s="63"/>
      <c r="C93" s="63"/>
      <c r="D93" s="63"/>
      <c r="E93" s="1968" t="s">
        <v>211</v>
      </c>
      <c r="F93" s="63"/>
      <c r="G93" s="1958">
        <v>3800</v>
      </c>
      <c r="H93" s="1958">
        <v>3800</v>
      </c>
      <c r="I93" s="1958">
        <v>3800</v>
      </c>
      <c r="J93" s="1958">
        <v>3800</v>
      </c>
      <c r="K93" s="1958">
        <v>3800</v>
      </c>
      <c r="L93" s="1958">
        <v>3800</v>
      </c>
      <c r="M93" s="1958">
        <v>3800</v>
      </c>
      <c r="N93" s="63"/>
      <c r="P93">
        <v>16</v>
      </c>
    </row>
    <row r="94" spans="2:16" hidden="1">
      <c r="B94" s="63"/>
      <c r="C94" s="63"/>
      <c r="D94" s="63"/>
      <c r="E94" s="1981" t="s">
        <v>960</v>
      </c>
      <c r="F94" s="63"/>
      <c r="G94" s="1958"/>
      <c r="H94" s="1958"/>
      <c r="I94" s="1958"/>
      <c r="J94" s="1958"/>
      <c r="K94" s="1958"/>
      <c r="L94" s="1958"/>
      <c r="M94" s="1958"/>
      <c r="N94" s="63"/>
      <c r="P94">
        <v>17</v>
      </c>
    </row>
    <row r="95" spans="2:16">
      <c r="B95" s="63"/>
      <c r="C95" s="63"/>
      <c r="D95" s="63"/>
      <c r="E95" s="1968" t="s">
        <v>1776</v>
      </c>
      <c r="F95" s="63"/>
      <c r="G95" s="1958">
        <v>3800</v>
      </c>
      <c r="H95" s="1958">
        <v>3800</v>
      </c>
      <c r="I95" s="1958">
        <v>3800</v>
      </c>
      <c r="J95" s="1958">
        <v>3800</v>
      </c>
      <c r="K95" s="1958">
        <v>3800</v>
      </c>
      <c r="L95" s="1958">
        <v>3800</v>
      </c>
      <c r="M95" s="1958">
        <v>3800</v>
      </c>
      <c r="N95" s="63"/>
      <c r="P95">
        <v>18</v>
      </c>
    </row>
    <row r="96" spans="2:16"/>
    <row r="97"/>
    <row r="98"/>
    <row r="99"/>
    <row r="100"/>
    <row r="101"/>
    <row r="102"/>
  </sheetData>
  <sheetProtection password="8D30" sheet="1" objects="1" scenarios="1"/>
  <mergeCells count="1">
    <mergeCell ref="M1:N1"/>
  </mergeCells>
  <phoneticPr fontId="20"/>
  <conditionalFormatting sqref="H44">
    <cfRule type="cellIs" dxfId="32" priority="2" stopIfTrue="1" operator="notEqual">
      <formula>1</formula>
    </cfRule>
  </conditionalFormatting>
  <conditionalFormatting sqref="I15:I18">
    <cfRule type="cellIs" dxfId="31" priority="3" stopIfTrue="1" operator="greaterThanOrEqual">
      <formula>0.2</formula>
    </cfRule>
  </conditionalFormatting>
  <conditionalFormatting sqref="I14">
    <cfRule type="cellIs" dxfId="30"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pageSetUpPr fitToPage="1"/>
  </sheetPr>
  <dimension ref="A1:WVY183"/>
  <sheetViews>
    <sheetView showGridLines="0" zoomScale="75" zoomScaleNormal="75" workbookViewId="0">
      <selection activeCell="J16" sqref="J16"/>
    </sheetView>
  </sheetViews>
  <sheetFormatPr defaultColWidth="0" defaultRowHeight="0" customHeight="1" zeroHeight="1"/>
  <cols>
    <col min="1" max="1" width="0.75" style="688" customWidth="1"/>
    <col min="2" max="2" width="2.125" style="704" customWidth="1"/>
    <col min="3" max="3" width="13.375" style="704" customWidth="1"/>
    <col min="4" max="4" width="5.375" style="705" customWidth="1"/>
    <col min="5" max="5" width="9.75" style="1075" customWidth="1"/>
    <col min="6" max="6" width="6.25" style="1050" customWidth="1"/>
    <col min="7" max="7" width="6.5" style="1050" customWidth="1"/>
    <col min="8" max="8" width="12.875" style="1050" customWidth="1"/>
    <col min="9" max="9" width="7.125" style="1051" customWidth="1"/>
    <col min="10" max="10" width="12.125" style="1051" customWidth="1"/>
    <col min="11" max="11" width="11.875" style="1050" customWidth="1"/>
    <col min="12" max="12" width="10.75" style="1050" customWidth="1"/>
    <col min="13" max="13" width="11.875" style="1053" customWidth="1"/>
    <col min="14" max="15" width="11.375" style="1053" customWidth="1"/>
    <col min="16" max="16" width="0.75" style="688" customWidth="1"/>
    <col min="17" max="17" width="3.875" style="688" customWidth="1"/>
    <col min="18" max="222" width="9" style="1037" hidden="1" customWidth="1"/>
    <col min="223" max="256" width="0" style="1037" hidden="1"/>
    <col min="257" max="257" width="0.75" style="1037" hidden="1" customWidth="1"/>
    <col min="258" max="258" width="2.125" style="1037" hidden="1" customWidth="1"/>
    <col min="259" max="259" width="13.375" style="1037" hidden="1" customWidth="1"/>
    <col min="260" max="260" width="5.375" style="1037" hidden="1" customWidth="1"/>
    <col min="261" max="261" width="9.75" style="1037" hidden="1" customWidth="1"/>
    <col min="262" max="262" width="6.25" style="1037" hidden="1" customWidth="1"/>
    <col min="263" max="263" width="6.5" style="1037" hidden="1" customWidth="1"/>
    <col min="264" max="264" width="12.875" style="1037" hidden="1" customWidth="1"/>
    <col min="265" max="265" width="7.125" style="1037" hidden="1" customWidth="1"/>
    <col min="266" max="266" width="12.125" style="1037" hidden="1" customWidth="1"/>
    <col min="267" max="267" width="11.875" style="1037" hidden="1" customWidth="1"/>
    <col min="268" max="268" width="10.75" style="1037" hidden="1" customWidth="1"/>
    <col min="269" max="269" width="11.875" style="1037" hidden="1" customWidth="1"/>
    <col min="270" max="271" width="11.375" style="1037" hidden="1" customWidth="1"/>
    <col min="272" max="272" width="0.75" style="1037" hidden="1" customWidth="1"/>
    <col min="273" max="273" width="3.875" style="1037" hidden="1" customWidth="1"/>
    <col min="274" max="478" width="0" style="1037" hidden="1" customWidth="1"/>
    <col min="479" max="512" width="0" style="1037" hidden="1"/>
    <col min="513" max="513" width="0.75" style="1037" hidden="1" customWidth="1"/>
    <col min="514" max="514" width="2.125" style="1037" hidden="1" customWidth="1"/>
    <col min="515" max="515" width="13.375" style="1037" hidden="1" customWidth="1"/>
    <col min="516" max="516" width="5.375" style="1037" hidden="1" customWidth="1"/>
    <col min="517" max="517" width="9.75" style="1037" hidden="1" customWidth="1"/>
    <col min="518" max="518" width="6.25" style="1037" hidden="1" customWidth="1"/>
    <col min="519" max="519" width="6.5" style="1037" hidden="1" customWidth="1"/>
    <col min="520" max="520" width="12.875" style="1037" hidden="1" customWidth="1"/>
    <col min="521" max="521" width="7.125" style="1037" hidden="1" customWidth="1"/>
    <col min="522" max="522" width="12.125" style="1037" hidden="1" customWidth="1"/>
    <col min="523" max="523" width="11.875" style="1037" hidden="1" customWidth="1"/>
    <col min="524" max="524" width="10.75" style="1037" hidden="1" customWidth="1"/>
    <col min="525" max="525" width="11.875" style="1037" hidden="1" customWidth="1"/>
    <col min="526" max="527" width="11.375" style="1037" hidden="1" customWidth="1"/>
    <col min="528" max="528" width="0.75" style="1037" hidden="1" customWidth="1"/>
    <col min="529" max="529" width="3.875" style="1037" hidden="1" customWidth="1"/>
    <col min="530" max="734" width="0" style="1037" hidden="1" customWidth="1"/>
    <col min="735" max="768" width="0" style="1037" hidden="1"/>
    <col min="769" max="769" width="0.75" style="1037" hidden="1" customWidth="1"/>
    <col min="770" max="770" width="2.125" style="1037" hidden="1" customWidth="1"/>
    <col min="771" max="771" width="13.375" style="1037" hidden="1" customWidth="1"/>
    <col min="772" max="772" width="5.375" style="1037" hidden="1" customWidth="1"/>
    <col min="773" max="773" width="9.75" style="1037" hidden="1" customWidth="1"/>
    <col min="774" max="774" width="6.25" style="1037" hidden="1" customWidth="1"/>
    <col min="775" max="775" width="6.5" style="1037" hidden="1" customWidth="1"/>
    <col min="776" max="776" width="12.875" style="1037" hidden="1" customWidth="1"/>
    <col min="777" max="777" width="7.125" style="1037" hidden="1" customWidth="1"/>
    <col min="778" max="778" width="12.125" style="1037" hidden="1" customWidth="1"/>
    <col min="779" max="779" width="11.875" style="1037" hidden="1" customWidth="1"/>
    <col min="780" max="780" width="10.75" style="1037" hidden="1" customWidth="1"/>
    <col min="781" max="781" width="11.875" style="1037" hidden="1" customWidth="1"/>
    <col min="782" max="783" width="11.375" style="1037" hidden="1" customWidth="1"/>
    <col min="784" max="784" width="0.75" style="1037" hidden="1" customWidth="1"/>
    <col min="785" max="785" width="3.875" style="1037" hidden="1" customWidth="1"/>
    <col min="786" max="990" width="0" style="1037" hidden="1" customWidth="1"/>
    <col min="991" max="1024" width="0" style="1037" hidden="1"/>
    <col min="1025" max="1025" width="0.75" style="1037" hidden="1" customWidth="1"/>
    <col min="1026" max="1026" width="2.125" style="1037" hidden="1" customWidth="1"/>
    <col min="1027" max="1027" width="13.375" style="1037" hidden="1" customWidth="1"/>
    <col min="1028" max="1028" width="5.375" style="1037" hidden="1" customWidth="1"/>
    <col min="1029" max="1029" width="9.75" style="1037" hidden="1" customWidth="1"/>
    <col min="1030" max="1030" width="6.25" style="1037" hidden="1" customWidth="1"/>
    <col min="1031" max="1031" width="6.5" style="1037" hidden="1" customWidth="1"/>
    <col min="1032" max="1032" width="12.875" style="1037" hidden="1" customWidth="1"/>
    <col min="1033" max="1033" width="7.125" style="1037" hidden="1" customWidth="1"/>
    <col min="1034" max="1034" width="12.125" style="1037" hidden="1" customWidth="1"/>
    <col min="1035" max="1035" width="11.875" style="1037" hidden="1" customWidth="1"/>
    <col min="1036" max="1036" width="10.75" style="1037" hidden="1" customWidth="1"/>
    <col min="1037" max="1037" width="11.875" style="1037" hidden="1" customWidth="1"/>
    <col min="1038" max="1039" width="11.375" style="1037" hidden="1" customWidth="1"/>
    <col min="1040" max="1040" width="0.75" style="1037" hidden="1" customWidth="1"/>
    <col min="1041" max="1041" width="3.875" style="1037" hidden="1" customWidth="1"/>
    <col min="1042" max="1246" width="0" style="1037" hidden="1" customWidth="1"/>
    <col min="1247" max="1280" width="0" style="1037" hidden="1"/>
    <col min="1281" max="1281" width="0.75" style="1037" hidden="1" customWidth="1"/>
    <col min="1282" max="1282" width="2.125" style="1037" hidden="1" customWidth="1"/>
    <col min="1283" max="1283" width="13.375" style="1037" hidden="1" customWidth="1"/>
    <col min="1284" max="1284" width="5.375" style="1037" hidden="1" customWidth="1"/>
    <col min="1285" max="1285" width="9.75" style="1037" hidden="1" customWidth="1"/>
    <col min="1286" max="1286" width="6.25" style="1037" hidden="1" customWidth="1"/>
    <col min="1287" max="1287" width="6.5" style="1037" hidden="1" customWidth="1"/>
    <col min="1288" max="1288" width="12.875" style="1037" hidden="1" customWidth="1"/>
    <col min="1289" max="1289" width="7.125" style="1037" hidden="1" customWidth="1"/>
    <col min="1290" max="1290" width="12.125" style="1037" hidden="1" customWidth="1"/>
    <col min="1291" max="1291" width="11.875" style="1037" hidden="1" customWidth="1"/>
    <col min="1292" max="1292" width="10.75" style="1037" hidden="1" customWidth="1"/>
    <col min="1293" max="1293" width="11.875" style="1037" hidden="1" customWidth="1"/>
    <col min="1294" max="1295" width="11.375" style="1037" hidden="1" customWidth="1"/>
    <col min="1296" max="1296" width="0.75" style="1037" hidden="1" customWidth="1"/>
    <col min="1297" max="1297" width="3.875" style="1037" hidden="1" customWidth="1"/>
    <col min="1298" max="1502" width="0" style="1037" hidden="1" customWidth="1"/>
    <col min="1503" max="1536" width="0" style="1037" hidden="1"/>
    <col min="1537" max="1537" width="0.75" style="1037" hidden="1" customWidth="1"/>
    <col min="1538" max="1538" width="2.125" style="1037" hidden="1" customWidth="1"/>
    <col min="1539" max="1539" width="13.375" style="1037" hidden="1" customWidth="1"/>
    <col min="1540" max="1540" width="5.375" style="1037" hidden="1" customWidth="1"/>
    <col min="1541" max="1541" width="9.75" style="1037" hidden="1" customWidth="1"/>
    <col min="1542" max="1542" width="6.25" style="1037" hidden="1" customWidth="1"/>
    <col min="1543" max="1543" width="6.5" style="1037" hidden="1" customWidth="1"/>
    <col min="1544" max="1544" width="12.875" style="1037" hidden="1" customWidth="1"/>
    <col min="1545" max="1545" width="7.125" style="1037" hidden="1" customWidth="1"/>
    <col min="1546" max="1546" width="12.125" style="1037" hidden="1" customWidth="1"/>
    <col min="1547" max="1547" width="11.875" style="1037" hidden="1" customWidth="1"/>
    <col min="1548" max="1548" width="10.75" style="1037" hidden="1" customWidth="1"/>
    <col min="1549" max="1549" width="11.875" style="1037" hidden="1" customWidth="1"/>
    <col min="1550" max="1551" width="11.375" style="1037" hidden="1" customWidth="1"/>
    <col min="1552" max="1552" width="0.75" style="1037" hidden="1" customWidth="1"/>
    <col min="1553" max="1553" width="3.875" style="1037" hidden="1" customWidth="1"/>
    <col min="1554" max="1758" width="0" style="1037" hidden="1" customWidth="1"/>
    <col min="1759" max="1792" width="0" style="1037" hidden="1"/>
    <col min="1793" max="1793" width="0.75" style="1037" hidden="1" customWidth="1"/>
    <col min="1794" max="1794" width="2.125" style="1037" hidden="1" customWidth="1"/>
    <col min="1795" max="1795" width="13.375" style="1037" hidden="1" customWidth="1"/>
    <col min="1796" max="1796" width="5.375" style="1037" hidden="1" customWidth="1"/>
    <col min="1797" max="1797" width="9.75" style="1037" hidden="1" customWidth="1"/>
    <col min="1798" max="1798" width="6.25" style="1037" hidden="1" customWidth="1"/>
    <col min="1799" max="1799" width="6.5" style="1037" hidden="1" customWidth="1"/>
    <col min="1800" max="1800" width="12.875" style="1037" hidden="1" customWidth="1"/>
    <col min="1801" max="1801" width="7.125" style="1037" hidden="1" customWidth="1"/>
    <col min="1802" max="1802" width="12.125" style="1037" hidden="1" customWidth="1"/>
    <col min="1803" max="1803" width="11.875" style="1037" hidden="1" customWidth="1"/>
    <col min="1804" max="1804" width="10.75" style="1037" hidden="1" customWidth="1"/>
    <col min="1805" max="1805" width="11.875" style="1037" hidden="1" customWidth="1"/>
    <col min="1806" max="1807" width="11.375" style="1037" hidden="1" customWidth="1"/>
    <col min="1808" max="1808" width="0.75" style="1037" hidden="1" customWidth="1"/>
    <col min="1809" max="1809" width="3.875" style="1037" hidden="1" customWidth="1"/>
    <col min="1810" max="2014" width="0" style="1037" hidden="1" customWidth="1"/>
    <col min="2015" max="2048" width="0" style="1037" hidden="1"/>
    <col min="2049" max="2049" width="0.75" style="1037" hidden="1" customWidth="1"/>
    <col min="2050" max="2050" width="2.125" style="1037" hidden="1" customWidth="1"/>
    <col min="2051" max="2051" width="13.375" style="1037" hidden="1" customWidth="1"/>
    <col min="2052" max="2052" width="5.375" style="1037" hidden="1" customWidth="1"/>
    <col min="2053" max="2053" width="9.75" style="1037" hidden="1" customWidth="1"/>
    <col min="2054" max="2054" width="6.25" style="1037" hidden="1" customWidth="1"/>
    <col min="2055" max="2055" width="6.5" style="1037" hidden="1" customWidth="1"/>
    <col min="2056" max="2056" width="12.875" style="1037" hidden="1" customWidth="1"/>
    <col min="2057" max="2057" width="7.125" style="1037" hidden="1" customWidth="1"/>
    <col min="2058" max="2058" width="12.125" style="1037" hidden="1" customWidth="1"/>
    <col min="2059" max="2059" width="11.875" style="1037" hidden="1" customWidth="1"/>
    <col min="2060" max="2060" width="10.75" style="1037" hidden="1" customWidth="1"/>
    <col min="2061" max="2061" width="11.875" style="1037" hidden="1" customWidth="1"/>
    <col min="2062" max="2063" width="11.375" style="1037" hidden="1" customWidth="1"/>
    <col min="2064" max="2064" width="0.75" style="1037" hidden="1" customWidth="1"/>
    <col min="2065" max="2065" width="3.875" style="1037" hidden="1" customWidth="1"/>
    <col min="2066" max="2270" width="0" style="1037" hidden="1" customWidth="1"/>
    <col min="2271" max="2304" width="0" style="1037" hidden="1"/>
    <col min="2305" max="2305" width="0.75" style="1037" hidden="1" customWidth="1"/>
    <col min="2306" max="2306" width="2.125" style="1037" hidden="1" customWidth="1"/>
    <col min="2307" max="2307" width="13.375" style="1037" hidden="1" customWidth="1"/>
    <col min="2308" max="2308" width="5.375" style="1037" hidden="1" customWidth="1"/>
    <col min="2309" max="2309" width="9.75" style="1037" hidden="1" customWidth="1"/>
    <col min="2310" max="2310" width="6.25" style="1037" hidden="1" customWidth="1"/>
    <col min="2311" max="2311" width="6.5" style="1037" hidden="1" customWidth="1"/>
    <col min="2312" max="2312" width="12.875" style="1037" hidden="1" customWidth="1"/>
    <col min="2313" max="2313" width="7.125" style="1037" hidden="1" customWidth="1"/>
    <col min="2314" max="2314" width="12.125" style="1037" hidden="1" customWidth="1"/>
    <col min="2315" max="2315" width="11.875" style="1037" hidden="1" customWidth="1"/>
    <col min="2316" max="2316" width="10.75" style="1037" hidden="1" customWidth="1"/>
    <col min="2317" max="2317" width="11.875" style="1037" hidden="1" customWidth="1"/>
    <col min="2318" max="2319" width="11.375" style="1037" hidden="1" customWidth="1"/>
    <col min="2320" max="2320" width="0.75" style="1037" hidden="1" customWidth="1"/>
    <col min="2321" max="2321" width="3.875" style="1037" hidden="1" customWidth="1"/>
    <col min="2322" max="2526" width="0" style="1037" hidden="1" customWidth="1"/>
    <col min="2527" max="2560" width="0" style="1037" hidden="1"/>
    <col min="2561" max="2561" width="0.75" style="1037" hidden="1" customWidth="1"/>
    <col min="2562" max="2562" width="2.125" style="1037" hidden="1" customWidth="1"/>
    <col min="2563" max="2563" width="13.375" style="1037" hidden="1" customWidth="1"/>
    <col min="2564" max="2564" width="5.375" style="1037" hidden="1" customWidth="1"/>
    <col min="2565" max="2565" width="9.75" style="1037" hidden="1" customWidth="1"/>
    <col min="2566" max="2566" width="6.25" style="1037" hidden="1" customWidth="1"/>
    <col min="2567" max="2567" width="6.5" style="1037" hidden="1" customWidth="1"/>
    <col min="2568" max="2568" width="12.875" style="1037" hidden="1" customWidth="1"/>
    <col min="2569" max="2569" width="7.125" style="1037" hidden="1" customWidth="1"/>
    <col min="2570" max="2570" width="12.125" style="1037" hidden="1" customWidth="1"/>
    <col min="2571" max="2571" width="11.875" style="1037" hidden="1" customWidth="1"/>
    <col min="2572" max="2572" width="10.75" style="1037" hidden="1" customWidth="1"/>
    <col min="2573" max="2573" width="11.875" style="1037" hidden="1" customWidth="1"/>
    <col min="2574" max="2575" width="11.375" style="1037" hidden="1" customWidth="1"/>
    <col min="2576" max="2576" width="0.75" style="1037" hidden="1" customWidth="1"/>
    <col min="2577" max="2577" width="3.875" style="1037" hidden="1" customWidth="1"/>
    <col min="2578" max="2782" width="0" style="1037" hidden="1" customWidth="1"/>
    <col min="2783" max="2816" width="0" style="1037" hidden="1"/>
    <col min="2817" max="2817" width="0.75" style="1037" hidden="1" customWidth="1"/>
    <col min="2818" max="2818" width="2.125" style="1037" hidden="1" customWidth="1"/>
    <col min="2819" max="2819" width="13.375" style="1037" hidden="1" customWidth="1"/>
    <col min="2820" max="2820" width="5.375" style="1037" hidden="1" customWidth="1"/>
    <col min="2821" max="2821" width="9.75" style="1037" hidden="1" customWidth="1"/>
    <col min="2822" max="2822" width="6.25" style="1037" hidden="1" customWidth="1"/>
    <col min="2823" max="2823" width="6.5" style="1037" hidden="1" customWidth="1"/>
    <col min="2824" max="2824" width="12.875" style="1037" hidden="1" customWidth="1"/>
    <col min="2825" max="2825" width="7.125" style="1037" hidden="1" customWidth="1"/>
    <col min="2826" max="2826" width="12.125" style="1037" hidden="1" customWidth="1"/>
    <col min="2827" max="2827" width="11.875" style="1037" hidden="1" customWidth="1"/>
    <col min="2828" max="2828" width="10.75" style="1037" hidden="1" customWidth="1"/>
    <col min="2829" max="2829" width="11.875" style="1037" hidden="1" customWidth="1"/>
    <col min="2830" max="2831" width="11.375" style="1037" hidden="1" customWidth="1"/>
    <col min="2832" max="2832" width="0.75" style="1037" hidden="1" customWidth="1"/>
    <col min="2833" max="2833" width="3.875" style="1037" hidden="1" customWidth="1"/>
    <col min="2834" max="3038" width="0" style="1037" hidden="1" customWidth="1"/>
    <col min="3039" max="3072" width="0" style="1037" hidden="1"/>
    <col min="3073" max="3073" width="0.75" style="1037" hidden="1" customWidth="1"/>
    <col min="3074" max="3074" width="2.125" style="1037" hidden="1" customWidth="1"/>
    <col min="3075" max="3075" width="13.375" style="1037" hidden="1" customWidth="1"/>
    <col min="3076" max="3076" width="5.375" style="1037" hidden="1" customWidth="1"/>
    <col min="3077" max="3077" width="9.75" style="1037" hidden="1" customWidth="1"/>
    <col min="3078" max="3078" width="6.25" style="1037" hidden="1" customWidth="1"/>
    <col min="3079" max="3079" width="6.5" style="1037" hidden="1" customWidth="1"/>
    <col min="3080" max="3080" width="12.875" style="1037" hidden="1" customWidth="1"/>
    <col min="3081" max="3081" width="7.125" style="1037" hidden="1" customWidth="1"/>
    <col min="3082" max="3082" width="12.125" style="1037" hidden="1" customWidth="1"/>
    <col min="3083" max="3083" width="11.875" style="1037" hidden="1" customWidth="1"/>
    <col min="3084" max="3084" width="10.75" style="1037" hidden="1" customWidth="1"/>
    <col min="3085" max="3085" width="11.875" style="1037" hidden="1" customWidth="1"/>
    <col min="3086" max="3087" width="11.375" style="1037" hidden="1" customWidth="1"/>
    <col min="3088" max="3088" width="0.75" style="1037" hidden="1" customWidth="1"/>
    <col min="3089" max="3089" width="3.875" style="1037" hidden="1" customWidth="1"/>
    <col min="3090" max="3294" width="0" style="1037" hidden="1" customWidth="1"/>
    <col min="3295" max="3328" width="0" style="1037" hidden="1"/>
    <col min="3329" max="3329" width="0.75" style="1037" hidden="1" customWidth="1"/>
    <col min="3330" max="3330" width="2.125" style="1037" hidden="1" customWidth="1"/>
    <col min="3331" max="3331" width="13.375" style="1037" hidden="1" customWidth="1"/>
    <col min="3332" max="3332" width="5.375" style="1037" hidden="1" customWidth="1"/>
    <col min="3333" max="3333" width="9.75" style="1037" hidden="1" customWidth="1"/>
    <col min="3334" max="3334" width="6.25" style="1037" hidden="1" customWidth="1"/>
    <col min="3335" max="3335" width="6.5" style="1037" hidden="1" customWidth="1"/>
    <col min="3336" max="3336" width="12.875" style="1037" hidden="1" customWidth="1"/>
    <col min="3337" max="3337" width="7.125" style="1037" hidden="1" customWidth="1"/>
    <col min="3338" max="3338" width="12.125" style="1037" hidden="1" customWidth="1"/>
    <col min="3339" max="3339" width="11.875" style="1037" hidden="1" customWidth="1"/>
    <col min="3340" max="3340" width="10.75" style="1037" hidden="1" customWidth="1"/>
    <col min="3341" max="3341" width="11.875" style="1037" hidden="1" customWidth="1"/>
    <col min="3342" max="3343" width="11.375" style="1037" hidden="1" customWidth="1"/>
    <col min="3344" max="3344" width="0.75" style="1037" hidden="1" customWidth="1"/>
    <col min="3345" max="3345" width="3.875" style="1037" hidden="1" customWidth="1"/>
    <col min="3346" max="3550" width="0" style="1037" hidden="1" customWidth="1"/>
    <col min="3551" max="3584" width="0" style="1037" hidden="1"/>
    <col min="3585" max="3585" width="0.75" style="1037" hidden="1" customWidth="1"/>
    <col min="3586" max="3586" width="2.125" style="1037" hidden="1" customWidth="1"/>
    <col min="3587" max="3587" width="13.375" style="1037" hidden="1" customWidth="1"/>
    <col min="3588" max="3588" width="5.375" style="1037" hidden="1" customWidth="1"/>
    <col min="3589" max="3589" width="9.75" style="1037" hidden="1" customWidth="1"/>
    <col min="3590" max="3590" width="6.25" style="1037" hidden="1" customWidth="1"/>
    <col min="3591" max="3591" width="6.5" style="1037" hidden="1" customWidth="1"/>
    <col min="3592" max="3592" width="12.875" style="1037" hidden="1" customWidth="1"/>
    <col min="3593" max="3593" width="7.125" style="1037" hidden="1" customWidth="1"/>
    <col min="3594" max="3594" width="12.125" style="1037" hidden="1" customWidth="1"/>
    <col min="3595" max="3595" width="11.875" style="1037" hidden="1" customWidth="1"/>
    <col min="3596" max="3596" width="10.75" style="1037" hidden="1" customWidth="1"/>
    <col min="3597" max="3597" width="11.875" style="1037" hidden="1" customWidth="1"/>
    <col min="3598" max="3599" width="11.375" style="1037" hidden="1" customWidth="1"/>
    <col min="3600" max="3600" width="0.75" style="1037" hidden="1" customWidth="1"/>
    <col min="3601" max="3601" width="3.875" style="1037" hidden="1" customWidth="1"/>
    <col min="3602" max="3806" width="0" style="1037" hidden="1" customWidth="1"/>
    <col min="3807" max="3840" width="0" style="1037" hidden="1"/>
    <col min="3841" max="3841" width="0.75" style="1037" hidden="1" customWidth="1"/>
    <col min="3842" max="3842" width="2.125" style="1037" hidden="1" customWidth="1"/>
    <col min="3843" max="3843" width="13.375" style="1037" hidden="1" customWidth="1"/>
    <col min="3844" max="3844" width="5.375" style="1037" hidden="1" customWidth="1"/>
    <col min="3845" max="3845" width="9.75" style="1037" hidden="1" customWidth="1"/>
    <col min="3846" max="3846" width="6.25" style="1037" hidden="1" customWidth="1"/>
    <col min="3847" max="3847" width="6.5" style="1037" hidden="1" customWidth="1"/>
    <col min="3848" max="3848" width="12.875" style="1037" hidden="1" customWidth="1"/>
    <col min="3849" max="3849" width="7.125" style="1037" hidden="1" customWidth="1"/>
    <col min="3850" max="3850" width="12.125" style="1037" hidden="1" customWidth="1"/>
    <col min="3851" max="3851" width="11.875" style="1037" hidden="1" customWidth="1"/>
    <col min="3852" max="3852" width="10.75" style="1037" hidden="1" customWidth="1"/>
    <col min="3853" max="3853" width="11.875" style="1037" hidden="1" customWidth="1"/>
    <col min="3854" max="3855" width="11.375" style="1037" hidden="1" customWidth="1"/>
    <col min="3856" max="3856" width="0.75" style="1037" hidden="1" customWidth="1"/>
    <col min="3857" max="3857" width="3.875" style="1037" hidden="1" customWidth="1"/>
    <col min="3858" max="4062" width="0" style="1037" hidden="1" customWidth="1"/>
    <col min="4063" max="4096" width="0" style="1037" hidden="1"/>
    <col min="4097" max="4097" width="0.75" style="1037" hidden="1" customWidth="1"/>
    <col min="4098" max="4098" width="2.125" style="1037" hidden="1" customWidth="1"/>
    <col min="4099" max="4099" width="13.375" style="1037" hidden="1" customWidth="1"/>
    <col min="4100" max="4100" width="5.375" style="1037" hidden="1" customWidth="1"/>
    <col min="4101" max="4101" width="9.75" style="1037" hidden="1" customWidth="1"/>
    <col min="4102" max="4102" width="6.25" style="1037" hidden="1" customWidth="1"/>
    <col min="4103" max="4103" width="6.5" style="1037" hidden="1" customWidth="1"/>
    <col min="4104" max="4104" width="12.875" style="1037" hidden="1" customWidth="1"/>
    <col min="4105" max="4105" width="7.125" style="1037" hidden="1" customWidth="1"/>
    <col min="4106" max="4106" width="12.125" style="1037" hidden="1" customWidth="1"/>
    <col min="4107" max="4107" width="11.875" style="1037" hidden="1" customWidth="1"/>
    <col min="4108" max="4108" width="10.75" style="1037" hidden="1" customWidth="1"/>
    <col min="4109" max="4109" width="11.875" style="1037" hidden="1" customWidth="1"/>
    <col min="4110" max="4111" width="11.375" style="1037" hidden="1" customWidth="1"/>
    <col min="4112" max="4112" width="0.75" style="1037" hidden="1" customWidth="1"/>
    <col min="4113" max="4113" width="3.875" style="1037" hidden="1" customWidth="1"/>
    <col min="4114" max="4318" width="0" style="1037" hidden="1" customWidth="1"/>
    <col min="4319" max="4352" width="0" style="1037" hidden="1"/>
    <col min="4353" max="4353" width="0.75" style="1037" hidden="1" customWidth="1"/>
    <col min="4354" max="4354" width="2.125" style="1037" hidden="1" customWidth="1"/>
    <col min="4355" max="4355" width="13.375" style="1037" hidden="1" customWidth="1"/>
    <col min="4356" max="4356" width="5.375" style="1037" hidden="1" customWidth="1"/>
    <col min="4357" max="4357" width="9.75" style="1037" hidden="1" customWidth="1"/>
    <col min="4358" max="4358" width="6.25" style="1037" hidden="1" customWidth="1"/>
    <col min="4359" max="4359" width="6.5" style="1037" hidden="1" customWidth="1"/>
    <col min="4360" max="4360" width="12.875" style="1037" hidden="1" customWidth="1"/>
    <col min="4361" max="4361" width="7.125" style="1037" hidden="1" customWidth="1"/>
    <col min="4362" max="4362" width="12.125" style="1037" hidden="1" customWidth="1"/>
    <col min="4363" max="4363" width="11.875" style="1037" hidden="1" customWidth="1"/>
    <col min="4364" max="4364" width="10.75" style="1037" hidden="1" customWidth="1"/>
    <col min="4365" max="4365" width="11.875" style="1037" hidden="1" customWidth="1"/>
    <col min="4366" max="4367" width="11.375" style="1037" hidden="1" customWidth="1"/>
    <col min="4368" max="4368" width="0.75" style="1037" hidden="1" customWidth="1"/>
    <col min="4369" max="4369" width="3.875" style="1037" hidden="1" customWidth="1"/>
    <col min="4370" max="4574" width="0" style="1037" hidden="1" customWidth="1"/>
    <col min="4575" max="4608" width="0" style="1037" hidden="1"/>
    <col min="4609" max="4609" width="0.75" style="1037" hidden="1" customWidth="1"/>
    <col min="4610" max="4610" width="2.125" style="1037" hidden="1" customWidth="1"/>
    <col min="4611" max="4611" width="13.375" style="1037" hidden="1" customWidth="1"/>
    <col min="4612" max="4612" width="5.375" style="1037" hidden="1" customWidth="1"/>
    <col min="4613" max="4613" width="9.75" style="1037" hidden="1" customWidth="1"/>
    <col min="4614" max="4614" width="6.25" style="1037" hidden="1" customWidth="1"/>
    <col min="4615" max="4615" width="6.5" style="1037" hidden="1" customWidth="1"/>
    <col min="4616" max="4616" width="12.875" style="1037" hidden="1" customWidth="1"/>
    <col min="4617" max="4617" width="7.125" style="1037" hidden="1" customWidth="1"/>
    <col min="4618" max="4618" width="12.125" style="1037" hidden="1" customWidth="1"/>
    <col min="4619" max="4619" width="11.875" style="1037" hidden="1" customWidth="1"/>
    <col min="4620" max="4620" width="10.75" style="1037" hidden="1" customWidth="1"/>
    <col min="4621" max="4621" width="11.875" style="1037" hidden="1" customWidth="1"/>
    <col min="4622" max="4623" width="11.375" style="1037" hidden="1" customWidth="1"/>
    <col min="4624" max="4624" width="0.75" style="1037" hidden="1" customWidth="1"/>
    <col min="4625" max="4625" width="3.875" style="1037" hidden="1" customWidth="1"/>
    <col min="4626" max="4830" width="0" style="1037" hidden="1" customWidth="1"/>
    <col min="4831" max="4864" width="0" style="1037" hidden="1"/>
    <col min="4865" max="4865" width="0.75" style="1037" hidden="1" customWidth="1"/>
    <col min="4866" max="4866" width="2.125" style="1037" hidden="1" customWidth="1"/>
    <col min="4867" max="4867" width="13.375" style="1037" hidden="1" customWidth="1"/>
    <col min="4868" max="4868" width="5.375" style="1037" hidden="1" customWidth="1"/>
    <col min="4869" max="4869" width="9.75" style="1037" hidden="1" customWidth="1"/>
    <col min="4870" max="4870" width="6.25" style="1037" hidden="1" customWidth="1"/>
    <col min="4871" max="4871" width="6.5" style="1037" hidden="1" customWidth="1"/>
    <col min="4872" max="4872" width="12.875" style="1037" hidden="1" customWidth="1"/>
    <col min="4873" max="4873" width="7.125" style="1037" hidden="1" customWidth="1"/>
    <col min="4874" max="4874" width="12.125" style="1037" hidden="1" customWidth="1"/>
    <col min="4875" max="4875" width="11.875" style="1037" hidden="1" customWidth="1"/>
    <col min="4876" max="4876" width="10.75" style="1037" hidden="1" customWidth="1"/>
    <col min="4877" max="4877" width="11.875" style="1037" hidden="1" customWidth="1"/>
    <col min="4878" max="4879" width="11.375" style="1037" hidden="1" customWidth="1"/>
    <col min="4880" max="4880" width="0.75" style="1037" hidden="1" customWidth="1"/>
    <col min="4881" max="4881" width="3.875" style="1037" hidden="1" customWidth="1"/>
    <col min="4882" max="5086" width="0" style="1037" hidden="1" customWidth="1"/>
    <col min="5087" max="5120" width="0" style="1037" hidden="1"/>
    <col min="5121" max="5121" width="0.75" style="1037" hidden="1" customWidth="1"/>
    <col min="5122" max="5122" width="2.125" style="1037" hidden="1" customWidth="1"/>
    <col min="5123" max="5123" width="13.375" style="1037" hidden="1" customWidth="1"/>
    <col min="5124" max="5124" width="5.375" style="1037" hidden="1" customWidth="1"/>
    <col min="5125" max="5125" width="9.75" style="1037" hidden="1" customWidth="1"/>
    <col min="5126" max="5126" width="6.25" style="1037" hidden="1" customWidth="1"/>
    <col min="5127" max="5127" width="6.5" style="1037" hidden="1" customWidth="1"/>
    <col min="5128" max="5128" width="12.875" style="1037" hidden="1" customWidth="1"/>
    <col min="5129" max="5129" width="7.125" style="1037" hidden="1" customWidth="1"/>
    <col min="5130" max="5130" width="12.125" style="1037" hidden="1" customWidth="1"/>
    <col min="5131" max="5131" width="11.875" style="1037" hidden="1" customWidth="1"/>
    <col min="5132" max="5132" width="10.75" style="1037" hidden="1" customWidth="1"/>
    <col min="5133" max="5133" width="11.875" style="1037" hidden="1" customWidth="1"/>
    <col min="5134" max="5135" width="11.375" style="1037" hidden="1" customWidth="1"/>
    <col min="5136" max="5136" width="0.75" style="1037" hidden="1" customWidth="1"/>
    <col min="5137" max="5137" width="3.875" style="1037" hidden="1" customWidth="1"/>
    <col min="5138" max="5342" width="0" style="1037" hidden="1" customWidth="1"/>
    <col min="5343" max="5376" width="0" style="1037" hidden="1"/>
    <col min="5377" max="5377" width="0.75" style="1037" hidden="1" customWidth="1"/>
    <col min="5378" max="5378" width="2.125" style="1037" hidden="1" customWidth="1"/>
    <col min="5379" max="5379" width="13.375" style="1037" hidden="1" customWidth="1"/>
    <col min="5380" max="5380" width="5.375" style="1037" hidden="1" customWidth="1"/>
    <col min="5381" max="5381" width="9.75" style="1037" hidden="1" customWidth="1"/>
    <col min="5382" max="5382" width="6.25" style="1037" hidden="1" customWidth="1"/>
    <col min="5383" max="5383" width="6.5" style="1037" hidden="1" customWidth="1"/>
    <col min="5384" max="5384" width="12.875" style="1037" hidden="1" customWidth="1"/>
    <col min="5385" max="5385" width="7.125" style="1037" hidden="1" customWidth="1"/>
    <col min="5386" max="5386" width="12.125" style="1037" hidden="1" customWidth="1"/>
    <col min="5387" max="5387" width="11.875" style="1037" hidden="1" customWidth="1"/>
    <col min="5388" max="5388" width="10.75" style="1037" hidden="1" customWidth="1"/>
    <col min="5389" max="5389" width="11.875" style="1037" hidden="1" customWidth="1"/>
    <col min="5390" max="5391" width="11.375" style="1037" hidden="1" customWidth="1"/>
    <col min="5392" max="5392" width="0.75" style="1037" hidden="1" customWidth="1"/>
    <col min="5393" max="5393" width="3.875" style="1037" hidden="1" customWidth="1"/>
    <col min="5394" max="5598" width="0" style="1037" hidden="1" customWidth="1"/>
    <col min="5599" max="5632" width="0" style="1037" hidden="1"/>
    <col min="5633" max="5633" width="0.75" style="1037" hidden="1" customWidth="1"/>
    <col min="5634" max="5634" width="2.125" style="1037" hidden="1" customWidth="1"/>
    <col min="5635" max="5635" width="13.375" style="1037" hidden="1" customWidth="1"/>
    <col min="5636" max="5636" width="5.375" style="1037" hidden="1" customWidth="1"/>
    <col min="5637" max="5637" width="9.75" style="1037" hidden="1" customWidth="1"/>
    <col min="5638" max="5638" width="6.25" style="1037" hidden="1" customWidth="1"/>
    <col min="5639" max="5639" width="6.5" style="1037" hidden="1" customWidth="1"/>
    <col min="5640" max="5640" width="12.875" style="1037" hidden="1" customWidth="1"/>
    <col min="5641" max="5641" width="7.125" style="1037" hidden="1" customWidth="1"/>
    <col min="5642" max="5642" width="12.125" style="1037" hidden="1" customWidth="1"/>
    <col min="5643" max="5643" width="11.875" style="1037" hidden="1" customWidth="1"/>
    <col min="5644" max="5644" width="10.75" style="1037" hidden="1" customWidth="1"/>
    <col min="5645" max="5645" width="11.875" style="1037" hidden="1" customWidth="1"/>
    <col min="5646" max="5647" width="11.375" style="1037" hidden="1" customWidth="1"/>
    <col min="5648" max="5648" width="0.75" style="1037" hidden="1" customWidth="1"/>
    <col min="5649" max="5649" width="3.875" style="1037" hidden="1" customWidth="1"/>
    <col min="5650" max="5854" width="0" style="1037" hidden="1" customWidth="1"/>
    <col min="5855" max="5888" width="0" style="1037" hidden="1"/>
    <col min="5889" max="5889" width="0.75" style="1037" hidden="1" customWidth="1"/>
    <col min="5890" max="5890" width="2.125" style="1037" hidden="1" customWidth="1"/>
    <col min="5891" max="5891" width="13.375" style="1037" hidden="1" customWidth="1"/>
    <col min="5892" max="5892" width="5.375" style="1037" hidden="1" customWidth="1"/>
    <col min="5893" max="5893" width="9.75" style="1037" hidden="1" customWidth="1"/>
    <col min="5894" max="5894" width="6.25" style="1037" hidden="1" customWidth="1"/>
    <col min="5895" max="5895" width="6.5" style="1037" hidden="1" customWidth="1"/>
    <col min="5896" max="5896" width="12.875" style="1037" hidden="1" customWidth="1"/>
    <col min="5897" max="5897" width="7.125" style="1037" hidden="1" customWidth="1"/>
    <col min="5898" max="5898" width="12.125" style="1037" hidden="1" customWidth="1"/>
    <col min="5899" max="5899" width="11.875" style="1037" hidden="1" customWidth="1"/>
    <col min="5900" max="5900" width="10.75" style="1037" hidden="1" customWidth="1"/>
    <col min="5901" max="5901" width="11.875" style="1037" hidden="1" customWidth="1"/>
    <col min="5902" max="5903" width="11.375" style="1037" hidden="1" customWidth="1"/>
    <col min="5904" max="5904" width="0.75" style="1037" hidden="1" customWidth="1"/>
    <col min="5905" max="5905" width="3.875" style="1037" hidden="1" customWidth="1"/>
    <col min="5906" max="6110" width="0" style="1037" hidden="1" customWidth="1"/>
    <col min="6111" max="6144" width="0" style="1037" hidden="1"/>
    <col min="6145" max="6145" width="0.75" style="1037" hidden="1" customWidth="1"/>
    <col min="6146" max="6146" width="2.125" style="1037" hidden="1" customWidth="1"/>
    <col min="6147" max="6147" width="13.375" style="1037" hidden="1" customWidth="1"/>
    <col min="6148" max="6148" width="5.375" style="1037" hidden="1" customWidth="1"/>
    <col min="6149" max="6149" width="9.75" style="1037" hidden="1" customWidth="1"/>
    <col min="6150" max="6150" width="6.25" style="1037" hidden="1" customWidth="1"/>
    <col min="6151" max="6151" width="6.5" style="1037" hidden="1" customWidth="1"/>
    <col min="6152" max="6152" width="12.875" style="1037" hidden="1" customWidth="1"/>
    <col min="6153" max="6153" width="7.125" style="1037" hidden="1" customWidth="1"/>
    <col min="6154" max="6154" width="12.125" style="1037" hidden="1" customWidth="1"/>
    <col min="6155" max="6155" width="11.875" style="1037" hidden="1" customWidth="1"/>
    <col min="6156" max="6156" width="10.75" style="1037" hidden="1" customWidth="1"/>
    <col min="6157" max="6157" width="11.875" style="1037" hidden="1" customWidth="1"/>
    <col min="6158" max="6159" width="11.375" style="1037" hidden="1" customWidth="1"/>
    <col min="6160" max="6160" width="0.75" style="1037" hidden="1" customWidth="1"/>
    <col min="6161" max="6161" width="3.875" style="1037" hidden="1" customWidth="1"/>
    <col min="6162" max="6366" width="0" style="1037" hidden="1" customWidth="1"/>
    <col min="6367" max="6400" width="0" style="1037" hidden="1"/>
    <col min="6401" max="6401" width="0.75" style="1037" hidden="1" customWidth="1"/>
    <col min="6402" max="6402" width="2.125" style="1037" hidden="1" customWidth="1"/>
    <col min="6403" max="6403" width="13.375" style="1037" hidden="1" customWidth="1"/>
    <col min="6404" max="6404" width="5.375" style="1037" hidden="1" customWidth="1"/>
    <col min="6405" max="6405" width="9.75" style="1037" hidden="1" customWidth="1"/>
    <col min="6406" max="6406" width="6.25" style="1037" hidden="1" customWidth="1"/>
    <col min="6407" max="6407" width="6.5" style="1037" hidden="1" customWidth="1"/>
    <col min="6408" max="6408" width="12.875" style="1037" hidden="1" customWidth="1"/>
    <col min="6409" max="6409" width="7.125" style="1037" hidden="1" customWidth="1"/>
    <col min="6410" max="6410" width="12.125" style="1037" hidden="1" customWidth="1"/>
    <col min="6411" max="6411" width="11.875" style="1037" hidden="1" customWidth="1"/>
    <col min="6412" max="6412" width="10.75" style="1037" hidden="1" customWidth="1"/>
    <col min="6413" max="6413" width="11.875" style="1037" hidden="1" customWidth="1"/>
    <col min="6414" max="6415" width="11.375" style="1037" hidden="1" customWidth="1"/>
    <col min="6416" max="6416" width="0.75" style="1037" hidden="1" customWidth="1"/>
    <col min="6417" max="6417" width="3.875" style="1037" hidden="1" customWidth="1"/>
    <col min="6418" max="6622" width="0" style="1037" hidden="1" customWidth="1"/>
    <col min="6623" max="6656" width="0" style="1037" hidden="1"/>
    <col min="6657" max="6657" width="0.75" style="1037" hidden="1" customWidth="1"/>
    <col min="6658" max="6658" width="2.125" style="1037" hidden="1" customWidth="1"/>
    <col min="6659" max="6659" width="13.375" style="1037" hidden="1" customWidth="1"/>
    <col min="6660" max="6660" width="5.375" style="1037" hidden="1" customWidth="1"/>
    <col min="6661" max="6661" width="9.75" style="1037" hidden="1" customWidth="1"/>
    <col min="6662" max="6662" width="6.25" style="1037" hidden="1" customWidth="1"/>
    <col min="6663" max="6663" width="6.5" style="1037" hidden="1" customWidth="1"/>
    <col min="6664" max="6664" width="12.875" style="1037" hidden="1" customWidth="1"/>
    <col min="6665" max="6665" width="7.125" style="1037" hidden="1" customWidth="1"/>
    <col min="6666" max="6666" width="12.125" style="1037" hidden="1" customWidth="1"/>
    <col min="6667" max="6667" width="11.875" style="1037" hidden="1" customWidth="1"/>
    <col min="6668" max="6668" width="10.75" style="1037" hidden="1" customWidth="1"/>
    <col min="6669" max="6669" width="11.875" style="1037" hidden="1" customWidth="1"/>
    <col min="6670" max="6671" width="11.375" style="1037" hidden="1" customWidth="1"/>
    <col min="6672" max="6672" width="0.75" style="1037" hidden="1" customWidth="1"/>
    <col min="6673" max="6673" width="3.875" style="1037" hidden="1" customWidth="1"/>
    <col min="6674" max="6878" width="0" style="1037" hidden="1" customWidth="1"/>
    <col min="6879" max="6912" width="0" style="1037" hidden="1"/>
    <col min="6913" max="6913" width="0.75" style="1037" hidden="1" customWidth="1"/>
    <col min="6914" max="6914" width="2.125" style="1037" hidden="1" customWidth="1"/>
    <col min="6915" max="6915" width="13.375" style="1037" hidden="1" customWidth="1"/>
    <col min="6916" max="6916" width="5.375" style="1037" hidden="1" customWidth="1"/>
    <col min="6917" max="6917" width="9.75" style="1037" hidden="1" customWidth="1"/>
    <col min="6918" max="6918" width="6.25" style="1037" hidden="1" customWidth="1"/>
    <col min="6919" max="6919" width="6.5" style="1037" hidden="1" customWidth="1"/>
    <col min="6920" max="6920" width="12.875" style="1037" hidden="1" customWidth="1"/>
    <col min="6921" max="6921" width="7.125" style="1037" hidden="1" customWidth="1"/>
    <col min="6922" max="6922" width="12.125" style="1037" hidden="1" customWidth="1"/>
    <col min="6923" max="6923" width="11.875" style="1037" hidden="1" customWidth="1"/>
    <col min="6924" max="6924" width="10.75" style="1037" hidden="1" customWidth="1"/>
    <col min="6925" max="6925" width="11.875" style="1037" hidden="1" customWidth="1"/>
    <col min="6926" max="6927" width="11.375" style="1037" hidden="1" customWidth="1"/>
    <col min="6928" max="6928" width="0.75" style="1037" hidden="1" customWidth="1"/>
    <col min="6929" max="6929" width="3.875" style="1037" hidden="1" customWidth="1"/>
    <col min="6930" max="7134" width="0" style="1037" hidden="1" customWidth="1"/>
    <col min="7135" max="7168" width="0" style="1037" hidden="1"/>
    <col min="7169" max="7169" width="0.75" style="1037" hidden="1" customWidth="1"/>
    <col min="7170" max="7170" width="2.125" style="1037" hidden="1" customWidth="1"/>
    <col min="7171" max="7171" width="13.375" style="1037" hidden="1" customWidth="1"/>
    <col min="7172" max="7172" width="5.375" style="1037" hidden="1" customWidth="1"/>
    <col min="7173" max="7173" width="9.75" style="1037" hidden="1" customWidth="1"/>
    <col min="7174" max="7174" width="6.25" style="1037" hidden="1" customWidth="1"/>
    <col min="7175" max="7175" width="6.5" style="1037" hidden="1" customWidth="1"/>
    <col min="7176" max="7176" width="12.875" style="1037" hidden="1" customWidth="1"/>
    <col min="7177" max="7177" width="7.125" style="1037" hidden="1" customWidth="1"/>
    <col min="7178" max="7178" width="12.125" style="1037" hidden="1" customWidth="1"/>
    <col min="7179" max="7179" width="11.875" style="1037" hidden="1" customWidth="1"/>
    <col min="7180" max="7180" width="10.75" style="1037" hidden="1" customWidth="1"/>
    <col min="7181" max="7181" width="11.875" style="1037" hidden="1" customWidth="1"/>
    <col min="7182" max="7183" width="11.375" style="1037" hidden="1" customWidth="1"/>
    <col min="7184" max="7184" width="0.75" style="1037" hidden="1" customWidth="1"/>
    <col min="7185" max="7185" width="3.875" style="1037" hidden="1" customWidth="1"/>
    <col min="7186" max="7390" width="0" style="1037" hidden="1" customWidth="1"/>
    <col min="7391" max="7424" width="0" style="1037" hidden="1"/>
    <col min="7425" max="7425" width="0.75" style="1037" hidden="1" customWidth="1"/>
    <col min="7426" max="7426" width="2.125" style="1037" hidden="1" customWidth="1"/>
    <col min="7427" max="7427" width="13.375" style="1037" hidden="1" customWidth="1"/>
    <col min="7428" max="7428" width="5.375" style="1037" hidden="1" customWidth="1"/>
    <col min="7429" max="7429" width="9.75" style="1037" hidden="1" customWidth="1"/>
    <col min="7430" max="7430" width="6.25" style="1037" hidden="1" customWidth="1"/>
    <col min="7431" max="7431" width="6.5" style="1037" hidden="1" customWidth="1"/>
    <col min="7432" max="7432" width="12.875" style="1037" hidden="1" customWidth="1"/>
    <col min="7433" max="7433" width="7.125" style="1037" hidden="1" customWidth="1"/>
    <col min="7434" max="7434" width="12.125" style="1037" hidden="1" customWidth="1"/>
    <col min="7435" max="7435" width="11.875" style="1037" hidden="1" customWidth="1"/>
    <col min="7436" max="7436" width="10.75" style="1037" hidden="1" customWidth="1"/>
    <col min="7437" max="7437" width="11.875" style="1037" hidden="1" customWidth="1"/>
    <col min="7438" max="7439" width="11.375" style="1037" hidden="1" customWidth="1"/>
    <col min="7440" max="7440" width="0.75" style="1037" hidden="1" customWidth="1"/>
    <col min="7441" max="7441" width="3.875" style="1037" hidden="1" customWidth="1"/>
    <col min="7442" max="7646" width="0" style="1037" hidden="1" customWidth="1"/>
    <col min="7647" max="7680" width="0" style="1037" hidden="1"/>
    <col min="7681" max="7681" width="0.75" style="1037" hidden="1" customWidth="1"/>
    <col min="7682" max="7682" width="2.125" style="1037" hidden="1" customWidth="1"/>
    <col min="7683" max="7683" width="13.375" style="1037" hidden="1" customWidth="1"/>
    <col min="7684" max="7684" width="5.375" style="1037" hidden="1" customWidth="1"/>
    <col min="7685" max="7685" width="9.75" style="1037" hidden="1" customWidth="1"/>
    <col min="7686" max="7686" width="6.25" style="1037" hidden="1" customWidth="1"/>
    <col min="7687" max="7687" width="6.5" style="1037" hidden="1" customWidth="1"/>
    <col min="7688" max="7688" width="12.875" style="1037" hidden="1" customWidth="1"/>
    <col min="7689" max="7689" width="7.125" style="1037" hidden="1" customWidth="1"/>
    <col min="7690" max="7690" width="12.125" style="1037" hidden="1" customWidth="1"/>
    <col min="7691" max="7691" width="11.875" style="1037" hidden="1" customWidth="1"/>
    <col min="7692" max="7692" width="10.75" style="1037" hidden="1" customWidth="1"/>
    <col min="7693" max="7693" width="11.875" style="1037" hidden="1" customWidth="1"/>
    <col min="7694" max="7695" width="11.375" style="1037" hidden="1" customWidth="1"/>
    <col min="7696" max="7696" width="0.75" style="1037" hidden="1" customWidth="1"/>
    <col min="7697" max="7697" width="3.875" style="1037" hidden="1" customWidth="1"/>
    <col min="7698" max="7902" width="0" style="1037" hidden="1" customWidth="1"/>
    <col min="7903" max="7936" width="0" style="1037" hidden="1"/>
    <col min="7937" max="7937" width="0.75" style="1037" hidden="1" customWidth="1"/>
    <col min="7938" max="7938" width="2.125" style="1037" hidden="1" customWidth="1"/>
    <col min="7939" max="7939" width="13.375" style="1037" hidden="1" customWidth="1"/>
    <col min="7940" max="7940" width="5.375" style="1037" hidden="1" customWidth="1"/>
    <col min="7941" max="7941" width="9.75" style="1037" hidden="1" customWidth="1"/>
    <col min="7942" max="7942" width="6.25" style="1037" hidden="1" customWidth="1"/>
    <col min="7943" max="7943" width="6.5" style="1037" hidden="1" customWidth="1"/>
    <col min="7944" max="7944" width="12.875" style="1037" hidden="1" customWidth="1"/>
    <col min="7945" max="7945" width="7.125" style="1037" hidden="1" customWidth="1"/>
    <col min="7946" max="7946" width="12.125" style="1037" hidden="1" customWidth="1"/>
    <col min="7947" max="7947" width="11.875" style="1037" hidden="1" customWidth="1"/>
    <col min="7948" max="7948" width="10.75" style="1037" hidden="1" customWidth="1"/>
    <col min="7949" max="7949" width="11.875" style="1037" hidden="1" customWidth="1"/>
    <col min="7950" max="7951" width="11.375" style="1037" hidden="1" customWidth="1"/>
    <col min="7952" max="7952" width="0.75" style="1037" hidden="1" customWidth="1"/>
    <col min="7953" max="7953" width="3.875" style="1037" hidden="1" customWidth="1"/>
    <col min="7954" max="8158" width="0" style="1037" hidden="1" customWidth="1"/>
    <col min="8159" max="8192" width="0" style="1037" hidden="1"/>
    <col min="8193" max="8193" width="0.75" style="1037" hidden="1" customWidth="1"/>
    <col min="8194" max="8194" width="2.125" style="1037" hidden="1" customWidth="1"/>
    <col min="8195" max="8195" width="13.375" style="1037" hidden="1" customWidth="1"/>
    <col min="8196" max="8196" width="5.375" style="1037" hidden="1" customWidth="1"/>
    <col min="8197" max="8197" width="9.75" style="1037" hidden="1" customWidth="1"/>
    <col min="8198" max="8198" width="6.25" style="1037" hidden="1" customWidth="1"/>
    <col min="8199" max="8199" width="6.5" style="1037" hidden="1" customWidth="1"/>
    <col min="8200" max="8200" width="12.875" style="1037" hidden="1" customWidth="1"/>
    <col min="8201" max="8201" width="7.125" style="1037" hidden="1" customWidth="1"/>
    <col min="8202" max="8202" width="12.125" style="1037" hidden="1" customWidth="1"/>
    <col min="8203" max="8203" width="11.875" style="1037" hidden="1" customWidth="1"/>
    <col min="8204" max="8204" width="10.75" style="1037" hidden="1" customWidth="1"/>
    <col min="8205" max="8205" width="11.875" style="1037" hidden="1" customWidth="1"/>
    <col min="8206" max="8207" width="11.375" style="1037" hidden="1" customWidth="1"/>
    <col min="8208" max="8208" width="0.75" style="1037" hidden="1" customWidth="1"/>
    <col min="8209" max="8209" width="3.875" style="1037" hidden="1" customWidth="1"/>
    <col min="8210" max="8414" width="0" style="1037" hidden="1" customWidth="1"/>
    <col min="8415" max="8448" width="0" style="1037" hidden="1"/>
    <col min="8449" max="8449" width="0.75" style="1037" hidden="1" customWidth="1"/>
    <col min="8450" max="8450" width="2.125" style="1037" hidden="1" customWidth="1"/>
    <col min="8451" max="8451" width="13.375" style="1037" hidden="1" customWidth="1"/>
    <col min="8452" max="8452" width="5.375" style="1037" hidden="1" customWidth="1"/>
    <col min="8453" max="8453" width="9.75" style="1037" hidden="1" customWidth="1"/>
    <col min="8454" max="8454" width="6.25" style="1037" hidden="1" customWidth="1"/>
    <col min="8455" max="8455" width="6.5" style="1037" hidden="1" customWidth="1"/>
    <col min="8456" max="8456" width="12.875" style="1037" hidden="1" customWidth="1"/>
    <col min="8457" max="8457" width="7.125" style="1037" hidden="1" customWidth="1"/>
    <col min="8458" max="8458" width="12.125" style="1037" hidden="1" customWidth="1"/>
    <col min="8459" max="8459" width="11.875" style="1037" hidden="1" customWidth="1"/>
    <col min="8460" max="8460" width="10.75" style="1037" hidden="1" customWidth="1"/>
    <col min="8461" max="8461" width="11.875" style="1037" hidden="1" customWidth="1"/>
    <col min="8462" max="8463" width="11.375" style="1037" hidden="1" customWidth="1"/>
    <col min="8464" max="8464" width="0.75" style="1037" hidden="1" customWidth="1"/>
    <col min="8465" max="8465" width="3.875" style="1037" hidden="1" customWidth="1"/>
    <col min="8466" max="8670" width="0" style="1037" hidden="1" customWidth="1"/>
    <col min="8671" max="8704" width="0" style="1037" hidden="1"/>
    <col min="8705" max="8705" width="0.75" style="1037" hidden="1" customWidth="1"/>
    <col min="8706" max="8706" width="2.125" style="1037" hidden="1" customWidth="1"/>
    <col min="8707" max="8707" width="13.375" style="1037" hidden="1" customWidth="1"/>
    <col min="8708" max="8708" width="5.375" style="1037" hidden="1" customWidth="1"/>
    <col min="8709" max="8709" width="9.75" style="1037" hidden="1" customWidth="1"/>
    <col min="8710" max="8710" width="6.25" style="1037" hidden="1" customWidth="1"/>
    <col min="8711" max="8711" width="6.5" style="1037" hidden="1" customWidth="1"/>
    <col min="8712" max="8712" width="12.875" style="1037" hidden="1" customWidth="1"/>
    <col min="8713" max="8713" width="7.125" style="1037" hidden="1" customWidth="1"/>
    <col min="8714" max="8714" width="12.125" style="1037" hidden="1" customWidth="1"/>
    <col min="8715" max="8715" width="11.875" style="1037" hidden="1" customWidth="1"/>
    <col min="8716" max="8716" width="10.75" style="1037" hidden="1" customWidth="1"/>
    <col min="8717" max="8717" width="11.875" style="1037" hidden="1" customWidth="1"/>
    <col min="8718" max="8719" width="11.375" style="1037" hidden="1" customWidth="1"/>
    <col min="8720" max="8720" width="0.75" style="1037" hidden="1" customWidth="1"/>
    <col min="8721" max="8721" width="3.875" style="1037" hidden="1" customWidth="1"/>
    <col min="8722" max="8926" width="0" style="1037" hidden="1" customWidth="1"/>
    <col min="8927" max="8960" width="0" style="1037" hidden="1"/>
    <col min="8961" max="8961" width="0.75" style="1037" hidden="1" customWidth="1"/>
    <col min="8962" max="8962" width="2.125" style="1037" hidden="1" customWidth="1"/>
    <col min="8963" max="8963" width="13.375" style="1037" hidden="1" customWidth="1"/>
    <col min="8964" max="8964" width="5.375" style="1037" hidden="1" customWidth="1"/>
    <col min="8965" max="8965" width="9.75" style="1037" hidden="1" customWidth="1"/>
    <col min="8966" max="8966" width="6.25" style="1037" hidden="1" customWidth="1"/>
    <col min="8967" max="8967" width="6.5" style="1037" hidden="1" customWidth="1"/>
    <col min="8968" max="8968" width="12.875" style="1037" hidden="1" customWidth="1"/>
    <col min="8969" max="8969" width="7.125" style="1037" hidden="1" customWidth="1"/>
    <col min="8970" max="8970" width="12.125" style="1037" hidden="1" customWidth="1"/>
    <col min="8971" max="8971" width="11.875" style="1037" hidden="1" customWidth="1"/>
    <col min="8972" max="8972" width="10.75" style="1037" hidden="1" customWidth="1"/>
    <col min="8973" max="8973" width="11.875" style="1037" hidden="1" customWidth="1"/>
    <col min="8974" max="8975" width="11.375" style="1037" hidden="1" customWidth="1"/>
    <col min="8976" max="8976" width="0.75" style="1037" hidden="1" customWidth="1"/>
    <col min="8977" max="8977" width="3.875" style="1037" hidden="1" customWidth="1"/>
    <col min="8978" max="9182" width="0" style="1037" hidden="1" customWidth="1"/>
    <col min="9183" max="9216" width="0" style="1037" hidden="1"/>
    <col min="9217" max="9217" width="0.75" style="1037" hidden="1" customWidth="1"/>
    <col min="9218" max="9218" width="2.125" style="1037" hidden="1" customWidth="1"/>
    <col min="9219" max="9219" width="13.375" style="1037" hidden="1" customWidth="1"/>
    <col min="9220" max="9220" width="5.375" style="1037" hidden="1" customWidth="1"/>
    <col min="9221" max="9221" width="9.75" style="1037" hidden="1" customWidth="1"/>
    <col min="9222" max="9222" width="6.25" style="1037" hidden="1" customWidth="1"/>
    <col min="9223" max="9223" width="6.5" style="1037" hidden="1" customWidth="1"/>
    <col min="9224" max="9224" width="12.875" style="1037" hidden="1" customWidth="1"/>
    <col min="9225" max="9225" width="7.125" style="1037" hidden="1" customWidth="1"/>
    <col min="9226" max="9226" width="12.125" style="1037" hidden="1" customWidth="1"/>
    <col min="9227" max="9227" width="11.875" style="1037" hidden="1" customWidth="1"/>
    <col min="9228" max="9228" width="10.75" style="1037" hidden="1" customWidth="1"/>
    <col min="9229" max="9229" width="11.875" style="1037" hidden="1" customWidth="1"/>
    <col min="9230" max="9231" width="11.375" style="1037" hidden="1" customWidth="1"/>
    <col min="9232" max="9232" width="0.75" style="1037" hidden="1" customWidth="1"/>
    <col min="9233" max="9233" width="3.875" style="1037" hidden="1" customWidth="1"/>
    <col min="9234" max="9438" width="0" style="1037" hidden="1" customWidth="1"/>
    <col min="9439" max="9472" width="0" style="1037" hidden="1"/>
    <col min="9473" max="9473" width="0.75" style="1037" hidden="1" customWidth="1"/>
    <col min="9474" max="9474" width="2.125" style="1037" hidden="1" customWidth="1"/>
    <col min="9475" max="9475" width="13.375" style="1037" hidden="1" customWidth="1"/>
    <col min="9476" max="9476" width="5.375" style="1037" hidden="1" customWidth="1"/>
    <col min="9477" max="9477" width="9.75" style="1037" hidden="1" customWidth="1"/>
    <col min="9478" max="9478" width="6.25" style="1037" hidden="1" customWidth="1"/>
    <col min="9479" max="9479" width="6.5" style="1037" hidden="1" customWidth="1"/>
    <col min="9480" max="9480" width="12.875" style="1037" hidden="1" customWidth="1"/>
    <col min="9481" max="9481" width="7.125" style="1037" hidden="1" customWidth="1"/>
    <col min="9482" max="9482" width="12.125" style="1037" hidden="1" customWidth="1"/>
    <col min="9483" max="9483" width="11.875" style="1037" hidden="1" customWidth="1"/>
    <col min="9484" max="9484" width="10.75" style="1037" hidden="1" customWidth="1"/>
    <col min="9485" max="9485" width="11.875" style="1037" hidden="1" customWidth="1"/>
    <col min="9486" max="9487" width="11.375" style="1037" hidden="1" customWidth="1"/>
    <col min="9488" max="9488" width="0.75" style="1037" hidden="1" customWidth="1"/>
    <col min="9489" max="9489" width="3.875" style="1037" hidden="1" customWidth="1"/>
    <col min="9490" max="9694" width="0" style="1037" hidden="1" customWidth="1"/>
    <col min="9695" max="9728" width="0" style="1037" hidden="1"/>
    <col min="9729" max="9729" width="0.75" style="1037" hidden="1" customWidth="1"/>
    <col min="9730" max="9730" width="2.125" style="1037" hidden="1" customWidth="1"/>
    <col min="9731" max="9731" width="13.375" style="1037" hidden="1" customWidth="1"/>
    <col min="9732" max="9732" width="5.375" style="1037" hidden="1" customWidth="1"/>
    <col min="9733" max="9733" width="9.75" style="1037" hidden="1" customWidth="1"/>
    <col min="9734" max="9734" width="6.25" style="1037" hidden="1" customWidth="1"/>
    <col min="9735" max="9735" width="6.5" style="1037" hidden="1" customWidth="1"/>
    <col min="9736" max="9736" width="12.875" style="1037" hidden="1" customWidth="1"/>
    <col min="9737" max="9737" width="7.125" style="1037" hidden="1" customWidth="1"/>
    <col min="9738" max="9738" width="12.125" style="1037" hidden="1" customWidth="1"/>
    <col min="9739" max="9739" width="11.875" style="1037" hidden="1" customWidth="1"/>
    <col min="9740" max="9740" width="10.75" style="1037" hidden="1" customWidth="1"/>
    <col min="9741" max="9741" width="11.875" style="1037" hidden="1" customWidth="1"/>
    <col min="9742" max="9743" width="11.375" style="1037" hidden="1" customWidth="1"/>
    <col min="9744" max="9744" width="0.75" style="1037" hidden="1" customWidth="1"/>
    <col min="9745" max="9745" width="3.875" style="1037" hidden="1" customWidth="1"/>
    <col min="9746" max="9950" width="0" style="1037" hidden="1" customWidth="1"/>
    <col min="9951" max="9984" width="0" style="1037" hidden="1"/>
    <col min="9985" max="9985" width="0.75" style="1037" hidden="1" customWidth="1"/>
    <col min="9986" max="9986" width="2.125" style="1037" hidden="1" customWidth="1"/>
    <col min="9987" max="9987" width="13.375" style="1037" hidden="1" customWidth="1"/>
    <col min="9988" max="9988" width="5.375" style="1037" hidden="1" customWidth="1"/>
    <col min="9989" max="9989" width="9.75" style="1037" hidden="1" customWidth="1"/>
    <col min="9990" max="9990" width="6.25" style="1037" hidden="1" customWidth="1"/>
    <col min="9991" max="9991" width="6.5" style="1037" hidden="1" customWidth="1"/>
    <col min="9992" max="9992" width="12.875" style="1037" hidden="1" customWidth="1"/>
    <col min="9993" max="9993" width="7.125" style="1037" hidden="1" customWidth="1"/>
    <col min="9994" max="9994" width="12.125" style="1037" hidden="1" customWidth="1"/>
    <col min="9995" max="9995" width="11.875" style="1037" hidden="1" customWidth="1"/>
    <col min="9996" max="9996" width="10.75" style="1037" hidden="1" customWidth="1"/>
    <col min="9997" max="9997" width="11.875" style="1037" hidden="1" customWidth="1"/>
    <col min="9998" max="9999" width="11.375" style="1037" hidden="1" customWidth="1"/>
    <col min="10000" max="10000" width="0.75" style="1037" hidden="1" customWidth="1"/>
    <col min="10001" max="10001" width="3.875" style="1037" hidden="1" customWidth="1"/>
    <col min="10002" max="10206" width="0" style="1037" hidden="1" customWidth="1"/>
    <col min="10207" max="10240" width="0" style="1037" hidden="1"/>
    <col min="10241" max="10241" width="0.75" style="1037" hidden="1" customWidth="1"/>
    <col min="10242" max="10242" width="2.125" style="1037" hidden="1" customWidth="1"/>
    <col min="10243" max="10243" width="13.375" style="1037" hidden="1" customWidth="1"/>
    <col min="10244" max="10244" width="5.375" style="1037" hidden="1" customWidth="1"/>
    <col min="10245" max="10245" width="9.75" style="1037" hidden="1" customWidth="1"/>
    <col min="10246" max="10246" width="6.25" style="1037" hidden="1" customWidth="1"/>
    <col min="10247" max="10247" width="6.5" style="1037" hidden="1" customWidth="1"/>
    <col min="10248" max="10248" width="12.875" style="1037" hidden="1" customWidth="1"/>
    <col min="10249" max="10249" width="7.125" style="1037" hidden="1" customWidth="1"/>
    <col min="10250" max="10250" width="12.125" style="1037" hidden="1" customWidth="1"/>
    <col min="10251" max="10251" width="11.875" style="1037" hidden="1" customWidth="1"/>
    <col min="10252" max="10252" width="10.75" style="1037" hidden="1" customWidth="1"/>
    <col min="10253" max="10253" width="11.875" style="1037" hidden="1" customWidth="1"/>
    <col min="10254" max="10255" width="11.375" style="1037" hidden="1" customWidth="1"/>
    <col min="10256" max="10256" width="0.75" style="1037" hidden="1" customWidth="1"/>
    <col min="10257" max="10257" width="3.875" style="1037" hidden="1" customWidth="1"/>
    <col min="10258" max="10462" width="0" style="1037" hidden="1" customWidth="1"/>
    <col min="10463" max="10496" width="0" style="1037" hidden="1"/>
    <col min="10497" max="10497" width="0.75" style="1037" hidden="1" customWidth="1"/>
    <col min="10498" max="10498" width="2.125" style="1037" hidden="1" customWidth="1"/>
    <col min="10499" max="10499" width="13.375" style="1037" hidden="1" customWidth="1"/>
    <col min="10500" max="10500" width="5.375" style="1037" hidden="1" customWidth="1"/>
    <col min="10501" max="10501" width="9.75" style="1037" hidden="1" customWidth="1"/>
    <col min="10502" max="10502" width="6.25" style="1037" hidden="1" customWidth="1"/>
    <col min="10503" max="10503" width="6.5" style="1037" hidden="1" customWidth="1"/>
    <col min="10504" max="10504" width="12.875" style="1037" hidden="1" customWidth="1"/>
    <col min="10505" max="10505" width="7.125" style="1037" hidden="1" customWidth="1"/>
    <col min="10506" max="10506" width="12.125" style="1037" hidden="1" customWidth="1"/>
    <col min="10507" max="10507" width="11.875" style="1037" hidden="1" customWidth="1"/>
    <col min="10508" max="10508" width="10.75" style="1037" hidden="1" customWidth="1"/>
    <col min="10509" max="10509" width="11.875" style="1037" hidden="1" customWidth="1"/>
    <col min="10510" max="10511" width="11.375" style="1037" hidden="1" customWidth="1"/>
    <col min="10512" max="10512" width="0.75" style="1037" hidden="1" customWidth="1"/>
    <col min="10513" max="10513" width="3.875" style="1037" hidden="1" customWidth="1"/>
    <col min="10514" max="10718" width="0" style="1037" hidden="1" customWidth="1"/>
    <col min="10719" max="10752" width="0" style="1037" hidden="1"/>
    <col min="10753" max="10753" width="0.75" style="1037" hidden="1" customWidth="1"/>
    <col min="10754" max="10754" width="2.125" style="1037" hidden="1" customWidth="1"/>
    <col min="10755" max="10755" width="13.375" style="1037" hidden="1" customWidth="1"/>
    <col min="10756" max="10756" width="5.375" style="1037" hidden="1" customWidth="1"/>
    <col min="10757" max="10757" width="9.75" style="1037" hidden="1" customWidth="1"/>
    <col min="10758" max="10758" width="6.25" style="1037" hidden="1" customWidth="1"/>
    <col min="10759" max="10759" width="6.5" style="1037" hidden="1" customWidth="1"/>
    <col min="10760" max="10760" width="12.875" style="1037" hidden="1" customWidth="1"/>
    <col min="10761" max="10761" width="7.125" style="1037" hidden="1" customWidth="1"/>
    <col min="10762" max="10762" width="12.125" style="1037" hidden="1" customWidth="1"/>
    <col min="10763" max="10763" width="11.875" style="1037" hidden="1" customWidth="1"/>
    <col min="10764" max="10764" width="10.75" style="1037" hidden="1" customWidth="1"/>
    <col min="10765" max="10765" width="11.875" style="1037" hidden="1" customWidth="1"/>
    <col min="10766" max="10767" width="11.375" style="1037" hidden="1" customWidth="1"/>
    <col min="10768" max="10768" width="0.75" style="1037" hidden="1" customWidth="1"/>
    <col min="10769" max="10769" width="3.875" style="1037" hidden="1" customWidth="1"/>
    <col min="10770" max="10974" width="0" style="1037" hidden="1" customWidth="1"/>
    <col min="10975" max="11008" width="0" style="1037" hidden="1"/>
    <col min="11009" max="11009" width="0.75" style="1037" hidden="1" customWidth="1"/>
    <col min="11010" max="11010" width="2.125" style="1037" hidden="1" customWidth="1"/>
    <col min="11011" max="11011" width="13.375" style="1037" hidden="1" customWidth="1"/>
    <col min="11012" max="11012" width="5.375" style="1037" hidden="1" customWidth="1"/>
    <col min="11013" max="11013" width="9.75" style="1037" hidden="1" customWidth="1"/>
    <col min="11014" max="11014" width="6.25" style="1037" hidden="1" customWidth="1"/>
    <col min="11015" max="11015" width="6.5" style="1037" hidden="1" customWidth="1"/>
    <col min="11016" max="11016" width="12.875" style="1037" hidden="1" customWidth="1"/>
    <col min="11017" max="11017" width="7.125" style="1037" hidden="1" customWidth="1"/>
    <col min="11018" max="11018" width="12.125" style="1037" hidden="1" customWidth="1"/>
    <col min="11019" max="11019" width="11.875" style="1037" hidden="1" customWidth="1"/>
    <col min="11020" max="11020" width="10.75" style="1037" hidden="1" customWidth="1"/>
    <col min="11021" max="11021" width="11.875" style="1037" hidden="1" customWidth="1"/>
    <col min="11022" max="11023" width="11.375" style="1037" hidden="1" customWidth="1"/>
    <col min="11024" max="11024" width="0.75" style="1037" hidden="1" customWidth="1"/>
    <col min="11025" max="11025" width="3.875" style="1037" hidden="1" customWidth="1"/>
    <col min="11026" max="11230" width="0" style="1037" hidden="1" customWidth="1"/>
    <col min="11231" max="11264" width="0" style="1037" hidden="1"/>
    <col min="11265" max="11265" width="0.75" style="1037" hidden="1" customWidth="1"/>
    <col min="11266" max="11266" width="2.125" style="1037" hidden="1" customWidth="1"/>
    <col min="11267" max="11267" width="13.375" style="1037" hidden="1" customWidth="1"/>
    <col min="11268" max="11268" width="5.375" style="1037" hidden="1" customWidth="1"/>
    <col min="11269" max="11269" width="9.75" style="1037" hidden="1" customWidth="1"/>
    <col min="11270" max="11270" width="6.25" style="1037" hidden="1" customWidth="1"/>
    <col min="11271" max="11271" width="6.5" style="1037" hidden="1" customWidth="1"/>
    <col min="11272" max="11272" width="12.875" style="1037" hidden="1" customWidth="1"/>
    <col min="11273" max="11273" width="7.125" style="1037" hidden="1" customWidth="1"/>
    <col min="11274" max="11274" width="12.125" style="1037" hidden="1" customWidth="1"/>
    <col min="11275" max="11275" width="11.875" style="1037" hidden="1" customWidth="1"/>
    <col min="11276" max="11276" width="10.75" style="1037" hidden="1" customWidth="1"/>
    <col min="11277" max="11277" width="11.875" style="1037" hidden="1" customWidth="1"/>
    <col min="11278" max="11279" width="11.375" style="1037" hidden="1" customWidth="1"/>
    <col min="11280" max="11280" width="0.75" style="1037" hidden="1" customWidth="1"/>
    <col min="11281" max="11281" width="3.875" style="1037" hidden="1" customWidth="1"/>
    <col min="11282" max="11486" width="0" style="1037" hidden="1" customWidth="1"/>
    <col min="11487" max="11520" width="0" style="1037" hidden="1"/>
    <col min="11521" max="11521" width="0.75" style="1037" hidden="1" customWidth="1"/>
    <col min="11522" max="11522" width="2.125" style="1037" hidden="1" customWidth="1"/>
    <col min="11523" max="11523" width="13.375" style="1037" hidden="1" customWidth="1"/>
    <col min="11524" max="11524" width="5.375" style="1037" hidden="1" customWidth="1"/>
    <col min="11525" max="11525" width="9.75" style="1037" hidden="1" customWidth="1"/>
    <col min="11526" max="11526" width="6.25" style="1037" hidden="1" customWidth="1"/>
    <col min="11527" max="11527" width="6.5" style="1037" hidden="1" customWidth="1"/>
    <col min="11528" max="11528" width="12.875" style="1037" hidden="1" customWidth="1"/>
    <col min="11529" max="11529" width="7.125" style="1037" hidden="1" customWidth="1"/>
    <col min="11530" max="11530" width="12.125" style="1037" hidden="1" customWidth="1"/>
    <col min="11531" max="11531" width="11.875" style="1037" hidden="1" customWidth="1"/>
    <col min="11532" max="11532" width="10.75" style="1037" hidden="1" customWidth="1"/>
    <col min="11533" max="11533" width="11.875" style="1037" hidden="1" customWidth="1"/>
    <col min="11534" max="11535" width="11.375" style="1037" hidden="1" customWidth="1"/>
    <col min="11536" max="11536" width="0.75" style="1037" hidden="1" customWidth="1"/>
    <col min="11537" max="11537" width="3.875" style="1037" hidden="1" customWidth="1"/>
    <col min="11538" max="11742" width="0" style="1037" hidden="1" customWidth="1"/>
    <col min="11743" max="11776" width="0" style="1037" hidden="1"/>
    <col min="11777" max="11777" width="0.75" style="1037" hidden="1" customWidth="1"/>
    <col min="11778" max="11778" width="2.125" style="1037" hidden="1" customWidth="1"/>
    <col min="11779" max="11779" width="13.375" style="1037" hidden="1" customWidth="1"/>
    <col min="11780" max="11780" width="5.375" style="1037" hidden="1" customWidth="1"/>
    <col min="11781" max="11781" width="9.75" style="1037" hidden="1" customWidth="1"/>
    <col min="11782" max="11782" width="6.25" style="1037" hidden="1" customWidth="1"/>
    <col min="11783" max="11783" width="6.5" style="1037" hidden="1" customWidth="1"/>
    <col min="11784" max="11784" width="12.875" style="1037" hidden="1" customWidth="1"/>
    <col min="11785" max="11785" width="7.125" style="1037" hidden="1" customWidth="1"/>
    <col min="11786" max="11786" width="12.125" style="1037" hidden="1" customWidth="1"/>
    <col min="11787" max="11787" width="11.875" style="1037" hidden="1" customWidth="1"/>
    <col min="11788" max="11788" width="10.75" style="1037" hidden="1" customWidth="1"/>
    <col min="11789" max="11789" width="11.875" style="1037" hidden="1" customWidth="1"/>
    <col min="11790" max="11791" width="11.375" style="1037" hidden="1" customWidth="1"/>
    <col min="11792" max="11792" width="0.75" style="1037" hidden="1" customWidth="1"/>
    <col min="11793" max="11793" width="3.875" style="1037" hidden="1" customWidth="1"/>
    <col min="11794" max="11998" width="0" style="1037" hidden="1" customWidth="1"/>
    <col min="11999" max="12032" width="0" style="1037" hidden="1"/>
    <col min="12033" max="12033" width="0.75" style="1037" hidden="1" customWidth="1"/>
    <col min="12034" max="12034" width="2.125" style="1037" hidden="1" customWidth="1"/>
    <col min="12035" max="12035" width="13.375" style="1037" hidden="1" customWidth="1"/>
    <col min="12036" max="12036" width="5.375" style="1037" hidden="1" customWidth="1"/>
    <col min="12037" max="12037" width="9.75" style="1037" hidden="1" customWidth="1"/>
    <col min="12038" max="12038" width="6.25" style="1037" hidden="1" customWidth="1"/>
    <col min="12039" max="12039" width="6.5" style="1037" hidden="1" customWidth="1"/>
    <col min="12040" max="12040" width="12.875" style="1037" hidden="1" customWidth="1"/>
    <col min="12041" max="12041" width="7.125" style="1037" hidden="1" customWidth="1"/>
    <col min="12042" max="12042" width="12.125" style="1037" hidden="1" customWidth="1"/>
    <col min="12043" max="12043" width="11.875" style="1037" hidden="1" customWidth="1"/>
    <col min="12044" max="12044" width="10.75" style="1037" hidden="1" customWidth="1"/>
    <col min="12045" max="12045" width="11.875" style="1037" hidden="1" customWidth="1"/>
    <col min="12046" max="12047" width="11.375" style="1037" hidden="1" customWidth="1"/>
    <col min="12048" max="12048" width="0.75" style="1037" hidden="1" customWidth="1"/>
    <col min="12049" max="12049" width="3.875" style="1037" hidden="1" customWidth="1"/>
    <col min="12050" max="12254" width="0" style="1037" hidden="1" customWidth="1"/>
    <col min="12255" max="12288" width="0" style="1037" hidden="1"/>
    <col min="12289" max="12289" width="0.75" style="1037" hidden="1" customWidth="1"/>
    <col min="12290" max="12290" width="2.125" style="1037" hidden="1" customWidth="1"/>
    <col min="12291" max="12291" width="13.375" style="1037" hidden="1" customWidth="1"/>
    <col min="12292" max="12292" width="5.375" style="1037" hidden="1" customWidth="1"/>
    <col min="12293" max="12293" width="9.75" style="1037" hidden="1" customWidth="1"/>
    <col min="12294" max="12294" width="6.25" style="1037" hidden="1" customWidth="1"/>
    <col min="12295" max="12295" width="6.5" style="1037" hidden="1" customWidth="1"/>
    <col min="12296" max="12296" width="12.875" style="1037" hidden="1" customWidth="1"/>
    <col min="12297" max="12297" width="7.125" style="1037" hidden="1" customWidth="1"/>
    <col min="12298" max="12298" width="12.125" style="1037" hidden="1" customWidth="1"/>
    <col min="12299" max="12299" width="11.875" style="1037" hidden="1" customWidth="1"/>
    <col min="12300" max="12300" width="10.75" style="1037" hidden="1" customWidth="1"/>
    <col min="12301" max="12301" width="11.875" style="1037" hidden="1" customWidth="1"/>
    <col min="12302" max="12303" width="11.375" style="1037" hidden="1" customWidth="1"/>
    <col min="12304" max="12304" width="0.75" style="1037" hidden="1" customWidth="1"/>
    <col min="12305" max="12305" width="3.875" style="1037" hidden="1" customWidth="1"/>
    <col min="12306" max="12510" width="0" style="1037" hidden="1" customWidth="1"/>
    <col min="12511" max="12544" width="0" style="1037" hidden="1"/>
    <col min="12545" max="12545" width="0.75" style="1037" hidden="1" customWidth="1"/>
    <col min="12546" max="12546" width="2.125" style="1037" hidden="1" customWidth="1"/>
    <col min="12547" max="12547" width="13.375" style="1037" hidden="1" customWidth="1"/>
    <col min="12548" max="12548" width="5.375" style="1037" hidden="1" customWidth="1"/>
    <col min="12549" max="12549" width="9.75" style="1037" hidden="1" customWidth="1"/>
    <col min="12550" max="12550" width="6.25" style="1037" hidden="1" customWidth="1"/>
    <col min="12551" max="12551" width="6.5" style="1037" hidden="1" customWidth="1"/>
    <col min="12552" max="12552" width="12.875" style="1037" hidden="1" customWidth="1"/>
    <col min="12553" max="12553" width="7.125" style="1037" hidden="1" customWidth="1"/>
    <col min="12554" max="12554" width="12.125" style="1037" hidden="1" customWidth="1"/>
    <col min="12555" max="12555" width="11.875" style="1037" hidden="1" customWidth="1"/>
    <col min="12556" max="12556" width="10.75" style="1037" hidden="1" customWidth="1"/>
    <col min="12557" max="12557" width="11.875" style="1037" hidden="1" customWidth="1"/>
    <col min="12558" max="12559" width="11.375" style="1037" hidden="1" customWidth="1"/>
    <col min="12560" max="12560" width="0.75" style="1037" hidden="1" customWidth="1"/>
    <col min="12561" max="12561" width="3.875" style="1037" hidden="1" customWidth="1"/>
    <col min="12562" max="12766" width="0" style="1037" hidden="1" customWidth="1"/>
    <col min="12767" max="12800" width="0" style="1037" hidden="1"/>
    <col min="12801" max="12801" width="0.75" style="1037" hidden="1" customWidth="1"/>
    <col min="12802" max="12802" width="2.125" style="1037" hidden="1" customWidth="1"/>
    <col min="12803" max="12803" width="13.375" style="1037" hidden="1" customWidth="1"/>
    <col min="12804" max="12804" width="5.375" style="1037" hidden="1" customWidth="1"/>
    <col min="12805" max="12805" width="9.75" style="1037" hidden="1" customWidth="1"/>
    <col min="12806" max="12806" width="6.25" style="1037" hidden="1" customWidth="1"/>
    <col min="12807" max="12807" width="6.5" style="1037" hidden="1" customWidth="1"/>
    <col min="12808" max="12808" width="12.875" style="1037" hidden="1" customWidth="1"/>
    <col min="12809" max="12809" width="7.125" style="1037" hidden="1" customWidth="1"/>
    <col min="12810" max="12810" width="12.125" style="1037" hidden="1" customWidth="1"/>
    <col min="12811" max="12811" width="11.875" style="1037" hidden="1" customWidth="1"/>
    <col min="12812" max="12812" width="10.75" style="1037" hidden="1" customWidth="1"/>
    <col min="12813" max="12813" width="11.875" style="1037" hidden="1" customWidth="1"/>
    <col min="12814" max="12815" width="11.375" style="1037" hidden="1" customWidth="1"/>
    <col min="12816" max="12816" width="0.75" style="1037" hidden="1" customWidth="1"/>
    <col min="12817" max="12817" width="3.875" style="1037" hidden="1" customWidth="1"/>
    <col min="12818" max="13022" width="0" style="1037" hidden="1" customWidth="1"/>
    <col min="13023" max="13056" width="0" style="1037" hidden="1"/>
    <col min="13057" max="13057" width="0.75" style="1037" hidden="1" customWidth="1"/>
    <col min="13058" max="13058" width="2.125" style="1037" hidden="1" customWidth="1"/>
    <col min="13059" max="13059" width="13.375" style="1037" hidden="1" customWidth="1"/>
    <col min="13060" max="13060" width="5.375" style="1037" hidden="1" customWidth="1"/>
    <col min="13061" max="13061" width="9.75" style="1037" hidden="1" customWidth="1"/>
    <col min="13062" max="13062" width="6.25" style="1037" hidden="1" customWidth="1"/>
    <col min="13063" max="13063" width="6.5" style="1037" hidden="1" customWidth="1"/>
    <col min="13064" max="13064" width="12.875" style="1037" hidden="1" customWidth="1"/>
    <col min="13065" max="13065" width="7.125" style="1037" hidden="1" customWidth="1"/>
    <col min="13066" max="13066" width="12.125" style="1037" hidden="1" customWidth="1"/>
    <col min="13067" max="13067" width="11.875" style="1037" hidden="1" customWidth="1"/>
    <col min="13068" max="13068" width="10.75" style="1037" hidden="1" customWidth="1"/>
    <col min="13069" max="13069" width="11.875" style="1037" hidden="1" customWidth="1"/>
    <col min="13070" max="13071" width="11.375" style="1037" hidden="1" customWidth="1"/>
    <col min="13072" max="13072" width="0.75" style="1037" hidden="1" customWidth="1"/>
    <col min="13073" max="13073" width="3.875" style="1037" hidden="1" customWidth="1"/>
    <col min="13074" max="13278" width="0" style="1037" hidden="1" customWidth="1"/>
    <col min="13279" max="13312" width="0" style="1037" hidden="1"/>
    <col min="13313" max="13313" width="0.75" style="1037" hidden="1" customWidth="1"/>
    <col min="13314" max="13314" width="2.125" style="1037" hidden="1" customWidth="1"/>
    <col min="13315" max="13315" width="13.375" style="1037" hidden="1" customWidth="1"/>
    <col min="13316" max="13316" width="5.375" style="1037" hidden="1" customWidth="1"/>
    <col min="13317" max="13317" width="9.75" style="1037" hidden="1" customWidth="1"/>
    <col min="13318" max="13318" width="6.25" style="1037" hidden="1" customWidth="1"/>
    <col min="13319" max="13319" width="6.5" style="1037" hidden="1" customWidth="1"/>
    <col min="13320" max="13320" width="12.875" style="1037" hidden="1" customWidth="1"/>
    <col min="13321" max="13321" width="7.125" style="1037" hidden="1" customWidth="1"/>
    <col min="13322" max="13322" width="12.125" style="1037" hidden="1" customWidth="1"/>
    <col min="13323" max="13323" width="11.875" style="1037" hidden="1" customWidth="1"/>
    <col min="13324" max="13324" width="10.75" style="1037" hidden="1" customWidth="1"/>
    <col min="13325" max="13325" width="11.875" style="1037" hidden="1" customWidth="1"/>
    <col min="13326" max="13327" width="11.375" style="1037" hidden="1" customWidth="1"/>
    <col min="13328" max="13328" width="0.75" style="1037" hidden="1" customWidth="1"/>
    <col min="13329" max="13329" width="3.875" style="1037" hidden="1" customWidth="1"/>
    <col min="13330" max="13534" width="0" style="1037" hidden="1" customWidth="1"/>
    <col min="13535" max="13568" width="0" style="1037" hidden="1"/>
    <col min="13569" max="13569" width="0.75" style="1037" hidden="1" customWidth="1"/>
    <col min="13570" max="13570" width="2.125" style="1037" hidden="1" customWidth="1"/>
    <col min="13571" max="13571" width="13.375" style="1037" hidden="1" customWidth="1"/>
    <col min="13572" max="13572" width="5.375" style="1037" hidden="1" customWidth="1"/>
    <col min="13573" max="13573" width="9.75" style="1037" hidden="1" customWidth="1"/>
    <col min="13574" max="13574" width="6.25" style="1037" hidden="1" customWidth="1"/>
    <col min="13575" max="13575" width="6.5" style="1037" hidden="1" customWidth="1"/>
    <col min="13576" max="13576" width="12.875" style="1037" hidden="1" customWidth="1"/>
    <col min="13577" max="13577" width="7.125" style="1037" hidden="1" customWidth="1"/>
    <col min="13578" max="13578" width="12.125" style="1037" hidden="1" customWidth="1"/>
    <col min="13579" max="13579" width="11.875" style="1037" hidden="1" customWidth="1"/>
    <col min="13580" max="13580" width="10.75" style="1037" hidden="1" customWidth="1"/>
    <col min="13581" max="13581" width="11.875" style="1037" hidden="1" customWidth="1"/>
    <col min="13582" max="13583" width="11.375" style="1037" hidden="1" customWidth="1"/>
    <col min="13584" max="13584" width="0.75" style="1037" hidden="1" customWidth="1"/>
    <col min="13585" max="13585" width="3.875" style="1037" hidden="1" customWidth="1"/>
    <col min="13586" max="13790" width="0" style="1037" hidden="1" customWidth="1"/>
    <col min="13791" max="13824" width="0" style="1037" hidden="1"/>
    <col min="13825" max="13825" width="0.75" style="1037" hidden="1" customWidth="1"/>
    <col min="13826" max="13826" width="2.125" style="1037" hidden="1" customWidth="1"/>
    <col min="13827" max="13827" width="13.375" style="1037" hidden="1" customWidth="1"/>
    <col min="13828" max="13828" width="5.375" style="1037" hidden="1" customWidth="1"/>
    <col min="13829" max="13829" width="9.75" style="1037" hidden="1" customWidth="1"/>
    <col min="13830" max="13830" width="6.25" style="1037" hidden="1" customWidth="1"/>
    <col min="13831" max="13831" width="6.5" style="1037" hidden="1" customWidth="1"/>
    <col min="13832" max="13832" width="12.875" style="1037" hidden="1" customWidth="1"/>
    <col min="13833" max="13833" width="7.125" style="1037" hidden="1" customWidth="1"/>
    <col min="13834" max="13834" width="12.125" style="1037" hidden="1" customWidth="1"/>
    <col min="13835" max="13835" width="11.875" style="1037" hidden="1" customWidth="1"/>
    <col min="13836" max="13836" width="10.75" style="1037" hidden="1" customWidth="1"/>
    <col min="13837" max="13837" width="11.875" style="1037" hidden="1" customWidth="1"/>
    <col min="13838" max="13839" width="11.375" style="1037" hidden="1" customWidth="1"/>
    <col min="13840" max="13840" width="0.75" style="1037" hidden="1" customWidth="1"/>
    <col min="13841" max="13841" width="3.875" style="1037" hidden="1" customWidth="1"/>
    <col min="13842" max="14046" width="0" style="1037" hidden="1" customWidth="1"/>
    <col min="14047" max="14080" width="0" style="1037" hidden="1"/>
    <col min="14081" max="14081" width="0.75" style="1037" hidden="1" customWidth="1"/>
    <col min="14082" max="14082" width="2.125" style="1037" hidden="1" customWidth="1"/>
    <col min="14083" max="14083" width="13.375" style="1037" hidden="1" customWidth="1"/>
    <col min="14084" max="14084" width="5.375" style="1037" hidden="1" customWidth="1"/>
    <col min="14085" max="14085" width="9.75" style="1037" hidden="1" customWidth="1"/>
    <col min="14086" max="14086" width="6.25" style="1037" hidden="1" customWidth="1"/>
    <col min="14087" max="14087" width="6.5" style="1037" hidden="1" customWidth="1"/>
    <col min="14088" max="14088" width="12.875" style="1037" hidden="1" customWidth="1"/>
    <col min="14089" max="14089" width="7.125" style="1037" hidden="1" customWidth="1"/>
    <col min="14090" max="14090" width="12.125" style="1037" hidden="1" customWidth="1"/>
    <col min="14091" max="14091" width="11.875" style="1037" hidden="1" customWidth="1"/>
    <col min="14092" max="14092" width="10.75" style="1037" hidden="1" customWidth="1"/>
    <col min="14093" max="14093" width="11.875" style="1037" hidden="1" customWidth="1"/>
    <col min="14094" max="14095" width="11.375" style="1037" hidden="1" customWidth="1"/>
    <col min="14096" max="14096" width="0.75" style="1037" hidden="1" customWidth="1"/>
    <col min="14097" max="14097" width="3.875" style="1037" hidden="1" customWidth="1"/>
    <col min="14098" max="14302" width="0" style="1037" hidden="1" customWidth="1"/>
    <col min="14303" max="14336" width="0" style="1037" hidden="1"/>
    <col min="14337" max="14337" width="0.75" style="1037" hidden="1" customWidth="1"/>
    <col min="14338" max="14338" width="2.125" style="1037" hidden="1" customWidth="1"/>
    <col min="14339" max="14339" width="13.375" style="1037" hidden="1" customWidth="1"/>
    <col min="14340" max="14340" width="5.375" style="1037" hidden="1" customWidth="1"/>
    <col min="14341" max="14341" width="9.75" style="1037" hidden="1" customWidth="1"/>
    <col min="14342" max="14342" width="6.25" style="1037" hidden="1" customWidth="1"/>
    <col min="14343" max="14343" width="6.5" style="1037" hidden="1" customWidth="1"/>
    <col min="14344" max="14344" width="12.875" style="1037" hidden="1" customWidth="1"/>
    <col min="14345" max="14345" width="7.125" style="1037" hidden="1" customWidth="1"/>
    <col min="14346" max="14346" width="12.125" style="1037" hidden="1" customWidth="1"/>
    <col min="14347" max="14347" width="11.875" style="1037" hidden="1" customWidth="1"/>
    <col min="14348" max="14348" width="10.75" style="1037" hidden="1" customWidth="1"/>
    <col min="14349" max="14349" width="11.875" style="1037" hidden="1" customWidth="1"/>
    <col min="14350" max="14351" width="11.375" style="1037" hidden="1" customWidth="1"/>
    <col min="14352" max="14352" width="0.75" style="1037" hidden="1" customWidth="1"/>
    <col min="14353" max="14353" width="3.875" style="1037" hidden="1" customWidth="1"/>
    <col min="14354" max="14558" width="0" style="1037" hidden="1" customWidth="1"/>
    <col min="14559" max="14592" width="0" style="1037" hidden="1"/>
    <col min="14593" max="14593" width="0.75" style="1037" hidden="1" customWidth="1"/>
    <col min="14594" max="14594" width="2.125" style="1037" hidden="1" customWidth="1"/>
    <col min="14595" max="14595" width="13.375" style="1037" hidden="1" customWidth="1"/>
    <col min="14596" max="14596" width="5.375" style="1037" hidden="1" customWidth="1"/>
    <col min="14597" max="14597" width="9.75" style="1037" hidden="1" customWidth="1"/>
    <col min="14598" max="14598" width="6.25" style="1037" hidden="1" customWidth="1"/>
    <col min="14599" max="14599" width="6.5" style="1037" hidden="1" customWidth="1"/>
    <col min="14600" max="14600" width="12.875" style="1037" hidden="1" customWidth="1"/>
    <col min="14601" max="14601" width="7.125" style="1037" hidden="1" customWidth="1"/>
    <col min="14602" max="14602" width="12.125" style="1037" hidden="1" customWidth="1"/>
    <col min="14603" max="14603" width="11.875" style="1037" hidden="1" customWidth="1"/>
    <col min="14604" max="14604" width="10.75" style="1037" hidden="1" customWidth="1"/>
    <col min="14605" max="14605" width="11.875" style="1037" hidden="1" customWidth="1"/>
    <col min="14606" max="14607" width="11.375" style="1037" hidden="1" customWidth="1"/>
    <col min="14608" max="14608" width="0.75" style="1037" hidden="1" customWidth="1"/>
    <col min="14609" max="14609" width="3.875" style="1037" hidden="1" customWidth="1"/>
    <col min="14610" max="14814" width="0" style="1037" hidden="1" customWidth="1"/>
    <col min="14815" max="14848" width="0" style="1037" hidden="1"/>
    <col min="14849" max="14849" width="0.75" style="1037" hidden="1" customWidth="1"/>
    <col min="14850" max="14850" width="2.125" style="1037" hidden="1" customWidth="1"/>
    <col min="14851" max="14851" width="13.375" style="1037" hidden="1" customWidth="1"/>
    <col min="14852" max="14852" width="5.375" style="1037" hidden="1" customWidth="1"/>
    <col min="14853" max="14853" width="9.75" style="1037" hidden="1" customWidth="1"/>
    <col min="14854" max="14854" width="6.25" style="1037" hidden="1" customWidth="1"/>
    <col min="14855" max="14855" width="6.5" style="1037" hidden="1" customWidth="1"/>
    <col min="14856" max="14856" width="12.875" style="1037" hidden="1" customWidth="1"/>
    <col min="14857" max="14857" width="7.125" style="1037" hidden="1" customWidth="1"/>
    <col min="14858" max="14858" width="12.125" style="1037" hidden="1" customWidth="1"/>
    <col min="14859" max="14859" width="11.875" style="1037" hidden="1" customWidth="1"/>
    <col min="14860" max="14860" width="10.75" style="1037" hidden="1" customWidth="1"/>
    <col min="14861" max="14861" width="11.875" style="1037" hidden="1" customWidth="1"/>
    <col min="14862" max="14863" width="11.375" style="1037" hidden="1" customWidth="1"/>
    <col min="14864" max="14864" width="0.75" style="1037" hidden="1" customWidth="1"/>
    <col min="14865" max="14865" width="3.875" style="1037" hidden="1" customWidth="1"/>
    <col min="14866" max="15070" width="0" style="1037" hidden="1" customWidth="1"/>
    <col min="15071" max="15104" width="0" style="1037" hidden="1"/>
    <col min="15105" max="15105" width="0.75" style="1037" hidden="1" customWidth="1"/>
    <col min="15106" max="15106" width="2.125" style="1037" hidden="1" customWidth="1"/>
    <col min="15107" max="15107" width="13.375" style="1037" hidden="1" customWidth="1"/>
    <col min="15108" max="15108" width="5.375" style="1037" hidden="1" customWidth="1"/>
    <col min="15109" max="15109" width="9.75" style="1037" hidden="1" customWidth="1"/>
    <col min="15110" max="15110" width="6.25" style="1037" hidden="1" customWidth="1"/>
    <col min="15111" max="15111" width="6.5" style="1037" hidden="1" customWidth="1"/>
    <col min="15112" max="15112" width="12.875" style="1037" hidden="1" customWidth="1"/>
    <col min="15113" max="15113" width="7.125" style="1037" hidden="1" customWidth="1"/>
    <col min="15114" max="15114" width="12.125" style="1037" hidden="1" customWidth="1"/>
    <col min="15115" max="15115" width="11.875" style="1037" hidden="1" customWidth="1"/>
    <col min="15116" max="15116" width="10.75" style="1037" hidden="1" customWidth="1"/>
    <col min="15117" max="15117" width="11.875" style="1037" hidden="1" customWidth="1"/>
    <col min="15118" max="15119" width="11.375" style="1037" hidden="1" customWidth="1"/>
    <col min="15120" max="15120" width="0.75" style="1037" hidden="1" customWidth="1"/>
    <col min="15121" max="15121" width="3.875" style="1037" hidden="1" customWidth="1"/>
    <col min="15122" max="15326" width="0" style="1037" hidden="1" customWidth="1"/>
    <col min="15327" max="15360" width="0" style="1037" hidden="1"/>
    <col min="15361" max="15361" width="0.75" style="1037" hidden="1" customWidth="1"/>
    <col min="15362" max="15362" width="2.125" style="1037" hidden="1" customWidth="1"/>
    <col min="15363" max="15363" width="13.375" style="1037" hidden="1" customWidth="1"/>
    <col min="15364" max="15364" width="5.375" style="1037" hidden="1" customWidth="1"/>
    <col min="15365" max="15365" width="9.75" style="1037" hidden="1" customWidth="1"/>
    <col min="15366" max="15366" width="6.25" style="1037" hidden="1" customWidth="1"/>
    <col min="15367" max="15367" width="6.5" style="1037" hidden="1" customWidth="1"/>
    <col min="15368" max="15368" width="12.875" style="1037" hidden="1" customWidth="1"/>
    <col min="15369" max="15369" width="7.125" style="1037" hidden="1" customWidth="1"/>
    <col min="15370" max="15370" width="12.125" style="1037" hidden="1" customWidth="1"/>
    <col min="15371" max="15371" width="11.875" style="1037" hidden="1" customWidth="1"/>
    <col min="15372" max="15372" width="10.75" style="1037" hidden="1" customWidth="1"/>
    <col min="15373" max="15373" width="11.875" style="1037" hidden="1" customWidth="1"/>
    <col min="15374" max="15375" width="11.375" style="1037" hidden="1" customWidth="1"/>
    <col min="15376" max="15376" width="0.75" style="1037" hidden="1" customWidth="1"/>
    <col min="15377" max="15377" width="3.875" style="1037" hidden="1" customWidth="1"/>
    <col min="15378" max="15582" width="0" style="1037" hidden="1" customWidth="1"/>
    <col min="15583" max="15616" width="0" style="1037" hidden="1"/>
    <col min="15617" max="15617" width="0.75" style="1037" hidden="1" customWidth="1"/>
    <col min="15618" max="15618" width="2.125" style="1037" hidden="1" customWidth="1"/>
    <col min="15619" max="15619" width="13.375" style="1037" hidden="1" customWidth="1"/>
    <col min="15620" max="15620" width="5.375" style="1037" hidden="1" customWidth="1"/>
    <col min="15621" max="15621" width="9.75" style="1037" hidden="1" customWidth="1"/>
    <col min="15622" max="15622" width="6.25" style="1037" hidden="1" customWidth="1"/>
    <col min="15623" max="15623" width="6.5" style="1037" hidden="1" customWidth="1"/>
    <col min="15624" max="15624" width="12.875" style="1037" hidden="1" customWidth="1"/>
    <col min="15625" max="15625" width="7.125" style="1037" hidden="1" customWidth="1"/>
    <col min="15626" max="15626" width="12.125" style="1037" hidden="1" customWidth="1"/>
    <col min="15627" max="15627" width="11.875" style="1037" hidden="1" customWidth="1"/>
    <col min="15628" max="15628" width="10.75" style="1037" hidden="1" customWidth="1"/>
    <col min="15629" max="15629" width="11.875" style="1037" hidden="1" customWidth="1"/>
    <col min="15630" max="15631" width="11.375" style="1037" hidden="1" customWidth="1"/>
    <col min="15632" max="15632" width="0.75" style="1037" hidden="1" customWidth="1"/>
    <col min="15633" max="15633" width="3.875" style="1037" hidden="1" customWidth="1"/>
    <col min="15634" max="15838" width="0" style="1037" hidden="1" customWidth="1"/>
    <col min="15839" max="15872" width="0" style="1037" hidden="1"/>
    <col min="15873" max="15873" width="0.75" style="1037" hidden="1" customWidth="1"/>
    <col min="15874" max="15874" width="2.125" style="1037" hidden="1" customWidth="1"/>
    <col min="15875" max="15875" width="13.375" style="1037" hidden="1" customWidth="1"/>
    <col min="15876" max="15876" width="5.375" style="1037" hidden="1" customWidth="1"/>
    <col min="15877" max="15877" width="9.75" style="1037" hidden="1" customWidth="1"/>
    <col min="15878" max="15878" width="6.25" style="1037" hidden="1" customWidth="1"/>
    <col min="15879" max="15879" width="6.5" style="1037" hidden="1" customWidth="1"/>
    <col min="15880" max="15880" width="12.875" style="1037" hidden="1" customWidth="1"/>
    <col min="15881" max="15881" width="7.125" style="1037" hidden="1" customWidth="1"/>
    <col min="15882" max="15882" width="12.125" style="1037" hidden="1" customWidth="1"/>
    <col min="15883" max="15883" width="11.875" style="1037" hidden="1" customWidth="1"/>
    <col min="15884" max="15884" width="10.75" style="1037" hidden="1" customWidth="1"/>
    <col min="15885" max="15885" width="11.875" style="1037" hidden="1" customWidth="1"/>
    <col min="15886" max="15887" width="11.375" style="1037" hidden="1" customWidth="1"/>
    <col min="15888" max="15888" width="0.75" style="1037" hidden="1" customWidth="1"/>
    <col min="15889" max="15889" width="3.875" style="1037" hidden="1" customWidth="1"/>
    <col min="15890" max="16094" width="0" style="1037" hidden="1" customWidth="1"/>
    <col min="16095" max="16128" width="0" style="1037" hidden="1"/>
    <col min="16129" max="16129" width="0.75" style="1037" hidden="1" customWidth="1"/>
    <col min="16130" max="16130" width="2.125" style="1037" hidden="1" customWidth="1"/>
    <col min="16131" max="16131" width="13.375" style="1037" hidden="1" customWidth="1"/>
    <col min="16132" max="16132" width="5.375" style="1037" hidden="1" customWidth="1"/>
    <col min="16133" max="16133" width="9.75" style="1037" hidden="1" customWidth="1"/>
    <col min="16134" max="16134" width="6.25" style="1037" hidden="1" customWidth="1"/>
    <col min="16135" max="16135" width="6.5" style="1037" hidden="1" customWidth="1"/>
    <col min="16136" max="16136" width="12.875" style="1037" hidden="1" customWidth="1"/>
    <col min="16137" max="16137" width="7.125" style="1037" hidden="1" customWidth="1"/>
    <col min="16138" max="16138" width="12.125" style="1037" hidden="1" customWidth="1"/>
    <col min="16139" max="16139" width="11.875" style="1037" hidden="1" customWidth="1"/>
    <col min="16140" max="16140" width="10.75" style="1037" hidden="1" customWidth="1"/>
    <col min="16141" max="16141" width="11.875" style="1037" hidden="1" customWidth="1"/>
    <col min="16142" max="16143" width="11.375" style="1037" hidden="1" customWidth="1"/>
    <col min="16144" max="16144" width="0.75" style="1037" hidden="1" customWidth="1"/>
    <col min="16145" max="16145" width="3.875" style="1037" hidden="1" customWidth="1"/>
    <col min="16146" max="16350" width="0" style="1037" hidden="1" customWidth="1"/>
    <col min="16351" max="16384" width="0" style="1037" hidden="1"/>
  </cols>
  <sheetData>
    <row r="1" spans="1:17" s="686" customFormat="1" ht="6" customHeight="1">
      <c r="A1" s="678"/>
      <c r="B1" s="679"/>
      <c r="C1" s="680"/>
      <c r="D1" s="681"/>
      <c r="E1" s="682"/>
      <c r="F1" s="683"/>
      <c r="G1" s="683"/>
      <c r="H1" s="683"/>
      <c r="I1" s="684"/>
      <c r="J1" s="684"/>
      <c r="K1" s="683"/>
      <c r="L1" s="685"/>
      <c r="M1" s="682"/>
      <c r="N1" s="682"/>
      <c r="O1" s="678"/>
      <c r="P1" s="678"/>
      <c r="Q1" s="678"/>
    </row>
    <row r="2" spans="1:17" s="697" customFormat="1" ht="18" customHeight="1">
      <c r="A2" s="688"/>
      <c r="B2" s="689"/>
      <c r="C2" s="690"/>
      <c r="D2" s="691"/>
      <c r="E2" s="692"/>
      <c r="F2" s="693"/>
      <c r="G2" s="693"/>
      <c r="H2" s="693"/>
      <c r="I2" s="694"/>
      <c r="J2" s="695"/>
      <c r="K2" s="695"/>
      <c r="L2" s="695"/>
      <c r="M2" s="695"/>
      <c r="N2" s="693"/>
      <c r="O2" s="529"/>
      <c r="P2" s="688"/>
      <c r="Q2" s="2744"/>
    </row>
    <row r="3" spans="1:17" s="697" customFormat="1" ht="18" customHeight="1">
      <c r="A3" s="688"/>
      <c r="B3" s="689"/>
      <c r="C3" s="690"/>
      <c r="D3" s="691"/>
      <c r="E3" s="692"/>
      <c r="F3" s="693"/>
      <c r="G3" s="693"/>
      <c r="H3" s="693"/>
      <c r="I3" s="694"/>
      <c r="J3" s="695"/>
      <c r="K3" s="695"/>
      <c r="L3" s="695"/>
      <c r="M3" s="695"/>
      <c r="N3" s="693"/>
      <c r="O3" s="528"/>
      <c r="P3" s="688"/>
      <c r="Q3" s="2744"/>
    </row>
    <row r="4" spans="1:17" s="697" customFormat="1" ht="18" customHeight="1">
      <c r="A4" s="688"/>
      <c r="B4" s="689"/>
      <c r="C4" s="690"/>
      <c r="D4" s="691"/>
      <c r="E4" s="692"/>
      <c r="F4" s="693"/>
      <c r="G4" s="693"/>
      <c r="H4" s="693"/>
      <c r="I4" s="698"/>
      <c r="J4" s="695"/>
      <c r="K4" s="695"/>
      <c r="L4" s="695"/>
      <c r="M4" s="695"/>
      <c r="N4" s="693"/>
      <c r="O4" s="529"/>
      <c r="P4" s="688"/>
      <c r="Q4" s="2744"/>
    </row>
    <row r="5" spans="1:17" s="697" customFormat="1" ht="13.5" customHeight="1">
      <c r="A5" s="688"/>
      <c r="B5" s="699"/>
      <c r="C5" s="700"/>
      <c r="D5" s="691"/>
      <c r="E5" s="692"/>
      <c r="F5" s="693"/>
      <c r="G5" s="693"/>
      <c r="H5" s="693"/>
      <c r="I5" s="701"/>
      <c r="J5" s="702"/>
      <c r="K5" s="2745"/>
      <c r="L5" s="2746"/>
      <c r="M5" s="702"/>
      <c r="N5" s="2745"/>
      <c r="O5" s="2747"/>
      <c r="P5" s="688"/>
      <c r="Q5" s="2744"/>
    </row>
    <row r="6" spans="1:17" s="697" customFormat="1" ht="6" customHeight="1" thickBot="1">
      <c r="A6" s="688"/>
      <c r="B6" s="703"/>
      <c r="C6" s="704"/>
      <c r="D6" s="705"/>
      <c r="E6" s="706"/>
      <c r="F6" s="707"/>
      <c r="G6" s="707"/>
      <c r="H6" s="707"/>
      <c r="I6" s="708"/>
      <c r="J6" s="709"/>
      <c r="K6" s="709"/>
      <c r="L6" s="710"/>
      <c r="M6" s="706"/>
      <c r="N6" s="706"/>
      <c r="O6" s="706"/>
      <c r="P6" s="688"/>
      <c r="Q6" s="688"/>
    </row>
    <row r="7" spans="1:17" s="697" customFormat="1" ht="18" customHeight="1" thickBot="1">
      <c r="A7" s="688"/>
      <c r="B7" s="711" t="s">
        <v>985</v>
      </c>
      <c r="C7" s="712"/>
      <c r="D7" s="713"/>
      <c r="E7" s="712"/>
      <c r="F7" s="712"/>
      <c r="G7" s="712"/>
      <c r="H7" s="714"/>
      <c r="I7" s="715"/>
      <c r="J7" s="715"/>
      <c r="K7" s="715"/>
      <c r="L7" s="716" t="s">
        <v>986</v>
      </c>
      <c r="M7" s="712"/>
      <c r="N7" s="712"/>
      <c r="O7" s="717"/>
      <c r="P7" s="688"/>
      <c r="Q7" s="688"/>
    </row>
    <row r="8" spans="1:17" s="697" customFormat="1" ht="18" customHeight="1">
      <c r="A8" s="688"/>
      <c r="B8" s="719" t="s">
        <v>989</v>
      </c>
      <c r="C8" s="720"/>
      <c r="D8" s="721" t="str">
        <f>メイン!H11</f>
        <v>新ビル</v>
      </c>
      <c r="E8" s="720"/>
      <c r="F8" s="720"/>
      <c r="G8" s="722"/>
      <c r="H8" s="723" t="s">
        <v>990</v>
      </c>
      <c r="I8" s="724"/>
      <c r="J8" s="725" t="str">
        <f>メイン!H22</f>
        <v>地上12F</v>
      </c>
      <c r="K8" s="726"/>
      <c r="L8" s="727"/>
      <c r="M8" s="728"/>
      <c r="N8" s="728"/>
      <c r="O8" s="729"/>
      <c r="P8" s="688"/>
      <c r="Q8" s="688"/>
    </row>
    <row r="9" spans="1:17" s="697" customFormat="1" ht="18" customHeight="1">
      <c r="A9" s="688"/>
      <c r="B9" s="735" t="s">
        <v>992</v>
      </c>
      <c r="C9" s="736"/>
      <c r="D9" s="737" t="str">
        <f>メイン!H12</f>
        <v>○○県○○市</v>
      </c>
      <c r="E9" s="736"/>
      <c r="F9" s="738"/>
      <c r="H9" s="739" t="s">
        <v>993</v>
      </c>
      <c r="I9" s="740"/>
      <c r="J9" s="741" t="str">
        <f>メイン!H23</f>
        <v>S造</v>
      </c>
      <c r="K9" s="742"/>
      <c r="L9" s="743"/>
      <c r="O9" s="744"/>
      <c r="P9" s="688"/>
      <c r="Q9" s="688"/>
    </row>
    <row r="10" spans="1:17" s="697" customFormat="1" ht="18" customHeight="1">
      <c r="A10" s="688"/>
      <c r="B10" s="735" t="s">
        <v>994</v>
      </c>
      <c r="C10" s="747"/>
      <c r="D10" s="737" t="str">
        <f>メイン!H14</f>
        <v>商業地域、防火地域</v>
      </c>
      <c r="E10" s="747"/>
      <c r="F10" s="747"/>
      <c r="H10" s="723" t="s">
        <v>995</v>
      </c>
      <c r="I10" s="724"/>
      <c r="J10" s="748" t="str">
        <f>メイン!H24</f>
        <v>○○</v>
      </c>
      <c r="K10" s="738" t="s">
        <v>996</v>
      </c>
      <c r="L10" s="749"/>
      <c r="N10" s="750"/>
      <c r="O10" s="751"/>
      <c r="P10" s="688"/>
      <c r="Q10" s="688"/>
    </row>
    <row r="11" spans="1:17" s="697" customFormat="1" ht="18" customHeight="1">
      <c r="A11" s="688"/>
      <c r="B11" s="754" t="s">
        <v>441</v>
      </c>
      <c r="C11" s="720"/>
      <c r="D11" s="755" t="str">
        <f>IF(メイン!H13="","",メイン!H13)</f>
        <v/>
      </c>
      <c r="E11" s="720"/>
      <c r="F11" s="756"/>
      <c r="G11" s="722"/>
      <c r="H11" s="739" t="s">
        <v>1000</v>
      </c>
      <c r="I11" s="740"/>
      <c r="J11" s="757" t="str">
        <f>メイン!H25</f>
        <v>○○</v>
      </c>
      <c r="K11" s="758" t="s">
        <v>1001</v>
      </c>
      <c r="L11" s="749"/>
      <c r="M11" s="759" t="s">
        <v>1002</v>
      </c>
      <c r="N11" s="750"/>
      <c r="O11" s="751"/>
      <c r="P11" s="688"/>
      <c r="Q11" s="688"/>
    </row>
    <row r="12" spans="1:17" s="697" customFormat="1" ht="18" customHeight="1">
      <c r="A12" s="688"/>
      <c r="B12" s="761" t="s">
        <v>1005</v>
      </c>
      <c r="C12" s="762"/>
      <c r="D12" s="763" t="str">
        <f>メイン!H21</f>
        <v>事務所,物販店,</v>
      </c>
      <c r="E12" s="762"/>
      <c r="F12" s="762"/>
      <c r="G12" s="764"/>
      <c r="H12" s="765" t="s">
        <v>1006</v>
      </c>
      <c r="I12" s="766"/>
      <c r="J12" s="767" t="str">
        <f>メイン!H26</f>
        <v>○○</v>
      </c>
      <c r="K12" s="768" t="s">
        <v>1007</v>
      </c>
      <c r="L12" s="749"/>
      <c r="M12" s="769" t="s">
        <v>1851</v>
      </c>
      <c r="N12" s="750"/>
      <c r="O12" s="751"/>
      <c r="P12" s="688"/>
      <c r="Q12" s="688"/>
    </row>
    <row r="13" spans="1:17" s="697" customFormat="1" ht="18" customHeight="1">
      <c r="A13" s="688"/>
      <c r="B13" s="770" t="s">
        <v>1011</v>
      </c>
      <c r="C13" s="771"/>
      <c r="D13" s="2748">
        <f>メイン!H15</f>
        <v>41974</v>
      </c>
      <c r="E13" s="2749"/>
      <c r="F13" s="772">
        <f>メイン!H16</f>
        <v>0</v>
      </c>
      <c r="G13" s="773"/>
      <c r="H13" s="774" t="s">
        <v>1012</v>
      </c>
      <c r="I13" s="775"/>
      <c r="J13" s="2750" t="str">
        <f>メイン!H37</f>
        <v>2014年9月1日～2014年12月10日</v>
      </c>
      <c r="K13" s="2751"/>
      <c r="L13" s="749"/>
      <c r="M13" s="769" t="s">
        <v>1852</v>
      </c>
      <c r="O13" s="751"/>
      <c r="P13" s="688"/>
      <c r="Q13" s="688"/>
    </row>
    <row r="14" spans="1:17" s="697" customFormat="1" ht="18" customHeight="1">
      <c r="A14" s="688"/>
      <c r="B14" s="754" t="s">
        <v>1016</v>
      </c>
      <c r="C14" s="777"/>
      <c r="D14" s="2752">
        <f>メイン!C15</f>
        <v>21976</v>
      </c>
      <c r="E14" s="2753"/>
      <c r="F14" s="779"/>
      <c r="G14" s="722"/>
      <c r="H14" s="723" t="s">
        <v>1017</v>
      </c>
      <c r="I14" s="780"/>
      <c r="J14" s="781">
        <f>メイン!H39</f>
        <v>41828</v>
      </c>
      <c r="K14" s="782"/>
      <c r="L14" s="749"/>
      <c r="O14" s="751"/>
      <c r="P14" s="688"/>
      <c r="Q14" s="688"/>
    </row>
    <row r="15" spans="1:17" s="697" customFormat="1" ht="18" customHeight="1">
      <c r="A15" s="688"/>
      <c r="B15" s="723" t="s">
        <v>1020</v>
      </c>
      <c r="C15" s="784"/>
      <c r="D15" s="785"/>
      <c r="E15" s="786">
        <f>メイン!H17</f>
        <v>2000</v>
      </c>
      <c r="F15" s="787" t="s">
        <v>1021</v>
      </c>
      <c r="H15" s="723" t="s">
        <v>1022</v>
      </c>
      <c r="I15" s="780"/>
      <c r="J15" s="788" t="str">
        <f>メイン!H40</f>
        <v>○○○</v>
      </c>
      <c r="K15" s="789"/>
      <c r="L15" s="749"/>
      <c r="M15" s="750"/>
      <c r="N15" s="750"/>
      <c r="O15" s="751"/>
      <c r="P15" s="688"/>
      <c r="Q15" s="688"/>
    </row>
    <row r="16" spans="1:17" s="697" customFormat="1" ht="18" customHeight="1" thickBot="1">
      <c r="A16" s="688"/>
      <c r="B16" s="723" t="s">
        <v>1024</v>
      </c>
      <c r="C16" s="784"/>
      <c r="D16" s="785"/>
      <c r="E16" s="786">
        <f>メイン!H18</f>
        <v>1400</v>
      </c>
      <c r="F16" s="787" t="s">
        <v>1021</v>
      </c>
      <c r="H16" s="723" t="s">
        <v>1026</v>
      </c>
      <c r="J16" s="792">
        <f>メイン!H41</f>
        <v>41830</v>
      </c>
      <c r="L16" s="793"/>
      <c r="M16" s="794"/>
      <c r="N16" s="794"/>
      <c r="O16" s="795"/>
      <c r="P16" s="688"/>
      <c r="Q16" s="688"/>
    </row>
    <row r="17" spans="1:17" s="697" customFormat="1" ht="18" customHeight="1">
      <c r="A17" s="688"/>
      <c r="B17" s="739" t="s">
        <v>1028</v>
      </c>
      <c r="C17" s="797"/>
      <c r="D17" s="798"/>
      <c r="E17" s="799">
        <f>メイン!H19</f>
        <v>10000</v>
      </c>
      <c r="F17" s="800" t="s">
        <v>1021</v>
      </c>
      <c r="G17" s="722"/>
      <c r="H17" s="739" t="s">
        <v>1029</v>
      </c>
      <c r="I17" s="801"/>
      <c r="J17" s="802" t="str">
        <f>メイン!H42</f>
        <v>○○○</v>
      </c>
      <c r="K17" s="801"/>
      <c r="L17" s="803" t="s">
        <v>1030</v>
      </c>
      <c r="M17" s="804" t="s">
        <v>1031</v>
      </c>
      <c r="N17" s="514" t="str">
        <f>IF(メイン!H33=0,"",メイン!H33)</f>
        <v>○○○</v>
      </c>
      <c r="O17" s="805"/>
      <c r="P17" s="688"/>
      <c r="Q17" s="688"/>
    </row>
    <row r="18" spans="1:17" s="697" customFormat="1" ht="18" customHeight="1">
      <c r="A18" s="688"/>
      <c r="B18" s="765" t="s">
        <v>1032</v>
      </c>
      <c r="C18" s="806"/>
      <c r="D18" s="2754" t="str">
        <f>IF(メイン!H27=0,"",メイン!H27)</f>
        <v>○○○</v>
      </c>
      <c r="E18" s="2755"/>
      <c r="F18" s="2755"/>
      <c r="G18" s="2756"/>
      <c r="H18" s="765" t="s">
        <v>1033</v>
      </c>
      <c r="I18" s="806"/>
      <c r="J18" s="2754" t="str">
        <f>IF(メイン!C27=0,"",メイン!C27)</f>
        <v>○○○</v>
      </c>
      <c r="K18" s="2763"/>
      <c r="L18" s="807"/>
      <c r="M18" s="804" t="s">
        <v>1034</v>
      </c>
      <c r="N18" s="514" t="str">
        <f>IF(メイン!H34=0,"",メイン!H34)</f>
        <v>○○○</v>
      </c>
      <c r="O18" s="808"/>
      <c r="P18" s="688"/>
      <c r="Q18" s="688"/>
    </row>
    <row r="19" spans="1:17" s="697" customFormat="1" ht="18" customHeight="1">
      <c r="A19" s="688"/>
      <c r="B19" s="743"/>
      <c r="C19" s="736"/>
      <c r="D19" s="2757"/>
      <c r="E19" s="2758"/>
      <c r="F19" s="2758"/>
      <c r="G19" s="2759"/>
      <c r="H19" s="743"/>
      <c r="J19" s="2757"/>
      <c r="K19" s="2764"/>
      <c r="L19" s="807"/>
      <c r="M19" s="804" t="s">
        <v>1035</v>
      </c>
      <c r="N19" s="514" t="str">
        <f>IF(メイン!H35=0,"",メイン!H35)</f>
        <v>○○○</v>
      </c>
      <c r="O19" s="808"/>
      <c r="P19" s="688"/>
      <c r="Q19" s="688"/>
    </row>
    <row r="20" spans="1:17" s="697" customFormat="1" ht="18" customHeight="1" thickBot="1">
      <c r="A20" s="688"/>
      <c r="B20" s="812"/>
      <c r="C20" s="813"/>
      <c r="D20" s="2760"/>
      <c r="E20" s="2761"/>
      <c r="F20" s="2761"/>
      <c r="G20" s="2762"/>
      <c r="H20" s="812"/>
      <c r="I20" s="814"/>
      <c r="J20" s="2760"/>
      <c r="K20" s="2765"/>
      <c r="L20" s="815"/>
      <c r="M20" s="816" t="s">
        <v>1036</v>
      </c>
      <c r="N20" s="817" t="str">
        <f>IF(メイン!H36=0,"",メイン!H36)</f>
        <v>○○○</v>
      </c>
      <c r="O20" s="818"/>
      <c r="P20" s="688"/>
      <c r="Q20" s="688"/>
    </row>
    <row r="21" spans="1:17" s="697" customFormat="1" ht="7.5" customHeight="1">
      <c r="A21" s="688"/>
      <c r="B21" s="819"/>
      <c r="C21" s="820"/>
      <c r="D21" s="819"/>
      <c r="E21" s="821"/>
      <c r="F21" s="821"/>
      <c r="G21" s="821"/>
      <c r="H21" s="821"/>
      <c r="I21" s="822"/>
      <c r="J21" s="823"/>
      <c r="K21" s="824"/>
      <c r="L21" s="821"/>
      <c r="M21" s="821"/>
      <c r="N21" s="821"/>
      <c r="O21" s="821"/>
      <c r="P21" s="688"/>
      <c r="Q21" s="688"/>
    </row>
    <row r="22" spans="1:17" s="697" customFormat="1" ht="30" customHeight="1" thickBot="1">
      <c r="A22" s="688"/>
      <c r="B22" s="2508" t="s">
        <v>1853</v>
      </c>
      <c r="C22" s="2509"/>
      <c r="D22" s="2509"/>
      <c r="E22" s="2509"/>
      <c r="F22" s="2509"/>
      <c r="G22" s="2509"/>
      <c r="H22" s="2509"/>
      <c r="I22" s="2509"/>
      <c r="J22" s="2509"/>
      <c r="K22" s="2509"/>
      <c r="L22" s="2509"/>
      <c r="M22" s="2509"/>
      <c r="N22" s="2509"/>
      <c r="O22" s="2510"/>
      <c r="P22" s="688"/>
      <c r="Q22" s="688"/>
    </row>
    <row r="23" spans="1:17" s="697" customFormat="1" ht="21" customHeight="1">
      <c r="A23" s="688"/>
      <c r="B23" s="2511" t="s">
        <v>1862</v>
      </c>
      <c r="C23" s="2512"/>
      <c r="D23" s="2512"/>
      <c r="E23" s="2512"/>
      <c r="F23" s="2512"/>
      <c r="G23" s="2512"/>
      <c r="H23" s="2512"/>
      <c r="I23" s="2513"/>
      <c r="J23" s="2514"/>
      <c r="K23" s="2512"/>
      <c r="L23" s="2512"/>
      <c r="M23" s="2512"/>
      <c r="N23" s="2512"/>
      <c r="O23" s="2515"/>
    </row>
    <row r="24" spans="1:17" s="697" customFormat="1" ht="12" customHeight="1">
      <c r="A24" s="688"/>
      <c r="B24" s="2516"/>
      <c r="C24" s="2517"/>
      <c r="D24" s="2517"/>
      <c r="E24" s="2517"/>
      <c r="F24" s="2517"/>
      <c r="G24" s="2517"/>
      <c r="H24" s="2517"/>
      <c r="I24" s="2518"/>
      <c r="J24" s="2516"/>
      <c r="K24" s="2517"/>
      <c r="L24" s="2517"/>
      <c r="M24" s="2517"/>
      <c r="N24" s="2517"/>
      <c r="O24" s="2518"/>
      <c r="P24" s="743"/>
    </row>
    <row r="25" spans="1:17" s="697" customFormat="1" ht="51" customHeight="1">
      <c r="A25" s="688"/>
      <c r="B25" s="2516"/>
      <c r="C25" s="2517"/>
      <c r="D25" s="2517"/>
      <c r="E25" s="2517"/>
      <c r="F25" s="2517"/>
      <c r="G25" s="2517"/>
      <c r="H25" s="2517"/>
      <c r="I25" s="2518"/>
      <c r="J25" s="2516"/>
      <c r="K25" s="2519">
        <f>'結果(改修後)'!S13</f>
        <v>1.1000000000000001</v>
      </c>
      <c r="L25" s="2517"/>
      <c r="M25" s="2517"/>
      <c r="N25" s="2517"/>
      <c r="O25" s="2518"/>
      <c r="P25" s="743"/>
    </row>
    <row r="26" spans="1:17" s="697" customFormat="1" ht="18" customHeight="1">
      <c r="A26" s="688"/>
      <c r="B26" s="2516"/>
      <c r="C26" s="2517"/>
      <c r="D26" s="2517"/>
      <c r="E26" s="2517"/>
      <c r="F26" s="2517"/>
      <c r="G26" s="2517"/>
      <c r="H26" s="2517"/>
      <c r="I26" s="2518"/>
      <c r="J26" s="2516"/>
      <c r="K26" s="2517"/>
      <c r="L26" s="2517"/>
      <c r="M26" s="2517"/>
      <c r="N26" s="2517"/>
      <c r="O26" s="2518"/>
      <c r="P26" s="743"/>
    </row>
    <row r="27" spans="1:17" s="697" customFormat="1" ht="18" customHeight="1">
      <c r="A27" s="688"/>
      <c r="B27" s="2516"/>
      <c r="C27" s="2517"/>
      <c r="D27" s="2517"/>
      <c r="E27" s="2517"/>
      <c r="F27" s="2517"/>
      <c r="G27" s="2517"/>
      <c r="H27" s="2517"/>
      <c r="I27" s="2518"/>
      <c r="J27" s="2516"/>
      <c r="K27" s="2517"/>
      <c r="L27" s="2517"/>
      <c r="M27" s="2517"/>
      <c r="N27" s="2517"/>
      <c r="O27" s="2518"/>
      <c r="P27" s="743"/>
    </row>
    <row r="28" spans="1:17" s="697" customFormat="1" ht="18" customHeight="1">
      <c r="A28" s="688"/>
      <c r="B28" s="2516"/>
      <c r="C28" s="2517"/>
      <c r="D28" s="2517"/>
      <c r="E28" s="2517"/>
      <c r="F28" s="2517"/>
      <c r="G28" s="2517"/>
      <c r="H28" s="2517"/>
      <c r="I28" s="2518"/>
      <c r="J28" s="2516"/>
      <c r="K28" s="2517"/>
      <c r="L28" s="2517"/>
      <c r="M28" s="2517"/>
      <c r="N28" s="2517"/>
      <c r="O28" s="2518"/>
      <c r="P28" s="743"/>
    </row>
    <row r="29" spans="1:17" s="697" customFormat="1" ht="18" customHeight="1">
      <c r="A29" s="688"/>
      <c r="B29" s="2516"/>
      <c r="C29" s="2517"/>
      <c r="D29" s="2517"/>
      <c r="E29" s="2517"/>
      <c r="F29" s="2517"/>
      <c r="G29" s="2517"/>
      <c r="H29" s="2517"/>
      <c r="I29" s="2518"/>
      <c r="J29" s="2516"/>
      <c r="K29" s="2517"/>
      <c r="L29" s="2517"/>
      <c r="M29" s="2517"/>
      <c r="N29" s="2517"/>
      <c r="O29" s="2518"/>
      <c r="P29" s="743"/>
    </row>
    <row r="30" spans="1:17" s="697" customFormat="1" ht="18" customHeight="1">
      <c r="A30" s="688"/>
      <c r="B30" s="2516"/>
      <c r="C30" s="2517"/>
      <c r="D30" s="2517"/>
      <c r="E30" s="2517"/>
      <c r="F30" s="2517"/>
      <c r="G30" s="2517"/>
      <c r="H30" s="2517"/>
      <c r="I30" s="2518"/>
      <c r="J30" s="2516"/>
      <c r="K30" s="2517"/>
      <c r="L30" s="2517"/>
      <c r="M30" s="2517"/>
      <c r="N30" s="2517"/>
      <c r="O30" s="2518"/>
      <c r="P30" s="743"/>
    </row>
    <row r="31" spans="1:17" s="697" customFormat="1" ht="18" customHeight="1">
      <c r="A31" s="688"/>
      <c r="B31" s="2516"/>
      <c r="C31" s="2517"/>
      <c r="D31" s="2517"/>
      <c r="E31" s="2517"/>
      <c r="F31" s="2517"/>
      <c r="G31" s="2517"/>
      <c r="H31" s="2517"/>
      <c r="I31" s="2518"/>
      <c r="J31" s="2516"/>
      <c r="K31" s="2517"/>
      <c r="L31" s="2517"/>
      <c r="M31" s="2517"/>
      <c r="N31" s="2517"/>
      <c r="O31" s="2518"/>
      <c r="P31" s="743"/>
    </row>
    <row r="32" spans="1:17" s="697" customFormat="1" ht="18" customHeight="1">
      <c r="A32" s="688"/>
      <c r="B32" s="2516"/>
      <c r="C32" s="2517"/>
      <c r="D32" s="2517"/>
      <c r="E32" s="2517"/>
      <c r="F32" s="2517"/>
      <c r="G32" s="2517"/>
      <c r="H32" s="2517"/>
      <c r="I32" s="2518"/>
      <c r="J32" s="2516"/>
      <c r="K32" s="2517"/>
      <c r="L32" s="2517"/>
      <c r="M32" s="2517"/>
      <c r="N32" s="2517"/>
      <c r="O32" s="2518"/>
      <c r="P32" s="743"/>
    </row>
    <row r="33" spans="1:17" s="697" customFormat="1" ht="18" customHeight="1">
      <c r="A33" s="688"/>
      <c r="B33" s="2516"/>
      <c r="C33" s="2517"/>
      <c r="D33" s="2517"/>
      <c r="E33" s="2517"/>
      <c r="F33" s="2517"/>
      <c r="G33" s="2517"/>
      <c r="H33" s="2517"/>
      <c r="I33" s="2518"/>
      <c r="J33" s="2516"/>
      <c r="K33" s="2517"/>
      <c r="L33" s="2517"/>
      <c r="M33" s="2517"/>
      <c r="N33" s="2517"/>
      <c r="O33" s="2518"/>
      <c r="P33" s="743"/>
    </row>
    <row r="34" spans="1:17" s="697" customFormat="1" ht="18" customHeight="1">
      <c r="A34" s="688"/>
      <c r="B34" s="2516"/>
      <c r="C34" s="2517"/>
      <c r="D34" s="2517"/>
      <c r="E34" s="2517"/>
      <c r="F34" s="2517"/>
      <c r="G34" s="2517"/>
      <c r="H34" s="2517"/>
      <c r="I34" s="2518"/>
      <c r="J34" s="2516"/>
      <c r="K34" s="2517"/>
      <c r="L34" s="2517"/>
      <c r="M34" s="2517"/>
      <c r="N34" s="2517"/>
      <c r="O34" s="2518"/>
      <c r="P34" s="743"/>
    </row>
    <row r="35" spans="1:17" s="697" customFormat="1" ht="18" customHeight="1">
      <c r="A35" s="807"/>
      <c r="B35" s="2516"/>
      <c r="C35" s="2517"/>
      <c r="D35" s="2517"/>
      <c r="E35" s="2517"/>
      <c r="F35" s="2517"/>
      <c r="G35" s="2517"/>
      <c r="H35" s="2517"/>
      <c r="I35" s="2518"/>
      <c r="J35" s="2516"/>
      <c r="K35" s="2517"/>
      <c r="L35" s="2517"/>
      <c r="M35" s="2517"/>
      <c r="N35" s="2517"/>
      <c r="O35" s="2518"/>
      <c r="P35" s="743"/>
    </row>
    <row r="36" spans="1:17" s="697" customFormat="1" ht="18" customHeight="1">
      <c r="A36" s="807"/>
      <c r="B36" s="2516"/>
      <c r="C36" s="2517"/>
      <c r="D36" s="2517"/>
      <c r="E36" s="2517"/>
      <c r="F36" s="2517"/>
      <c r="G36" s="2517"/>
      <c r="H36" s="2517"/>
      <c r="I36" s="2518"/>
      <c r="J36" s="2516"/>
      <c r="K36" s="2517"/>
      <c r="L36" s="2517"/>
      <c r="M36" s="2517"/>
      <c r="N36" s="2517"/>
      <c r="O36" s="2518"/>
      <c r="P36" s="743"/>
    </row>
    <row r="37" spans="1:17" s="697" customFormat="1" ht="18" customHeight="1">
      <c r="A37" s="807"/>
      <c r="B37" s="2516"/>
      <c r="C37" s="2517"/>
      <c r="D37" s="2517"/>
      <c r="E37" s="2517"/>
      <c r="F37" s="2517"/>
      <c r="G37" s="2517"/>
      <c r="H37" s="2517"/>
      <c r="I37" s="2518"/>
      <c r="J37" s="2516"/>
      <c r="K37" s="2517"/>
      <c r="L37" s="2517"/>
      <c r="M37" s="2517"/>
      <c r="N37" s="2517"/>
      <c r="O37" s="2518"/>
      <c r="P37" s="743"/>
    </row>
    <row r="38" spans="1:17" s="697" customFormat="1" ht="18" customHeight="1">
      <c r="A38" s="807"/>
      <c r="B38" s="2516"/>
      <c r="C38" s="2517"/>
      <c r="D38" s="2517"/>
      <c r="E38" s="2517"/>
      <c r="F38" s="2517"/>
      <c r="G38" s="2517"/>
      <c r="H38" s="2517"/>
      <c r="I38" s="2518"/>
      <c r="J38" s="2516"/>
      <c r="K38" s="2517"/>
      <c r="L38" s="2517"/>
      <c r="M38" s="2517"/>
      <c r="N38" s="2517"/>
      <c r="O38" s="2518"/>
      <c r="P38" s="743"/>
    </row>
    <row r="39" spans="1:17" s="697" customFormat="1" ht="18" customHeight="1">
      <c r="A39" s="688"/>
      <c r="B39" s="2516"/>
      <c r="C39" s="2517"/>
      <c r="D39" s="2517"/>
      <c r="E39" s="2517"/>
      <c r="F39" s="2517"/>
      <c r="G39" s="2517"/>
      <c r="H39" s="2517"/>
      <c r="I39" s="2518"/>
      <c r="J39" s="2516"/>
      <c r="K39" s="2517"/>
      <c r="L39" s="2517"/>
      <c r="M39" s="2517"/>
      <c r="N39" s="2517"/>
      <c r="O39" s="2518"/>
      <c r="P39" s="2520"/>
      <c r="Q39" s="688"/>
    </row>
    <row r="40" spans="1:17" s="697" customFormat="1" ht="18" customHeight="1">
      <c r="A40" s="688"/>
      <c r="B40" s="2516"/>
      <c r="C40" s="2517"/>
      <c r="D40" s="2517"/>
      <c r="E40" s="2517"/>
      <c r="F40" s="2517"/>
      <c r="G40" s="2517"/>
      <c r="H40" s="2517"/>
      <c r="I40" s="2518"/>
      <c r="J40" s="2516"/>
      <c r="K40" s="2517"/>
      <c r="L40" s="2517"/>
      <c r="M40" s="2517"/>
      <c r="N40" s="2517"/>
      <c r="O40" s="2518"/>
      <c r="P40" s="2520"/>
      <c r="Q40" s="688"/>
    </row>
    <row r="41" spans="1:17" s="697" customFormat="1" ht="18" customHeight="1" thickBot="1">
      <c r="A41" s="688"/>
      <c r="B41" s="2516"/>
      <c r="C41" s="2517"/>
      <c r="D41" s="2517"/>
      <c r="E41" s="2517"/>
      <c r="F41" s="2517"/>
      <c r="G41" s="2517"/>
      <c r="H41" s="2517"/>
      <c r="I41" s="2518"/>
      <c r="J41" s="2516"/>
      <c r="K41" s="2517"/>
      <c r="L41" s="2517"/>
      <c r="M41" s="2517"/>
      <c r="N41" s="2517"/>
      <c r="O41" s="2518"/>
      <c r="P41" s="2520"/>
    </row>
    <row r="42" spans="1:17" s="697" customFormat="1" ht="21" customHeight="1">
      <c r="A42" s="688"/>
      <c r="B42" s="2511" t="s">
        <v>1854</v>
      </c>
      <c r="C42" s="2512"/>
      <c r="D42" s="2512"/>
      <c r="E42" s="2512"/>
      <c r="F42" s="2512"/>
      <c r="G42" s="2512"/>
      <c r="H42" s="2512"/>
      <c r="I42" s="2513"/>
      <c r="J42" s="2766" t="s">
        <v>218</v>
      </c>
      <c r="K42" s="2767"/>
      <c r="L42" s="2517"/>
      <c r="M42" s="2517"/>
      <c r="N42" s="2517"/>
      <c r="O42" s="2518"/>
      <c r="P42" s="2520"/>
      <c r="Q42" s="688"/>
    </row>
    <row r="43" spans="1:17" s="697" customFormat="1" ht="21" customHeight="1">
      <c r="A43" s="688"/>
      <c r="B43" s="2516"/>
      <c r="C43" s="2517"/>
      <c r="D43" s="2517"/>
      <c r="E43" s="2517"/>
      <c r="F43" s="2517"/>
      <c r="G43" s="2517"/>
      <c r="H43" s="2517"/>
      <c r="I43" s="2518"/>
      <c r="J43" s="2516"/>
      <c r="K43" s="2518"/>
      <c r="L43" s="2517"/>
      <c r="M43" s="2517"/>
      <c r="N43" s="2517"/>
      <c r="O43" s="2518"/>
      <c r="P43" s="2520"/>
      <c r="Q43" s="688"/>
    </row>
    <row r="44" spans="1:17" s="697" customFormat="1" ht="21" customHeight="1">
      <c r="A44" s="688"/>
      <c r="B44" s="2516"/>
      <c r="C44" s="2517"/>
      <c r="D44" s="2517"/>
      <c r="E44" s="2517"/>
      <c r="F44" s="2517"/>
      <c r="G44" s="2517"/>
      <c r="H44" s="2517"/>
      <c r="I44" s="2518"/>
      <c r="J44" s="2768">
        <f>'結果(改修後)'!T35</f>
        <v>0.90346293993893334</v>
      </c>
      <c r="K44" s="2769"/>
      <c r="L44" s="2517"/>
      <c r="M44" s="2517"/>
      <c r="N44" s="2517"/>
      <c r="O44" s="2518"/>
      <c r="P44" s="2520"/>
      <c r="Q44" s="688"/>
    </row>
    <row r="45" spans="1:17" s="697" customFormat="1" ht="21" customHeight="1" thickBot="1">
      <c r="A45" s="688"/>
      <c r="B45" s="2521"/>
      <c r="C45" s="2522"/>
      <c r="D45" s="2522"/>
      <c r="E45" s="2522"/>
      <c r="F45" s="2522"/>
      <c r="G45" s="2522"/>
      <c r="H45" s="2522"/>
      <c r="I45" s="2523"/>
      <c r="J45" s="2521"/>
      <c r="K45" s="2523"/>
      <c r="L45" s="2522"/>
      <c r="M45" s="2522"/>
      <c r="N45" s="2522"/>
      <c r="O45" s="2522"/>
      <c r="P45" s="2520"/>
      <c r="Q45" s="688"/>
    </row>
    <row r="46" spans="1:17" s="697" customFormat="1" ht="18" customHeight="1" thickBot="1">
      <c r="A46" s="688"/>
      <c r="B46" s="2522"/>
      <c r="C46" s="2522"/>
      <c r="D46" s="2522"/>
      <c r="E46" s="2522"/>
      <c r="F46" s="2522"/>
      <c r="G46" s="2522"/>
      <c r="H46" s="2522"/>
      <c r="I46" s="2522"/>
      <c r="J46" s="2522"/>
      <c r="K46" s="2522"/>
      <c r="L46" s="2522"/>
      <c r="M46" s="2522"/>
      <c r="N46" s="2522"/>
      <c r="O46" s="2522"/>
      <c r="P46" s="688"/>
      <c r="Q46" s="688"/>
    </row>
    <row r="47" spans="1:17" s="697" customFormat="1" ht="30" customHeight="1" thickBot="1">
      <c r="A47" s="688"/>
      <c r="B47" s="2508" t="s">
        <v>1855</v>
      </c>
      <c r="C47" s="2509"/>
      <c r="D47" s="2509"/>
      <c r="E47" s="2509"/>
      <c r="F47" s="2509"/>
      <c r="G47" s="2509"/>
      <c r="H47" s="2509"/>
      <c r="I47" s="2509"/>
      <c r="J47" s="2509"/>
      <c r="K47" s="2509"/>
      <c r="L47" s="2509"/>
      <c r="M47" s="2509"/>
      <c r="N47" s="2509"/>
      <c r="O47" s="2510"/>
      <c r="P47" s="688"/>
      <c r="Q47" s="688"/>
    </row>
    <row r="48" spans="1:17" s="697" customFormat="1" ht="21" customHeight="1">
      <c r="A48" s="688"/>
      <c r="B48" s="2511" t="s">
        <v>1856</v>
      </c>
      <c r="C48" s="2512"/>
      <c r="D48" s="2512"/>
      <c r="E48" s="2512"/>
      <c r="F48" s="2512"/>
      <c r="G48" s="2512"/>
      <c r="H48" s="2512"/>
      <c r="I48" s="2512"/>
      <c r="J48" s="2512"/>
      <c r="K48" s="2512"/>
      <c r="L48" s="2512"/>
      <c r="M48" s="2513"/>
      <c r="N48" s="2766" t="s">
        <v>1857</v>
      </c>
      <c r="O48" s="2770"/>
      <c r="P48" s="688"/>
      <c r="Q48" s="688"/>
    </row>
    <row r="49" spans="1:17" s="697" customFormat="1" ht="75" customHeight="1">
      <c r="A49" s="807"/>
      <c r="B49" s="2516"/>
      <c r="C49" s="2517"/>
      <c r="D49" s="2517"/>
      <c r="E49" s="2517"/>
      <c r="F49" s="2517"/>
      <c r="G49" s="2517"/>
      <c r="H49" s="2517"/>
      <c r="I49" s="2517"/>
      <c r="J49" s="2517"/>
      <c r="K49" s="2517"/>
      <c r="L49" s="2517"/>
      <c r="M49" s="2517"/>
      <c r="N49" s="2742">
        <f>'スコア（重点項目）（改修後）'!J7</f>
        <v>77</v>
      </c>
      <c r="O49" s="2743"/>
      <c r="P49" s="2520"/>
      <c r="Q49" s="688"/>
    </row>
    <row r="50" spans="1:17" s="697" customFormat="1" ht="20.25" customHeight="1">
      <c r="A50" s="807"/>
      <c r="B50" s="2516"/>
      <c r="C50" s="2517"/>
      <c r="D50" s="2517"/>
      <c r="E50" s="2517"/>
      <c r="F50" s="2517"/>
      <c r="G50" s="2517"/>
      <c r="H50" s="2517"/>
      <c r="I50" s="2517"/>
      <c r="J50" s="2517"/>
      <c r="K50" s="2517"/>
      <c r="L50" s="2517"/>
      <c r="M50" s="2517"/>
      <c r="N50" s="2517"/>
      <c r="O50" s="2518"/>
      <c r="P50" s="2520"/>
      <c r="Q50" s="688"/>
    </row>
    <row r="51" spans="1:17" s="697" customFormat="1" ht="20.25" customHeight="1">
      <c r="A51" s="900"/>
      <c r="B51" s="2516"/>
      <c r="C51" s="2517"/>
      <c r="D51" s="2517"/>
      <c r="E51" s="2517"/>
      <c r="F51" s="2517"/>
      <c r="G51" s="2517"/>
      <c r="H51" s="2517"/>
      <c r="I51" s="2517"/>
      <c r="J51" s="2517"/>
      <c r="K51" s="2517"/>
      <c r="L51" s="2517"/>
      <c r="M51" s="2517"/>
      <c r="N51" s="2517"/>
      <c r="O51" s="2518"/>
      <c r="P51" s="2520"/>
      <c r="Q51" s="688"/>
    </row>
    <row r="52" spans="1:17" s="697" customFormat="1" ht="20.25" customHeight="1">
      <c r="A52" s="688"/>
      <c r="B52" s="2516"/>
      <c r="C52" s="2524" t="s">
        <v>1858</v>
      </c>
      <c r="D52" s="2517"/>
      <c r="E52" s="2517"/>
      <c r="F52" s="2517"/>
      <c r="G52" s="2517"/>
      <c r="H52" s="2517"/>
      <c r="I52" s="2517"/>
      <c r="J52" s="776">
        <f>'スコア（重点項目）（改修後）'!H10</f>
        <v>80.3</v>
      </c>
      <c r="K52" s="2517"/>
      <c r="L52" s="2517"/>
      <c r="M52" s="2517"/>
      <c r="N52" s="2517"/>
      <c r="O52" s="2518"/>
      <c r="P52" s="2520"/>
      <c r="Q52" s="688"/>
    </row>
    <row r="53" spans="1:17" s="697" customFormat="1" ht="20.25" customHeight="1">
      <c r="A53" s="807"/>
      <c r="B53" s="2516"/>
      <c r="C53" s="2524"/>
      <c r="D53" s="2517"/>
      <c r="E53" s="2517"/>
      <c r="F53" s="2517"/>
      <c r="G53" s="2517"/>
      <c r="H53" s="2517"/>
      <c r="I53" s="2517"/>
      <c r="J53" s="2517"/>
      <c r="K53" s="2517"/>
      <c r="L53" s="2517"/>
      <c r="M53" s="2517"/>
      <c r="N53" s="2517"/>
      <c r="O53" s="2518"/>
      <c r="P53" s="2520"/>
      <c r="Q53" s="688"/>
    </row>
    <row r="54" spans="1:17" s="697" customFormat="1" ht="20.25" customHeight="1">
      <c r="A54" s="807"/>
      <c r="B54" s="2516"/>
      <c r="C54" s="2524" t="s">
        <v>1859</v>
      </c>
      <c r="D54" s="2517"/>
      <c r="E54" s="2517"/>
      <c r="F54" s="2517"/>
      <c r="G54" s="2517"/>
      <c r="H54" s="2517"/>
      <c r="I54" s="2517"/>
      <c r="J54" s="776">
        <f>'スコア（重点項目）（改修後）'!H19</f>
        <v>75</v>
      </c>
      <c r="K54" s="2517"/>
      <c r="L54" s="2517"/>
      <c r="M54" s="2517"/>
      <c r="N54" s="2517"/>
      <c r="O54" s="2518"/>
      <c r="P54" s="2520"/>
      <c r="Q54" s="688"/>
    </row>
    <row r="55" spans="1:17" s="697" customFormat="1" ht="20.25" customHeight="1">
      <c r="A55" s="688"/>
      <c r="B55" s="2516"/>
      <c r="C55" s="2524"/>
      <c r="D55" s="2517"/>
      <c r="E55" s="2517"/>
      <c r="F55" s="2517"/>
      <c r="G55" s="2517"/>
      <c r="H55" s="2517"/>
      <c r="I55" s="2517"/>
      <c r="J55" s="2517"/>
      <c r="K55" s="2517"/>
      <c r="L55" s="2517"/>
      <c r="M55" s="2517"/>
      <c r="N55" s="2517"/>
      <c r="O55" s="2518"/>
      <c r="P55" s="2520"/>
      <c r="Q55" s="688"/>
    </row>
    <row r="56" spans="1:17" s="697" customFormat="1" ht="20.25" customHeight="1">
      <c r="A56" s="688"/>
      <c r="B56" s="2516"/>
      <c r="C56" s="2524" t="s">
        <v>1860</v>
      </c>
      <c r="D56" s="2517"/>
      <c r="E56" s="2517"/>
      <c r="F56" s="2517"/>
      <c r="G56" s="2517"/>
      <c r="H56" s="2517"/>
      <c r="I56" s="2517"/>
      <c r="J56" s="776">
        <f>'スコア（重点項目）（改修後）'!H25</f>
        <v>75</v>
      </c>
      <c r="K56" s="2517"/>
      <c r="L56" s="2517"/>
      <c r="M56" s="2517"/>
      <c r="N56" s="2517"/>
      <c r="O56" s="2518"/>
      <c r="P56" s="2520"/>
      <c r="Q56" s="688"/>
    </row>
    <row r="57" spans="1:17" s="697" customFormat="1" ht="20.25" customHeight="1">
      <c r="A57" s="688"/>
      <c r="B57" s="743"/>
      <c r="C57" s="2524"/>
      <c r="D57"/>
      <c r="E57"/>
      <c r="F57"/>
      <c r="G57"/>
      <c r="H57"/>
      <c r="I57"/>
      <c r="J57"/>
      <c r="K57"/>
      <c r="L57"/>
      <c r="M57"/>
      <c r="N57"/>
      <c r="O57" s="2518"/>
      <c r="P57" s="2520"/>
      <c r="Q57" s="688"/>
    </row>
    <row r="58" spans="1:17" s="697" customFormat="1" ht="20.25" customHeight="1">
      <c r="A58" s="688"/>
      <c r="B58" s="743"/>
      <c r="C58" s="2524" t="s">
        <v>1861</v>
      </c>
      <c r="D58"/>
      <c r="E58"/>
      <c r="F58"/>
      <c r="G58"/>
      <c r="H58"/>
      <c r="I58"/>
      <c r="J58" s="776">
        <f>'スコア（重点項目）（改修後）'!H30</f>
        <v>75</v>
      </c>
      <c r="K58"/>
      <c r="L58"/>
      <c r="M58"/>
      <c r="N58"/>
      <c r="O58" s="2518"/>
      <c r="P58" s="2520"/>
      <c r="Q58" s="688"/>
    </row>
    <row r="59" spans="1:17" s="697" customFormat="1" ht="20.25" customHeight="1">
      <c r="A59" s="688"/>
      <c r="B59" s="743"/>
      <c r="C59" s="2524"/>
      <c r="D59"/>
      <c r="E59"/>
      <c r="F59"/>
      <c r="G59"/>
      <c r="H59"/>
      <c r="I59"/>
      <c r="J59" s="783"/>
      <c r="K59"/>
      <c r="L59"/>
      <c r="M59"/>
      <c r="N59"/>
      <c r="O59" s="2518"/>
      <c r="P59" s="2520"/>
      <c r="Q59" s="688"/>
    </row>
    <row r="60" spans="1:17" s="697" customFormat="1" ht="20.25" customHeight="1">
      <c r="A60" s="688"/>
      <c r="B60" s="743"/>
      <c r="C60" s="2524"/>
      <c r="D60"/>
      <c r="E60"/>
      <c r="F60"/>
      <c r="G60"/>
      <c r="H60"/>
      <c r="I60"/>
      <c r="J60" s="783"/>
      <c r="K60"/>
      <c r="L60"/>
      <c r="M60"/>
      <c r="N60"/>
      <c r="O60" s="2518"/>
      <c r="P60" s="2520"/>
      <c r="Q60" s="688"/>
    </row>
    <row r="61" spans="1:17" s="697" customFormat="1" ht="20.25" customHeight="1" thickBot="1">
      <c r="A61" s="688"/>
      <c r="B61" s="2521"/>
      <c r="C61" s="2522"/>
      <c r="D61" s="2522"/>
      <c r="E61" s="2522"/>
      <c r="F61" s="2522"/>
      <c r="G61" s="2522"/>
      <c r="H61" s="2522"/>
      <c r="I61" s="2522"/>
      <c r="J61" s="2522"/>
      <c r="K61" s="2522"/>
      <c r="L61" s="2522"/>
      <c r="M61" s="2522"/>
      <c r="N61" s="2522"/>
      <c r="O61" s="2522"/>
      <c r="P61" s="2520"/>
      <c r="Q61" s="688"/>
    </row>
    <row r="62" spans="1:17" s="697" customFormat="1" ht="15" customHeight="1">
      <c r="A62" s="688"/>
      <c r="B62" s="2525"/>
      <c r="C62" s="2525"/>
      <c r="D62" s="2525"/>
      <c r="E62" s="2525"/>
      <c r="F62" s="2525"/>
      <c r="G62" s="2525"/>
      <c r="H62" s="2525"/>
      <c r="I62" s="2525"/>
      <c r="J62" s="2525"/>
      <c r="K62" s="2525"/>
      <c r="L62" s="2525"/>
      <c r="M62" s="2525"/>
      <c r="N62" s="2525"/>
      <c r="O62" s="2525"/>
      <c r="P62" s="688"/>
      <c r="Q62" s="807"/>
    </row>
    <row r="63" spans="1:17" ht="15" customHeight="1">
      <c r="G63" s="1065"/>
      <c r="L63" s="1065"/>
      <c r="M63" s="728"/>
      <c r="O63" s="728"/>
    </row>
    <row r="64" spans="1:17" ht="15" customHeight="1">
      <c r="E64" s="1053"/>
      <c r="F64" s="1076"/>
      <c r="G64" s="1065"/>
      <c r="H64" s="1065"/>
      <c r="I64" s="1060"/>
      <c r="L64" s="1065"/>
      <c r="M64" s="728"/>
      <c r="O64" s="728"/>
    </row>
    <row r="65" spans="2:15" ht="15" customHeight="1">
      <c r="C65" s="1077"/>
      <c r="D65" s="912"/>
      <c r="E65" s="1053"/>
      <c r="F65" s="1076"/>
      <c r="G65" s="1065"/>
      <c r="H65" s="1065"/>
      <c r="I65" s="1060"/>
      <c r="J65" s="1060"/>
      <c r="K65" s="1065"/>
      <c r="L65" s="1065"/>
      <c r="M65" s="728"/>
      <c r="O65" s="728"/>
    </row>
    <row r="66" spans="2:15" ht="15" customHeight="1">
      <c r="B66" s="1078"/>
      <c r="C66" s="1079"/>
      <c r="D66" s="1080"/>
      <c r="E66" s="1053"/>
      <c r="F66" s="1076"/>
      <c r="G66" s="1058"/>
      <c r="H66" s="1058"/>
      <c r="I66" s="1059"/>
      <c r="J66" s="1059"/>
      <c r="K66" s="1060"/>
      <c r="L66" s="1060"/>
      <c r="M66" s="728"/>
      <c r="O66" s="728"/>
    </row>
    <row r="67" spans="2:15" ht="14.25" hidden="1">
      <c r="B67" s="1078"/>
      <c r="C67" s="1078"/>
      <c r="D67" s="1081"/>
      <c r="G67" s="1058"/>
      <c r="H67" s="1058"/>
      <c r="I67" s="1059"/>
      <c r="J67" s="1059"/>
      <c r="K67" s="1060"/>
      <c r="L67" s="1060"/>
      <c r="M67" s="728"/>
      <c r="N67" s="728"/>
      <c r="O67" s="728"/>
    </row>
    <row r="68" spans="2:15" ht="14.25" hidden="1">
      <c r="E68" s="706"/>
      <c r="F68" s="707"/>
      <c r="G68" s="707"/>
      <c r="H68" s="707"/>
      <c r="I68" s="708"/>
      <c r="J68" s="708"/>
      <c r="K68" s="707"/>
      <c r="L68" s="707"/>
      <c r="M68" s="728"/>
      <c r="N68" s="728"/>
      <c r="O68" s="728"/>
    </row>
    <row r="69" spans="2:15" ht="14.25" hidden="1">
      <c r="E69" s="706"/>
      <c r="F69" s="707"/>
      <c r="G69" s="707"/>
      <c r="H69" s="707"/>
      <c r="I69" s="708"/>
      <c r="J69" s="708"/>
      <c r="K69" s="707"/>
      <c r="L69" s="707"/>
      <c r="M69" s="728"/>
      <c r="N69" s="728"/>
      <c r="O69" s="728"/>
    </row>
    <row r="70" spans="2:15" ht="14.25" hidden="1">
      <c r="E70" s="706"/>
      <c r="F70" s="707"/>
      <c r="G70" s="707"/>
      <c r="H70" s="707"/>
      <c r="I70" s="708"/>
      <c r="J70" s="708"/>
      <c r="K70" s="707"/>
      <c r="L70" s="707"/>
      <c r="M70" s="728"/>
      <c r="N70" s="728"/>
      <c r="O70" s="728"/>
    </row>
    <row r="71" spans="2:15" ht="14.25" hidden="1">
      <c r="E71" s="706"/>
      <c r="F71" s="707"/>
      <c r="G71" s="707"/>
      <c r="H71" s="707"/>
      <c r="I71" s="708"/>
      <c r="J71" s="708"/>
      <c r="K71" s="707"/>
      <c r="L71" s="707"/>
      <c r="M71" s="728"/>
      <c r="N71" s="728"/>
      <c r="O71" s="728"/>
    </row>
    <row r="72" spans="2:15" ht="14.25" hidden="1">
      <c r="E72" s="706"/>
      <c r="F72" s="707"/>
      <c r="G72" s="707"/>
      <c r="H72" s="707"/>
      <c r="I72" s="708"/>
      <c r="J72" s="708"/>
      <c r="K72" s="707"/>
      <c r="L72" s="707"/>
      <c r="M72" s="728"/>
      <c r="N72" s="728"/>
      <c r="O72" s="728"/>
    </row>
    <row r="73" spans="2:15" ht="14.25" hidden="1">
      <c r="E73" s="706"/>
      <c r="F73" s="707"/>
      <c r="G73" s="707"/>
      <c r="H73" s="707"/>
      <c r="I73" s="708"/>
      <c r="J73" s="708"/>
      <c r="K73" s="707"/>
      <c r="L73" s="707"/>
      <c r="M73" s="728"/>
      <c r="N73" s="728"/>
      <c r="O73" s="728"/>
    </row>
    <row r="74" spans="2:15" ht="14.25" hidden="1">
      <c r="E74" s="706"/>
      <c r="F74" s="707"/>
      <c r="G74" s="707"/>
      <c r="H74" s="707"/>
      <c r="I74" s="708"/>
      <c r="J74" s="708"/>
      <c r="K74" s="707"/>
      <c r="L74" s="707"/>
      <c r="M74" s="728"/>
      <c r="N74" s="728"/>
      <c r="O74" s="728"/>
    </row>
    <row r="75" spans="2:15" ht="14.25" hidden="1">
      <c r="E75" s="706"/>
      <c r="F75" s="707"/>
      <c r="G75" s="707"/>
      <c r="H75" s="707"/>
      <c r="I75" s="708"/>
      <c r="J75" s="708"/>
      <c r="K75" s="707"/>
      <c r="L75" s="707"/>
      <c r="M75" s="728"/>
      <c r="N75" s="728"/>
      <c r="O75" s="728"/>
    </row>
    <row r="76" spans="2:15" ht="14.25" hidden="1">
      <c r="E76" s="706"/>
      <c r="F76" s="707"/>
      <c r="G76" s="707"/>
      <c r="H76" s="707"/>
      <c r="I76" s="708"/>
      <c r="J76" s="708"/>
      <c r="K76" s="707"/>
      <c r="L76" s="707"/>
      <c r="M76" s="728"/>
      <c r="N76" s="728"/>
      <c r="O76" s="728"/>
    </row>
    <row r="77" spans="2:15" ht="14.25" hidden="1">
      <c r="E77" s="706"/>
      <c r="F77" s="707"/>
      <c r="G77" s="707"/>
      <c r="H77" s="707"/>
      <c r="I77" s="708"/>
      <c r="J77" s="708"/>
      <c r="K77" s="707"/>
      <c r="L77" s="707"/>
      <c r="M77" s="728"/>
      <c r="N77" s="728"/>
      <c r="O77" s="728"/>
    </row>
    <row r="78" spans="2:15" ht="14.25" hidden="1">
      <c r="E78" s="706"/>
      <c r="F78" s="707"/>
      <c r="G78" s="707"/>
      <c r="H78" s="707"/>
      <c r="I78" s="708"/>
      <c r="J78" s="708"/>
      <c r="K78" s="707"/>
      <c r="L78" s="707"/>
      <c r="M78" s="728"/>
      <c r="N78" s="728"/>
      <c r="O78" s="728"/>
    </row>
    <row r="79" spans="2:15" ht="14.25" hidden="1">
      <c r="E79" s="706"/>
      <c r="F79" s="707"/>
      <c r="G79" s="707"/>
      <c r="H79" s="707"/>
      <c r="I79" s="708"/>
      <c r="J79" s="708"/>
      <c r="K79" s="707"/>
      <c r="L79" s="707"/>
      <c r="M79" s="728"/>
      <c r="N79" s="728"/>
      <c r="O79" s="728"/>
    </row>
    <row r="80" spans="2:15" ht="14.25" hidden="1">
      <c r="E80" s="706"/>
      <c r="F80" s="707"/>
      <c r="G80" s="707"/>
      <c r="H80" s="707"/>
      <c r="I80" s="708"/>
      <c r="J80" s="708"/>
      <c r="K80" s="707"/>
      <c r="L80" s="707"/>
      <c r="M80" s="728"/>
      <c r="N80" s="728"/>
      <c r="O80" s="728"/>
    </row>
    <row r="81" spans="5:15" ht="14.25" hidden="1">
      <c r="E81" s="706"/>
      <c r="F81" s="707"/>
      <c r="G81" s="707"/>
      <c r="H81" s="707"/>
      <c r="I81" s="708"/>
      <c r="J81" s="708"/>
      <c r="K81" s="707"/>
      <c r="L81" s="707"/>
      <c r="M81" s="728"/>
      <c r="N81" s="728"/>
      <c r="O81" s="728"/>
    </row>
    <row r="82" spans="5:15" ht="14.25" hidden="1">
      <c r="E82" s="706"/>
      <c r="F82" s="707"/>
      <c r="G82" s="707"/>
      <c r="H82" s="707"/>
      <c r="I82" s="708"/>
      <c r="J82" s="708"/>
      <c r="K82" s="707"/>
      <c r="L82" s="707"/>
      <c r="M82" s="728"/>
      <c r="N82" s="728"/>
      <c r="O82" s="728"/>
    </row>
    <row r="83" spans="5:15" ht="14.25" hidden="1">
      <c r="E83" s="706"/>
      <c r="F83" s="707"/>
      <c r="G83" s="707"/>
      <c r="H83" s="707"/>
      <c r="I83" s="708"/>
      <c r="J83" s="708"/>
      <c r="K83" s="707"/>
      <c r="L83" s="707"/>
      <c r="M83" s="728"/>
      <c r="N83" s="728"/>
      <c r="O83" s="728"/>
    </row>
    <row r="84" spans="5:15" ht="14.25" hidden="1">
      <c r="E84" s="706"/>
      <c r="F84" s="707"/>
      <c r="G84" s="707"/>
      <c r="H84" s="707"/>
      <c r="I84" s="708"/>
      <c r="J84" s="708"/>
      <c r="K84" s="707"/>
      <c r="L84" s="707"/>
      <c r="M84" s="728"/>
      <c r="N84" s="728"/>
      <c r="O84" s="728"/>
    </row>
    <row r="85" spans="5:15" ht="14.25" hidden="1">
      <c r="E85" s="706"/>
      <c r="F85" s="707"/>
      <c r="G85" s="707"/>
      <c r="H85" s="707"/>
      <c r="I85" s="708"/>
      <c r="J85" s="708"/>
      <c r="K85" s="707"/>
      <c r="L85" s="707"/>
      <c r="M85" s="728"/>
      <c r="N85" s="728"/>
      <c r="O85" s="728"/>
    </row>
    <row r="86" spans="5:15" ht="14.25" hidden="1">
      <c r="E86" s="706"/>
      <c r="F86" s="707"/>
      <c r="G86" s="707"/>
      <c r="H86" s="707"/>
      <c r="I86" s="708"/>
      <c r="J86" s="708"/>
      <c r="K86" s="707"/>
      <c r="L86" s="707"/>
      <c r="M86" s="728"/>
      <c r="N86" s="728"/>
      <c r="O86" s="728"/>
    </row>
    <row r="87" spans="5:15" ht="14.25" hidden="1">
      <c r="E87" s="706"/>
      <c r="F87" s="707"/>
      <c r="G87" s="707"/>
      <c r="H87" s="707"/>
      <c r="I87" s="708"/>
      <c r="J87" s="708"/>
      <c r="K87" s="707"/>
      <c r="L87" s="707"/>
      <c r="M87" s="728"/>
      <c r="N87" s="728"/>
      <c r="O87" s="728"/>
    </row>
    <row r="88" spans="5:15" ht="14.25" hidden="1">
      <c r="E88" s="706"/>
      <c r="F88" s="707"/>
      <c r="G88" s="707"/>
      <c r="H88" s="707"/>
      <c r="I88" s="708"/>
      <c r="J88" s="708"/>
      <c r="K88" s="707"/>
      <c r="L88" s="707"/>
      <c r="M88" s="728"/>
      <c r="N88" s="728"/>
      <c r="O88" s="728"/>
    </row>
    <row r="89" spans="5:15" ht="14.25" hidden="1">
      <c r="E89" s="706"/>
      <c r="F89" s="707"/>
      <c r="G89" s="707"/>
      <c r="H89" s="707"/>
      <c r="I89" s="708"/>
      <c r="J89" s="708"/>
      <c r="K89" s="707"/>
      <c r="L89" s="707"/>
      <c r="M89" s="728"/>
      <c r="N89" s="728"/>
      <c r="O89" s="728"/>
    </row>
    <row r="90" spans="5:15" ht="14.25" hidden="1">
      <c r="E90" s="706"/>
      <c r="F90" s="707"/>
      <c r="G90" s="707"/>
      <c r="H90" s="707"/>
      <c r="I90" s="708"/>
      <c r="J90" s="708"/>
      <c r="K90" s="707"/>
      <c r="L90" s="707"/>
      <c r="M90" s="728"/>
      <c r="N90" s="728"/>
      <c r="O90" s="728"/>
    </row>
    <row r="91" spans="5:15" ht="14.25" hidden="1">
      <c r="E91" s="706"/>
      <c r="F91" s="707"/>
      <c r="G91" s="707"/>
      <c r="H91" s="707"/>
      <c r="I91" s="708"/>
      <c r="J91" s="708"/>
      <c r="K91" s="707"/>
      <c r="L91" s="707"/>
      <c r="M91" s="728"/>
      <c r="N91" s="728"/>
      <c r="O91" s="728"/>
    </row>
    <row r="92" spans="5:15" ht="14.25" hidden="1">
      <c r="E92" s="706"/>
      <c r="F92" s="707"/>
      <c r="G92" s="707"/>
      <c r="H92" s="707"/>
      <c r="I92" s="708"/>
      <c r="J92" s="708"/>
      <c r="K92" s="707"/>
      <c r="L92" s="707"/>
      <c r="M92" s="728"/>
      <c r="N92" s="728"/>
      <c r="O92" s="728"/>
    </row>
    <row r="93" spans="5:15" ht="14.25" hidden="1">
      <c r="E93" s="706"/>
      <c r="F93" s="707"/>
      <c r="G93" s="707"/>
      <c r="H93" s="707"/>
      <c r="I93" s="708"/>
      <c r="J93" s="708"/>
      <c r="K93" s="707"/>
      <c r="L93" s="707"/>
      <c r="M93" s="728"/>
      <c r="N93" s="728"/>
      <c r="O93" s="728"/>
    </row>
    <row r="94" spans="5:15" ht="14.25" hidden="1">
      <c r="E94" s="706"/>
      <c r="F94" s="707"/>
      <c r="G94" s="707"/>
      <c r="H94" s="707"/>
      <c r="I94" s="708"/>
      <c r="J94" s="708"/>
      <c r="K94" s="707"/>
      <c r="L94" s="707"/>
      <c r="M94" s="728"/>
      <c r="N94" s="728"/>
      <c r="O94" s="728"/>
    </row>
    <row r="95" spans="5:15" ht="14.25" hidden="1">
      <c r="E95" s="706"/>
      <c r="F95" s="707"/>
      <c r="G95" s="707"/>
      <c r="H95" s="707"/>
      <c r="I95" s="708"/>
      <c r="J95" s="708"/>
      <c r="K95" s="707"/>
      <c r="L95" s="707"/>
      <c r="M95" s="728"/>
      <c r="N95" s="728"/>
      <c r="O95" s="728"/>
    </row>
    <row r="96" spans="5:15" ht="14.25" hidden="1">
      <c r="E96" s="706"/>
      <c r="F96" s="707"/>
      <c r="G96" s="707"/>
      <c r="H96" s="707"/>
      <c r="I96" s="708"/>
      <c r="J96" s="708"/>
      <c r="K96" s="707"/>
      <c r="L96" s="707"/>
      <c r="M96" s="728"/>
      <c r="N96" s="728"/>
      <c r="O96" s="728"/>
    </row>
    <row r="97" spans="5:15" ht="14.25" hidden="1">
      <c r="E97" s="706"/>
      <c r="F97" s="707"/>
      <c r="G97" s="707"/>
      <c r="H97" s="707"/>
      <c r="I97" s="708"/>
      <c r="J97" s="708"/>
      <c r="K97" s="707"/>
      <c r="L97" s="707"/>
      <c r="M97" s="728"/>
      <c r="N97" s="728"/>
      <c r="O97" s="728"/>
    </row>
    <row r="98" spans="5:15" ht="14.25" hidden="1"/>
    <row r="99" spans="5:15" ht="14.25" hidden="1"/>
    <row r="100" spans="5:15" ht="14.25" hidden="1"/>
    <row r="101" spans="5:15" ht="14.25" hidden="1"/>
    <row r="102" spans="5:15" ht="14.25" hidden="1"/>
    <row r="103" spans="5:15" ht="14.25" hidden="1"/>
    <row r="104" spans="5:15" ht="14.25" hidden="1"/>
    <row r="105" spans="5:15" ht="14.25" hidden="1"/>
    <row r="106" spans="5:15" ht="14.25" hidden="1"/>
    <row r="107" spans="5:15" ht="14.25" hidden="1"/>
    <row r="108" spans="5:15" ht="14.25" hidden="1"/>
    <row r="109" spans="5:15" ht="14.25" hidden="1"/>
    <row r="110" spans="5:15" ht="14.25" hidden="1"/>
    <row r="111" spans="5:15" ht="14.25" hidden="1"/>
    <row r="112" spans="5:15"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0" hidden="1" customHeight="1"/>
    <row r="182" ht="0" hidden="1" customHeight="1"/>
    <row r="183" ht="0" hidden="1" customHeight="1"/>
  </sheetData>
  <sheetProtection password="8D30" sheet="1" objects="1" scenarios="1"/>
  <mergeCells count="12">
    <mergeCell ref="N49:O49"/>
    <mergeCell ref="Q2:Q5"/>
    <mergeCell ref="K5:L5"/>
    <mergeCell ref="N5:O5"/>
    <mergeCell ref="D13:E13"/>
    <mergeCell ref="J13:K13"/>
    <mergeCell ref="D14:E14"/>
    <mergeCell ref="D18:G20"/>
    <mergeCell ref="J18:K20"/>
    <mergeCell ref="J42:K42"/>
    <mergeCell ref="J44:K44"/>
    <mergeCell ref="N48:O48"/>
  </mergeCells>
  <phoneticPr fontId="20"/>
  <conditionalFormatting sqref="H61:O62 H44:I46 L44:O46 J45:K46">
    <cfRule type="expression" dxfId="29" priority="1" stopIfTrue="1">
      <formula>#REF!=#REF!</formula>
    </cfRule>
  </conditionalFormatting>
  <conditionalFormatting sqref="J26:K27 I26 H29:H41 L25:O43 I28:K41 H43:K43">
    <cfRule type="expression" dxfId="28"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legacyDrawing r:id="rId3"/>
  <oleObjects>
    <mc:AlternateContent xmlns:mc="http://schemas.openxmlformats.org/markup-compatibility/2006">
      <mc:Choice Requires="x14">
        <oleObject progId="Visio.Drawing.11" shapeId="196609" r:id="rId4">
          <objectPr defaultSize="0" autoPict="0" r:id="rId5">
            <anchor moveWithCells="1">
              <from>
                <xdr:col>11</xdr:col>
                <xdr:colOff>0</xdr:colOff>
                <xdr:row>23</xdr:row>
                <xdr:rowOff>104775</xdr:rowOff>
              </from>
              <to>
                <xdr:col>14</xdr:col>
                <xdr:colOff>523875</xdr:colOff>
                <xdr:row>25</xdr:row>
                <xdr:rowOff>152400</xdr:rowOff>
              </to>
            </anchor>
          </objectPr>
        </oleObject>
      </mc:Choice>
      <mc:Fallback>
        <oleObject progId="Visio.Drawing.11" shapeId="196609" r:id="rId4"/>
      </mc:Fallback>
    </mc:AlternateContent>
    <mc:AlternateContent xmlns:mc="http://schemas.openxmlformats.org/markup-compatibility/2006">
      <mc:Choice Requires="x14">
        <oleObject progId="Visio.Drawing.11" shapeId="196610" r:id="rId6">
          <objectPr defaultSize="0" autoPict="0" r:id="rId7">
            <anchor moveWithCells="1">
              <from>
                <xdr:col>10</xdr:col>
                <xdr:colOff>266700</xdr:colOff>
                <xdr:row>49</xdr:row>
                <xdr:rowOff>47625</xdr:rowOff>
              </from>
              <to>
                <xdr:col>14</xdr:col>
                <xdr:colOff>571500</xdr:colOff>
                <xdr:row>59</xdr:row>
                <xdr:rowOff>180975</xdr:rowOff>
              </to>
            </anchor>
          </objectPr>
        </oleObject>
      </mc:Choice>
      <mc:Fallback>
        <oleObject progId="Visio.Drawing.11" shapeId="196610" r:id="rId6"/>
      </mc:Fallback>
    </mc:AlternateContent>
    <mc:AlternateContent xmlns:mc="http://schemas.openxmlformats.org/markup-compatibility/2006">
      <mc:Choice Requires="x14">
        <oleObject progId="Visio.Drawing.11" shapeId="196611" r:id="rId8">
          <objectPr defaultSize="0" autoPict="0" r:id="rId9">
            <anchor moveWithCells="1">
              <from>
                <xdr:col>9</xdr:col>
                <xdr:colOff>266700</xdr:colOff>
                <xdr:row>25</xdr:row>
                <xdr:rowOff>28575</xdr:rowOff>
              </from>
              <to>
                <xdr:col>14</xdr:col>
                <xdr:colOff>485775</xdr:colOff>
                <xdr:row>36</xdr:row>
                <xdr:rowOff>28575</xdr:rowOff>
              </to>
            </anchor>
          </objectPr>
        </oleObject>
      </mc:Choice>
      <mc:Fallback>
        <oleObject progId="Visio.Drawing.11" shapeId="196611" r:id="rId8"/>
      </mc:Fallback>
    </mc:AlternateContent>
    <mc:AlternateContent xmlns:mc="http://schemas.openxmlformats.org/markup-compatibility/2006">
      <mc:Choice Requires="x14">
        <oleObject progId="Visio.Drawing.11" shapeId="196612" r:id="rId10">
          <objectPr defaultSize="0" autoPict="0" r:id="rId11">
            <anchor moveWithCells="1">
              <from>
                <xdr:col>11</xdr:col>
                <xdr:colOff>238125</xdr:colOff>
                <xdr:row>36</xdr:row>
                <xdr:rowOff>66675</xdr:rowOff>
              </from>
              <to>
                <xdr:col>14</xdr:col>
                <xdr:colOff>485775</xdr:colOff>
                <xdr:row>44</xdr:row>
                <xdr:rowOff>219075</xdr:rowOff>
              </to>
            </anchor>
          </objectPr>
        </oleObject>
      </mc:Choice>
      <mc:Fallback>
        <oleObject progId="Visio.Drawing.11" shapeId="196612"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25</vt:i4>
      </vt:variant>
    </vt:vector>
  </HeadingPairs>
  <TitlesOfParts>
    <vt:vector size="55" baseType="lpstr">
      <vt:lpstr>メイン</vt:lpstr>
      <vt:lpstr>外観図</vt:lpstr>
      <vt:lpstr>係数</vt:lpstr>
      <vt:lpstr>配慮</vt:lpstr>
      <vt:lpstr>スコア入力</vt:lpstr>
      <vt:lpstr>計画書_後</vt:lpstr>
      <vt:lpstr>計画書_前</vt:lpstr>
      <vt:lpstr>境界値</vt:lpstr>
      <vt:lpstr>性能表示(改修後)</vt:lpstr>
      <vt:lpstr>性能表示(改修前)</vt:lpstr>
      <vt:lpstr>結果(改修後)</vt:lpstr>
      <vt:lpstr>結果(改修前)</vt:lpstr>
      <vt:lpstr>改修前後の比較</vt:lpstr>
      <vt:lpstr>配慮事項（表示）</vt:lpstr>
      <vt:lpstr>スコア表示</vt:lpstr>
      <vt:lpstr>スコア（重点項目）（改修後）</vt:lpstr>
      <vt:lpstr>スコア（重点項目）（改修前）</vt:lpstr>
      <vt:lpstr>条件(標準)_後</vt:lpstr>
      <vt:lpstr>条件(標準)_前</vt:lpstr>
      <vt:lpstr>条件(個別)_後</vt:lpstr>
      <vt:lpstr>条件(個別)_前</vt:lpstr>
      <vt:lpstr>CO2計算_後</vt:lpstr>
      <vt:lpstr>CO2計算_前</vt:lpstr>
      <vt:lpstr>CO2データ</vt:lpstr>
      <vt:lpstr>重み_後</vt:lpstr>
      <vt:lpstr>重み_前</vt:lpstr>
      <vt:lpstr>重み_対象外</vt:lpstr>
      <vt:lpstr>改修後の重み（重点項目）</vt:lpstr>
      <vt:lpstr>改修前の重み（重点項目）</vt:lpstr>
      <vt:lpstr>クレジット</vt:lpstr>
      <vt:lpstr>CO2データ!Print_Area</vt:lpstr>
      <vt:lpstr>CO2計算_後!Print_Area</vt:lpstr>
      <vt:lpstr>CO2計算_前!Print_Area</vt:lpstr>
      <vt:lpstr>クレジット!Print_Area</vt:lpstr>
      <vt:lpstr>'スコア（重点項目）（改修後）'!Print_Area</vt:lpstr>
      <vt:lpstr>'スコア（重点項目）（改修前）'!Print_Area</vt:lpstr>
      <vt:lpstr>スコア入力!Print_Area</vt:lpstr>
      <vt:lpstr>スコア表示!Print_Area</vt:lpstr>
      <vt:lpstr>メイン!Print_Area</vt:lpstr>
      <vt:lpstr>改修前後の比較!Print_Area</vt:lpstr>
      <vt:lpstr>係数!Print_Area</vt:lpstr>
      <vt:lpstr>計画書_後!Print_Area</vt:lpstr>
      <vt:lpstr>計画書_前!Print_Area</vt:lpstr>
      <vt:lpstr>'結果(改修後)'!Print_Area</vt:lpstr>
      <vt:lpstr>'結果(改修前)'!Print_Area</vt:lpstr>
      <vt:lpstr>重み_後!Print_Area</vt:lpstr>
      <vt:lpstr>重み_前!Print_Area</vt:lpstr>
      <vt:lpstr>重み_対象外!Print_Area</vt:lpstr>
      <vt:lpstr>'性能表示(改修後)'!Print_Area</vt:lpstr>
      <vt:lpstr>'性能表示(改修前)'!Print_Area</vt:lpstr>
      <vt:lpstr>'改修後の重み（重点項目）'!Print_Titles</vt:lpstr>
      <vt:lpstr>'改修前の重み（重点項目）'!Print_Titles</vt:lpstr>
      <vt:lpstr>重み_後!Print_Titles</vt:lpstr>
      <vt:lpstr>重み_前!Print_Titles</vt:lpstr>
      <vt:lpstr>重み_対象外!Print_Titles</vt:lpstr>
    </vt:vector>
  </TitlesOfParts>
  <Company>株式会社日建設計</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kumamoto</cp:lastModifiedBy>
  <cp:lastPrinted>2015-03-26T06:53:39Z</cp:lastPrinted>
  <dcterms:created xsi:type="dcterms:W3CDTF">2009-05-12T07:23:30Z</dcterms:created>
  <dcterms:modified xsi:type="dcterms:W3CDTF">2015-03-30T07:05:35Z</dcterms:modified>
</cp:coreProperties>
</file>