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表 死亡数・死亡率（年齢階級・年次別）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<sst xmlns="http://schemas.openxmlformats.org/spreadsheetml/2006/main" count="98" uniqueCount="48">
  <si>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</si>
  <si>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</si>
  <si>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</si>
  <si>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</si>
  <si>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</si>
  <si>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</si>
  <si>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</si>
  <si>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</si>
  <si>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</si>
  <si>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</si>
  <si>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</si>
  <si>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</si>
  <si>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</si>
  <si>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</si>
  <si>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</si>
  <si>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</si>
  <si>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</si>
  <si>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</si>
  <si>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</si>
  <si>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</si>
  <si>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</si>
  <si>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</si>
  <si>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</si>
  <si>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</si>
  <si>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</si>
  <si>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</si>
  <si>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</si>
  <si>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</si>
  <si>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</si>
  <si>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</si>
  <si>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</si>
  <si>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</si>
  <si>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</si>
  <si>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</si>
  <si>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</si>
  <si>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</si>
  <si>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</si>
  <si>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</si>
  <si>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</si>
  <si>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</si>
  <si>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</si>
  <si>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</si>
  <si>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</si>
  <si>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昭和
45</t>
  </si>
  <si>
    <t>昭和
50</t>
  </si>
  <si>
    <t>昭和
55</t>
  </si>
  <si>
    <t>注）　率算出に用いた人口は、「平成27年国勢調査（総務省統計局）」</t>
  </si>
  <si>
    <t>平成27年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</si>
</sst>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180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Continuous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Continuous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Continuous" vertical="center"/>
    </xf>
    <xf numFmtId="223" fontId="4" fillId="0" borderId="21" xfId="0" applyNumberFormat="1" applyFont="1" applyBorder="1" applyAlignment="1">
      <alignment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223" fontId="4" fillId="0" borderId="24" xfId="0" applyNumberFormat="1" applyFont="1" applyBorder="1" applyAlignment="1">
      <alignment vertical="center"/>
    </xf>
    <xf numFmtId="223" fontId="4" fillId="0" borderId="25" xfId="0" applyNumberFormat="1" applyFont="1" applyBorder="1" applyAlignment="1">
      <alignment vertical="center"/>
    </xf>
    <xf numFmtId="223" fontId="4" fillId="0" borderId="26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 wrapText="1"/>
    </xf>
    <xf numFmtId="223" fontId="4" fillId="0" borderId="29" xfId="0" applyNumberFormat="1" applyFont="1" applyBorder="1" applyAlignment="1">
      <alignment horizontal="right" vertical="center"/>
    </xf>
    <xf numFmtId="223" fontId="4" fillId="0" borderId="29" xfId="0" applyNumberFormat="1" applyFont="1" applyBorder="1" applyAlignment="1">
      <alignment vertical="center"/>
    </xf>
    <xf numFmtId="223" fontId="4" fillId="0" borderId="30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227" fontId="4" fillId="0" borderId="15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0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227" fontId="4" fillId="0" borderId="34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35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12" xfId="0" applyNumberFormat="1" applyFont="1" applyBorder="1" applyAlignment="1">
      <alignment vertical="center"/>
    </xf>
    <xf numFmtId="227" fontId="4" fillId="0" borderId="36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horizontal="right" vertical="center"/>
    </xf>
    <xf numFmtId="227" fontId="4" fillId="0" borderId="11" xfId="0" applyNumberFormat="1" applyFont="1" applyBorder="1" applyAlignment="1">
      <alignment vertical="center"/>
    </xf>
    <xf numFmtId="227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227" fontId="4" fillId="0" borderId="38" xfId="0" applyNumberFormat="1" applyFont="1" applyBorder="1" applyAlignment="1">
      <alignment vertical="center"/>
    </xf>
    <xf numFmtId="227" fontId="4" fillId="0" borderId="37" xfId="0" applyNumberFormat="1" applyFont="1" applyBorder="1" applyAlignment="1">
      <alignment vertical="center"/>
    </xf>
    <xf numFmtId="227" fontId="4" fillId="0" borderId="39" xfId="0" applyNumberFormat="1" applyFont="1" applyBorder="1" applyAlignment="1">
      <alignment vertical="center"/>
    </xf>
    <xf numFmtId="227" fontId="4" fillId="0" borderId="4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horizontal="right" vertical="center"/>
    </xf>
    <xf numFmtId="227" fontId="4" fillId="0" borderId="31" xfId="0" applyNumberFormat="1" applyFont="1" applyBorder="1" applyAlignment="1">
      <alignment vertical="center"/>
    </xf>
    <xf numFmtId="227" fontId="4" fillId="0" borderId="18" xfId="0" applyNumberFormat="1" applyFont="1" applyBorder="1" applyAlignment="1">
      <alignment vertical="center"/>
    </xf>
    <xf numFmtId="227" fontId="4" fillId="0" borderId="41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223" fontId="4" fillId="0" borderId="42" xfId="0" applyNumberFormat="1" applyFont="1" applyBorder="1" applyAlignment="1">
      <alignment vertical="center"/>
    </xf>
    <xf numFmtId="223" fontId="4" fillId="0" borderId="11" xfId="0" applyNumberFormat="1" applyFont="1" applyBorder="1" applyAlignment="1">
      <alignment vertical="center"/>
    </xf>
    <xf numFmtId="223" fontId="4" fillId="0" borderId="1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28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223" fontId="4" fillId="0" borderId="46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7" fontId="4" fillId="0" borderId="19" xfId="0" applyNumberFormat="1" applyFont="1" applyBorder="1" applyAlignment="1">
      <alignment vertical="center"/>
    </xf>
    <xf numFmtId="22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 quotePrefix="1">
      <alignment horizontal="centerContinuous" vertical="center"/>
    </xf>
    <xf numFmtId="223" fontId="4" fillId="0" borderId="49" xfId="0" applyNumberFormat="1" applyFont="1" applyBorder="1" applyAlignment="1">
      <alignment vertical="center"/>
    </xf>
    <xf numFmtId="223" fontId="4" fillId="0" borderId="50" xfId="0" applyNumberFormat="1" applyFont="1" applyBorder="1" applyAlignment="1">
      <alignment vertical="center"/>
    </xf>
    <xf numFmtId="223" fontId="4" fillId="0" borderId="51" xfId="0" applyNumberFormat="1" applyFont="1" applyBorder="1" applyAlignment="1">
      <alignment vertical="center"/>
    </xf>
    <xf numFmtId="223" fontId="4" fillId="0" borderId="52" xfId="0" applyNumberFormat="1" applyFont="1" applyBorder="1" applyAlignment="1">
      <alignment vertical="center"/>
    </xf>
    <xf numFmtId="223" fontId="4" fillId="0" borderId="53" xfId="0" applyNumberFormat="1" applyFont="1" applyBorder="1" applyAlignment="1">
      <alignment vertical="center"/>
    </xf>
    <xf numFmtId="223" fontId="4" fillId="0" borderId="54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Continuous" vertical="center"/>
    </xf>
    <xf numFmtId="227" fontId="4" fillId="0" borderId="48" xfId="0" applyNumberFormat="1" applyFont="1" applyFill="1" applyBorder="1" applyAlignment="1">
      <alignment vertical="center"/>
    </xf>
    <xf numFmtId="227" fontId="4" fillId="0" borderId="55" xfId="0" applyNumberFormat="1" applyFont="1" applyFill="1" applyBorder="1" applyAlignment="1">
      <alignment vertical="center"/>
    </xf>
    <xf numFmtId="227" fontId="4" fillId="0" borderId="51" xfId="0" applyNumberFormat="1" applyFont="1" applyFill="1" applyBorder="1" applyAlignment="1">
      <alignment vertical="center"/>
    </xf>
    <xf numFmtId="227" fontId="4" fillId="0" borderId="50" xfId="0" applyNumberFormat="1" applyFont="1" applyFill="1" applyBorder="1" applyAlignment="1">
      <alignment vertical="center"/>
    </xf>
    <xf numFmtId="227" fontId="4" fillId="0" borderId="56" xfId="0" applyNumberFormat="1" applyFont="1" applyFill="1" applyBorder="1" applyAlignment="1">
      <alignment vertical="center"/>
    </xf>
    <xf numFmtId="227" fontId="4" fillId="0" borderId="54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227" fontId="4" fillId="0" borderId="20" xfId="0" applyNumberFormat="1" applyFont="1" applyFill="1" applyBorder="1" applyAlignment="1">
      <alignment vertical="center"/>
    </xf>
    <xf numFmtId="227" fontId="4" fillId="0" borderId="35" xfId="0" applyNumberFormat="1" applyFont="1" applyFill="1" applyBorder="1" applyAlignment="1">
      <alignment vertical="center"/>
    </xf>
    <xf numFmtId="227" fontId="4" fillId="0" borderId="26" xfId="0" applyNumberFormat="1" applyFont="1" applyFill="1" applyBorder="1" applyAlignment="1">
      <alignment vertical="center"/>
    </xf>
    <xf numFmtId="227" fontId="4" fillId="0" borderId="24" xfId="0" applyNumberFormat="1" applyFont="1" applyFill="1" applyBorder="1" applyAlignment="1">
      <alignment vertical="center"/>
    </xf>
    <xf numFmtId="227" fontId="4" fillId="0" borderId="40" xfId="0" applyNumberFormat="1" applyFont="1" applyFill="1" applyBorder="1" applyAlignment="1">
      <alignment vertical="center"/>
    </xf>
    <xf numFmtId="227" fontId="4" fillId="0" borderId="32" xfId="0" applyNumberFormat="1" applyFont="1" applyFill="1" applyBorder="1" applyAlignment="1">
      <alignment vertical="center"/>
    </xf>
    <xf numFmtId="0" fontId="4" fillId="0" borderId="15" xfId="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361950</xdr:colOff>
      <xdr:row>52</xdr:row>
      <xdr:rowOff>152400</xdr:rowOff>
    </xdr:from>
    <xdr:to>
      <xdr:col>25</xdr:col>
      <xdr:colOff>476250</xdr:colOff>
      <xdr:row>53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1934825" y="1531620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view="pageBreakPreview" zoomScale="75" zoomScaleNormal="75" zoomScaleSheetLayoutView="75" zoomScalePageLayoutView="0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6" width="8.625" style="1" hidden="1" customWidth="1"/>
    <col min="7" max="26" width="8.625" style="1" bestFit="1" customWidth="1"/>
    <col min="27" max="27" width="11.00390625" style="1" bestFit="1" customWidth="1"/>
    <col min="28" max="16384" width="9.00390625" style="1" customWidth="1"/>
  </cols>
  <sheetData>
    <row r="1" spans="2:26" ht="27" customHeight="1" thickBot="1">
      <c r="B1" s="6" t="s">
        <v>39</v>
      </c>
      <c r="T1" s="91"/>
      <c r="U1" s="91"/>
      <c r="V1" s="92"/>
      <c r="W1" s="91"/>
      <c r="X1" s="91"/>
      <c r="Y1" s="91"/>
      <c r="Z1" s="91" t="s">
        <v>47</v>
      </c>
    </row>
    <row r="2" spans="2:26" ht="30" customHeight="1">
      <c r="B2" s="7" t="s">
        <v>0</v>
      </c>
      <c r="C2" s="8" t="s">
        <v>1</v>
      </c>
      <c r="D2" s="18" t="s">
        <v>41</v>
      </c>
      <c r="E2" s="18" t="s">
        <v>43</v>
      </c>
      <c r="F2" s="99" t="s">
        <v>44</v>
      </c>
      <c r="G2" s="99" t="s">
        <v>45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84">
        <v>20</v>
      </c>
      <c r="T2" s="84">
        <v>21</v>
      </c>
      <c r="U2" s="84">
        <v>22</v>
      </c>
      <c r="V2" s="84">
        <v>23</v>
      </c>
      <c r="W2" s="84">
        <v>24</v>
      </c>
      <c r="X2" s="84">
        <v>25</v>
      </c>
      <c r="Y2" s="84">
        <v>26</v>
      </c>
      <c r="Z2" s="77">
        <v>27</v>
      </c>
    </row>
    <row r="3" spans="2:26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22">
        <v>19217</v>
      </c>
      <c r="V3" s="22">
        <v>20008</v>
      </c>
      <c r="W3" s="22">
        <v>20565</v>
      </c>
      <c r="X3" s="22">
        <v>20237</v>
      </c>
      <c r="Y3" s="22">
        <v>20461</v>
      </c>
      <c r="Z3" s="78">
        <v>20692</v>
      </c>
    </row>
    <row r="4" spans="2:26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24">
        <v>42</v>
      </c>
      <c r="V4" s="24">
        <v>31</v>
      </c>
      <c r="W4" s="24">
        <v>39</v>
      </c>
      <c r="X4" s="24">
        <v>41</v>
      </c>
      <c r="Y4" s="24">
        <v>25</v>
      </c>
      <c r="Z4" s="79">
        <v>19</v>
      </c>
    </row>
    <row r="5" spans="2:26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26">
        <v>17</v>
      </c>
      <c r="V5" s="26">
        <v>18</v>
      </c>
      <c r="W5" s="26">
        <v>12</v>
      </c>
      <c r="X5" s="26">
        <v>13</v>
      </c>
      <c r="Y5" s="26">
        <v>13</v>
      </c>
      <c r="Z5" s="80">
        <v>17</v>
      </c>
    </row>
    <row r="6" spans="2:26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27">
        <v>59</v>
      </c>
      <c r="V6" s="27">
        <v>49</v>
      </c>
      <c r="W6" s="27">
        <v>51</v>
      </c>
      <c r="X6" s="27">
        <v>54</v>
      </c>
      <c r="Y6" s="27">
        <v>38</v>
      </c>
      <c r="Z6" s="81">
        <v>36</v>
      </c>
    </row>
    <row r="7" spans="2:26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24">
        <v>4</v>
      </c>
      <c r="V7" s="24">
        <v>9</v>
      </c>
      <c r="W7" s="24">
        <v>7</v>
      </c>
      <c r="X7" s="24">
        <v>7</v>
      </c>
      <c r="Y7" s="24">
        <v>7</v>
      </c>
      <c r="Z7" s="79">
        <v>6</v>
      </c>
    </row>
    <row r="8" spans="2:26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24">
        <v>3</v>
      </c>
      <c r="V8" s="24">
        <v>8</v>
      </c>
      <c r="W8" s="24">
        <v>10</v>
      </c>
      <c r="X8" s="24">
        <v>7</v>
      </c>
      <c r="Y8" s="24">
        <v>8</v>
      </c>
      <c r="Z8" s="79">
        <v>8</v>
      </c>
    </row>
    <row r="9" spans="2:26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24">
        <v>21</v>
      </c>
      <c r="V9" s="24">
        <v>19</v>
      </c>
      <c r="W9" s="24">
        <v>15</v>
      </c>
      <c r="X9" s="24">
        <v>18</v>
      </c>
      <c r="Y9" s="24">
        <v>14</v>
      </c>
      <c r="Z9" s="79">
        <v>17</v>
      </c>
    </row>
    <row r="10" spans="2:26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24">
        <v>35</v>
      </c>
      <c r="V10" s="24">
        <v>33</v>
      </c>
      <c r="W10" s="24">
        <v>34</v>
      </c>
      <c r="X10" s="24">
        <v>26</v>
      </c>
      <c r="Y10" s="24">
        <v>26</v>
      </c>
      <c r="Z10" s="79">
        <v>26</v>
      </c>
    </row>
    <row r="11" spans="2:26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24">
        <v>41</v>
      </c>
      <c r="V11" s="24">
        <v>45</v>
      </c>
      <c r="W11" s="24">
        <v>45</v>
      </c>
      <c r="X11" s="24">
        <v>40</v>
      </c>
      <c r="Y11" s="24">
        <v>37</v>
      </c>
      <c r="Z11" s="79">
        <v>27</v>
      </c>
    </row>
    <row r="12" spans="2:26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24">
        <v>64</v>
      </c>
      <c r="V12" s="24">
        <v>54</v>
      </c>
      <c r="W12" s="24">
        <v>56</v>
      </c>
      <c r="X12" s="24">
        <v>50</v>
      </c>
      <c r="Y12" s="24">
        <v>48</v>
      </c>
      <c r="Z12" s="79">
        <v>58</v>
      </c>
    </row>
    <row r="13" spans="2:26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24">
        <v>75</v>
      </c>
      <c r="V13" s="24">
        <v>106</v>
      </c>
      <c r="W13" s="24">
        <v>81</v>
      </c>
      <c r="X13" s="24">
        <v>73</v>
      </c>
      <c r="Y13" s="24">
        <v>76</v>
      </c>
      <c r="Z13" s="79">
        <v>80</v>
      </c>
    </row>
    <row r="14" spans="2:26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24">
        <v>126</v>
      </c>
      <c r="V14" s="24">
        <v>129</v>
      </c>
      <c r="W14" s="24">
        <v>123</v>
      </c>
      <c r="X14" s="24">
        <v>106</v>
      </c>
      <c r="Y14" s="24">
        <v>101</v>
      </c>
      <c r="Z14" s="79">
        <v>108</v>
      </c>
    </row>
    <row r="15" spans="2:26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24">
        <v>200</v>
      </c>
      <c r="V15" s="24">
        <v>191</v>
      </c>
      <c r="W15" s="24">
        <v>182</v>
      </c>
      <c r="X15" s="24">
        <v>172</v>
      </c>
      <c r="Y15" s="24">
        <v>188</v>
      </c>
      <c r="Z15" s="79">
        <v>172</v>
      </c>
    </row>
    <row r="16" spans="2:26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24">
        <v>358</v>
      </c>
      <c r="V16" s="24">
        <v>322</v>
      </c>
      <c r="W16" s="24">
        <v>309</v>
      </c>
      <c r="X16" s="24">
        <v>277</v>
      </c>
      <c r="Y16" s="24">
        <v>270</v>
      </c>
      <c r="Z16" s="79">
        <v>266</v>
      </c>
    </row>
    <row r="17" spans="2:26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24">
        <v>620</v>
      </c>
      <c r="V17" s="24">
        <v>559</v>
      </c>
      <c r="W17" s="24">
        <v>521</v>
      </c>
      <c r="X17" s="24">
        <v>478</v>
      </c>
      <c r="Y17" s="24">
        <v>465</v>
      </c>
      <c r="Z17" s="79">
        <v>424</v>
      </c>
    </row>
    <row r="18" spans="2:26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24">
        <v>842</v>
      </c>
      <c r="V18" s="24">
        <v>889</v>
      </c>
      <c r="W18" s="24">
        <v>944</v>
      </c>
      <c r="X18" s="24">
        <v>849</v>
      </c>
      <c r="Y18" s="24">
        <v>849</v>
      </c>
      <c r="Z18" s="79">
        <v>739</v>
      </c>
    </row>
    <row r="19" spans="2:26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24">
        <v>958</v>
      </c>
      <c r="V19" s="24">
        <v>928</v>
      </c>
      <c r="W19" s="24">
        <v>1000</v>
      </c>
      <c r="X19" s="24">
        <v>951</v>
      </c>
      <c r="Y19" s="24">
        <v>1110</v>
      </c>
      <c r="Z19" s="79">
        <v>1154</v>
      </c>
    </row>
    <row r="20" spans="2:29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24">
        <v>1404</v>
      </c>
      <c r="V20" s="24">
        <v>1451</v>
      </c>
      <c r="W20" s="24">
        <v>1406</v>
      </c>
      <c r="X20" s="24">
        <v>1326</v>
      </c>
      <c r="Y20" s="24">
        <v>1357</v>
      </c>
      <c r="Z20" s="79">
        <v>1400</v>
      </c>
      <c r="AB20" s="28"/>
      <c r="AC20" s="28"/>
    </row>
    <row r="21" spans="2:29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24">
        <v>2313</v>
      </c>
      <c r="V21" s="24">
        <v>2528</v>
      </c>
      <c r="W21" s="24">
        <v>2411</v>
      </c>
      <c r="X21" s="24">
        <v>2297</v>
      </c>
      <c r="Y21" s="24">
        <v>2139</v>
      </c>
      <c r="Z21" s="79">
        <v>2103</v>
      </c>
      <c r="AC21" s="28"/>
    </row>
    <row r="22" spans="2:26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24">
        <v>3509</v>
      </c>
      <c r="V22" s="24">
        <v>3548</v>
      </c>
      <c r="W22" s="24">
        <v>3663</v>
      </c>
      <c r="X22" s="24">
        <v>3537</v>
      </c>
      <c r="Y22" s="24">
        <v>3516</v>
      </c>
      <c r="Z22" s="79">
        <v>3511</v>
      </c>
    </row>
    <row r="23" spans="2:26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24">
        <v>8583</v>
      </c>
      <c r="V23" s="24">
        <v>9140</v>
      </c>
      <c r="W23" s="24">
        <v>9707</v>
      </c>
      <c r="X23" s="24">
        <v>9969</v>
      </c>
      <c r="Y23" s="24">
        <v>10211</v>
      </c>
      <c r="Z23" s="79">
        <v>10556</v>
      </c>
    </row>
    <row r="24" spans="2:28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32">
        <v>3750</v>
      </c>
      <c r="V24" s="32">
        <v>3934</v>
      </c>
      <c r="W24" s="32">
        <v>4305</v>
      </c>
      <c r="X24" s="32">
        <v>4328</v>
      </c>
      <c r="Y24" s="32">
        <v>4444</v>
      </c>
      <c r="Z24" s="82">
        <v>4519</v>
      </c>
      <c r="AB24" s="28"/>
    </row>
    <row r="25" spans="2:26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24">
        <v>2923</v>
      </c>
      <c r="V25" s="24">
        <v>3097</v>
      </c>
      <c r="W25" s="24">
        <v>3295</v>
      </c>
      <c r="X25" s="24">
        <v>3403</v>
      </c>
      <c r="Y25" s="24">
        <v>3576</v>
      </c>
      <c r="Z25" s="79">
        <v>3695</v>
      </c>
    </row>
    <row r="26" spans="2:26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24">
        <v>1541</v>
      </c>
      <c r="V26" s="24">
        <v>1633</v>
      </c>
      <c r="W26" s="24">
        <v>1693</v>
      </c>
      <c r="X26" s="24">
        <v>1740</v>
      </c>
      <c r="Y26" s="24">
        <v>1683</v>
      </c>
      <c r="Z26" s="79">
        <v>1836</v>
      </c>
    </row>
    <row r="27" spans="2:26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36">
        <v>369</v>
      </c>
      <c r="V27" s="36">
        <v>476</v>
      </c>
      <c r="W27" s="36">
        <v>414</v>
      </c>
      <c r="X27" s="36">
        <v>498</v>
      </c>
      <c r="Y27" s="36">
        <v>508</v>
      </c>
      <c r="Z27" s="83">
        <v>506</v>
      </c>
    </row>
    <row r="28" spans="2:26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93">
        <f>(U3*1000)/1809626</f>
        <v>10.61932134043167</v>
      </c>
      <c r="V28" s="93">
        <f>(V3*1000)/1812502</f>
        <v>11.038884370886212</v>
      </c>
      <c r="W28" s="93">
        <f>(W3*1000)/1807201</f>
        <v>11.379475774969137</v>
      </c>
      <c r="X28" s="93">
        <f>(X3*1000)/1801495</f>
        <v>11.233447775319943</v>
      </c>
      <c r="Y28" s="93">
        <f>(Y3*1000)/1794623</f>
        <v>11.401280380336148</v>
      </c>
      <c r="Z28" s="85">
        <f>(Z3*1000)/1786170</f>
        <v>11.584563619364339</v>
      </c>
    </row>
    <row r="29" spans="2:26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94">
        <f>(U4*1000)/15714</f>
        <v>2.6727758686521574</v>
      </c>
      <c r="V29" s="94">
        <f>(V4*1000)/16212</f>
        <v>1.912163829262275</v>
      </c>
      <c r="W29" s="94">
        <f>(W4*1000)/15999</f>
        <v>2.4376523532720795</v>
      </c>
      <c r="X29" s="94">
        <f>(X4*1000)/16223</f>
        <v>2.527276089502558</v>
      </c>
      <c r="Y29" s="94">
        <f>(Y4*1000)/15507</f>
        <v>1.6121751467079384</v>
      </c>
      <c r="Z29" s="86">
        <f>(Z4*1000)/14733</f>
        <v>1.2896219371478992</v>
      </c>
    </row>
    <row r="30" spans="2:26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95">
        <f>(U5*1000)/63276</f>
        <v>0.2686642644920665</v>
      </c>
      <c r="V30" s="95">
        <f>(V5*1000)/64234</f>
        <v>0.2802254257869664</v>
      </c>
      <c r="W30" s="95">
        <f>(W5*1000)/64858</f>
        <v>0.18501958123901446</v>
      </c>
      <c r="X30" s="95">
        <f>(X5*1000)/64529</f>
        <v>0.20145980876815076</v>
      </c>
      <c r="Y30" s="95">
        <f>(Y5*1000)/64817</f>
        <v>0.20056466667695202</v>
      </c>
      <c r="Z30" s="87">
        <f>(Z5*1000)/62338</f>
        <v>0.2727068561711957</v>
      </c>
    </row>
    <row r="31" spans="2:26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96">
        <f>(U6*1000)/78990</f>
        <v>0.7469299911381188</v>
      </c>
      <c r="V31" s="96">
        <f>(V6*1000)/80446</f>
        <v>0.6091042438405887</v>
      </c>
      <c r="W31" s="96">
        <f>(W6*1000)/80857</f>
        <v>0.63074316385718</v>
      </c>
      <c r="X31" s="96">
        <f>(X6*1000)/80752</f>
        <v>0.6687140875767783</v>
      </c>
      <c r="Y31" s="96">
        <f>(Y6*1000)/80324</f>
        <v>0.4730840097604701</v>
      </c>
      <c r="Z31" s="88">
        <f>(Z6*1000)/77071</f>
        <v>0.4671017633091565</v>
      </c>
    </row>
    <row r="32" spans="2:26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96">
        <f>(U7*1000)/81902</f>
        <v>0.04883885619398794</v>
      </c>
      <c r="V32" s="96">
        <f>(V7*1000)/81404</f>
        <v>0.11055967765711759</v>
      </c>
      <c r="W32" s="96">
        <f>(W7*1000)/80604</f>
        <v>0.0868443253436554</v>
      </c>
      <c r="X32" s="96">
        <f>(X7*1000)/80529</f>
        <v>0.08692520706826112</v>
      </c>
      <c r="Y32" s="96">
        <f>(Y7*1000)/80921</f>
        <v>0.08650412130349353</v>
      </c>
      <c r="Z32" s="88">
        <f>(Z7*1000)/80635</f>
        <v>0.07440937558132325</v>
      </c>
    </row>
    <row r="33" spans="2:26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96">
        <f>(U8*1000)/88143</f>
        <v>0.03403560123889589</v>
      </c>
      <c r="V33" s="96">
        <f>(V8*1000)/87937</f>
        <v>0.09097422018035639</v>
      </c>
      <c r="W33" s="96">
        <f>(W8*1000)/87021</f>
        <v>0.11491479068270877</v>
      </c>
      <c r="X33" s="96">
        <f>(X8*1000)/85924</f>
        <v>0.08146734323355523</v>
      </c>
      <c r="Y33" s="96">
        <f>(Y8*1000)/84673</f>
        <v>0.0944811214909121</v>
      </c>
      <c r="Z33" s="88">
        <f>(Z8*1000)/82836</f>
        <v>0.09657636776280844</v>
      </c>
    </row>
    <row r="34" spans="2:26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96">
        <f>(U9*1000)/90045</f>
        <v>0.23321672497084792</v>
      </c>
      <c r="V34" s="96">
        <f>(V9*1000)/91677</f>
        <v>0.20724936461707952</v>
      </c>
      <c r="W34" s="96">
        <f>(W9*1000)/90969</f>
        <v>0.16489133660917454</v>
      </c>
      <c r="X34" s="96">
        <f>(X9*1000)/89612</f>
        <v>0.20086595545239477</v>
      </c>
      <c r="Y34" s="96">
        <f>(Y9*1000)/87849</f>
        <v>0.15936436385160901</v>
      </c>
      <c r="Z34" s="88">
        <f>(Z9*1000)/84541</f>
        <v>0.20108586366378445</v>
      </c>
    </row>
    <row r="35" spans="2:26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96">
        <f>(U10*1000)/82210</f>
        <v>0.42573896119693466</v>
      </c>
      <c r="V35" s="96">
        <f>(V10*1000)/81307</f>
        <v>0.40586911336047327</v>
      </c>
      <c r="W35" s="96">
        <f>(W10*1000)/79750</f>
        <v>0.4263322884012539</v>
      </c>
      <c r="X35" s="96">
        <f>(X10*1000)/79253</f>
        <v>0.3280632909795213</v>
      </c>
      <c r="Y35" s="96">
        <f>(Y10*1000)/76099</f>
        <v>0.3416602057845701</v>
      </c>
      <c r="Z35" s="88">
        <f>(Z10*1000)/73210</f>
        <v>0.355142740062833</v>
      </c>
    </row>
    <row r="36" spans="2:26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96">
        <f>(U11*1000)/93723</f>
        <v>0.4374593216179593</v>
      </c>
      <c r="V36" s="96">
        <f>(V11*1000)/94560</f>
        <v>0.47588832487309646</v>
      </c>
      <c r="W36" s="96">
        <f>(W11*1000)/91806</f>
        <v>0.4901640415659107</v>
      </c>
      <c r="X36" s="96">
        <f>(X11*1000)/88737</f>
        <v>0.45077025367096024</v>
      </c>
      <c r="Y36" s="96">
        <f>(Y11*1000)/83551</f>
        <v>0.44284329331785377</v>
      </c>
      <c r="Z36" s="88">
        <f>(Z11*1000)/82028</f>
        <v>0.32915589798605355</v>
      </c>
    </row>
    <row r="37" spans="2:26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96">
        <f>(U12*1000)/103869</f>
        <v>0.616160740933291</v>
      </c>
      <c r="V37" s="96">
        <f>(V12*1000)/103255</f>
        <v>0.5229770955401676</v>
      </c>
      <c r="W37" s="96">
        <f>(W12*1000)/101289</f>
        <v>0.5528734610865939</v>
      </c>
      <c r="X37" s="96">
        <f>(X12*1000)/99342</f>
        <v>0.5033117915886534</v>
      </c>
      <c r="Y37" s="96">
        <f>(Y12*1000)/98755</f>
        <v>0.4860513391727001</v>
      </c>
      <c r="Z37" s="88">
        <f>(Z12*1000)/95470</f>
        <v>0.6075206871268461</v>
      </c>
    </row>
    <row r="38" spans="2:26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96">
        <f>(U13*1000)/111303</f>
        <v>0.6738362847362604</v>
      </c>
      <c r="V38" s="96">
        <f>(V13*1000)/114287</f>
        <v>0.9274895657423854</v>
      </c>
      <c r="W38" s="96">
        <f>(W13*1000)/113594</f>
        <v>0.7130658309417751</v>
      </c>
      <c r="X38" s="96">
        <f>(X13*1000)/111613</f>
        <v>0.6540456756829401</v>
      </c>
      <c r="Y38" s="96">
        <f>(Y13*1000)/109280</f>
        <v>0.6954612005856515</v>
      </c>
      <c r="Z38" s="88">
        <f>(Z13*1000)/105461</f>
        <v>0.7585742596789334</v>
      </c>
    </row>
    <row r="39" spans="2:26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96">
        <f>(U14*1000)/102693</f>
        <v>1.2269580205077268</v>
      </c>
      <c r="V39" s="96">
        <f>(V14*1000)/107823</f>
        <v>1.196405219665563</v>
      </c>
      <c r="W39" s="96">
        <f>(W14*1000)/107864</f>
        <v>1.1403248535192465</v>
      </c>
      <c r="X39" s="96">
        <f>(X14*1000)/109978</f>
        <v>0.9638291294622561</v>
      </c>
      <c r="Y39" s="96">
        <f>(Y14*1000)/112484</f>
        <v>0.8979054798904733</v>
      </c>
      <c r="Z39" s="88">
        <f>(Z14*1000)/112453</f>
        <v>0.9604012342934382</v>
      </c>
    </row>
    <row r="40" spans="2:26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96">
        <f>(U15*1000)/108344</f>
        <v>1.8459720889020157</v>
      </c>
      <c r="V40" s="96">
        <f>(V15*1000)/105517</f>
        <v>1.810134859785627</v>
      </c>
      <c r="W40" s="96">
        <f>(W15*1000)/106108</f>
        <v>1.7152335356429298</v>
      </c>
      <c r="X40" s="96">
        <f>(X15*1000)/105843</f>
        <v>1.6250484207741656</v>
      </c>
      <c r="Y40" s="96">
        <f>(Y15*1000)/105423</f>
        <v>1.7832920709902014</v>
      </c>
      <c r="Z40" s="88">
        <f>(Z15*1000)/102699</f>
        <v>1.6747972229525117</v>
      </c>
    </row>
    <row r="41" spans="2:26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96">
        <f>(U16*1000)/118244</f>
        <v>3.0276377659754408</v>
      </c>
      <c r="V41" s="96">
        <f>(V16*1000)/116112</f>
        <v>2.773184511506132</v>
      </c>
      <c r="W41" s="96">
        <f>(W16*1000)/114295</f>
        <v>2.7035303381600246</v>
      </c>
      <c r="X41" s="96">
        <f>(X16*1000)/111985</f>
        <v>2.473545564138054</v>
      </c>
      <c r="Y41" s="96">
        <f>(Y16*1000)/109344</f>
        <v>2.4692712906057945</v>
      </c>
      <c r="Z41" s="88">
        <f>(Z16*1000)/107623</f>
        <v>2.4715906451223253</v>
      </c>
    </row>
    <row r="42" spans="2:26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96">
        <f>(U17*1000)/134198</f>
        <v>4.6200390467816215</v>
      </c>
      <c r="V42" s="96">
        <f>(V17*1000)/131817</f>
        <v>4.240727675489504</v>
      </c>
      <c r="W42" s="96">
        <f>(W17*1000)/126859</f>
        <v>4.106921858125951</v>
      </c>
      <c r="X42" s="96">
        <f>(X17*1000)/123337</f>
        <v>3.875560456310758</v>
      </c>
      <c r="Y42" s="96">
        <f>(Y17*1000)/121551</f>
        <v>3.8255547054322876</v>
      </c>
      <c r="Z42" s="88">
        <f>(Z17*1000)/117383</f>
        <v>3.6121073750031947</v>
      </c>
    </row>
    <row r="43" spans="2:26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96">
        <f>(U18*1000)/138552</f>
        <v>6.07714071251227</v>
      </c>
      <c r="V43" s="96">
        <f>(V18*1000)/150456</f>
        <v>5.908704205880789</v>
      </c>
      <c r="W43" s="96">
        <f>(W18*1000)/149147</f>
        <v>6.329326101094893</v>
      </c>
      <c r="X43" s="96">
        <f>(X18*1000)/145235</f>
        <v>5.845698350948463</v>
      </c>
      <c r="Y43" s="96">
        <f>(Y18*1000)/138646</f>
        <v>6.123508792175757</v>
      </c>
      <c r="Z43" s="88">
        <f>(Z18*1000)/133649</f>
        <v>5.5294091238991685</v>
      </c>
    </row>
    <row r="44" spans="2:26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96">
        <f>(U19*1000)/106274</f>
        <v>9.014434386585618</v>
      </c>
      <c r="V44" s="96">
        <f>(V19*1000)/101814</f>
        <v>9.114660066395585</v>
      </c>
      <c r="W44" s="96">
        <f>(W19*1000)/108305</f>
        <v>9.233184063524307</v>
      </c>
      <c r="X44" s="96">
        <f>(X19*1000)/116970</f>
        <v>8.130289817902026</v>
      </c>
      <c r="Y44" s="96">
        <f>(Y19*1000)/125645</f>
        <v>8.834414421584624</v>
      </c>
      <c r="Z44" s="88">
        <f>(Z19*1000)/135616</f>
        <v>8.50932043416706</v>
      </c>
    </row>
    <row r="45" spans="2:26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96">
        <f>(U20*1000)/102470</f>
        <v>13.701571191568265</v>
      </c>
      <c r="V45" s="96">
        <f>(V20*1000)/103490</f>
        <v>14.02067832640835</v>
      </c>
      <c r="W45" s="96">
        <f>(W20*1000)/102273</f>
        <v>13.747518895505168</v>
      </c>
      <c r="X45" s="96">
        <f>(X20*1000)/102223</f>
        <v>12.971640433170617</v>
      </c>
      <c r="Y45" s="96">
        <f>(Y20*1000)/104042</f>
        <v>13.042809634570654</v>
      </c>
      <c r="Z45" s="88">
        <f>(Z20*1000)/101326</f>
        <v>13.816789372915146</v>
      </c>
    </row>
    <row r="46" spans="2:26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96">
        <f>(U21*1000)/99222</f>
        <v>23.31136239946786</v>
      </c>
      <c r="V46" s="96">
        <f>(V21*1000)/99997</f>
        <v>25.280758422752683</v>
      </c>
      <c r="W46" s="96">
        <f>(W21*1000)/100157</f>
        <v>24.072206635582138</v>
      </c>
      <c r="X46" s="96">
        <f>(X21*1000)/98542</f>
        <v>23.30985772563983</v>
      </c>
      <c r="Y46" s="96">
        <f>(Y21*1000)/95887</f>
        <v>22.307507795634443</v>
      </c>
      <c r="Z46" s="88">
        <f>(Z21*1000)/94349</f>
        <v>22.28958441530912</v>
      </c>
    </row>
    <row r="47" spans="2:26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96">
        <f>(U22*1000)/79040</f>
        <v>44.395242914979754</v>
      </c>
      <c r="V47" s="96">
        <f>(V22*1000)/80762</f>
        <v>43.93155196750947</v>
      </c>
      <c r="W47" s="96">
        <f>(W22*1000)/82163</f>
        <v>44.582111169261104</v>
      </c>
      <c r="X47" s="96">
        <f>(X22*1000)/83449</f>
        <v>42.385169384893764</v>
      </c>
      <c r="Y47" s="96">
        <f>(Y22*1000)/83667</f>
        <v>42.02373695722328</v>
      </c>
      <c r="Z47" s="88">
        <f>(Z22*1000)/84715</f>
        <v>41.44484447854571</v>
      </c>
    </row>
    <row r="48" spans="2:26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97">
        <f>(U23*1000)/75255</f>
        <v>114.05222244369145</v>
      </c>
      <c r="V48" s="97">
        <f>(V23*1000)/79841</f>
        <v>114.47752407910723</v>
      </c>
      <c r="W48" s="97">
        <f>(W23*1000)/84140</f>
        <v>115.36724506774424</v>
      </c>
      <c r="X48" s="97">
        <f>(X23*1000)/88171</f>
        <v>113.0643862494471</v>
      </c>
      <c r="Y48" s="97">
        <f>(Y23*1000)/90989</f>
        <v>112.22235654859378</v>
      </c>
      <c r="Z48" s="89">
        <f>(Z23*1000)/94439</f>
        <v>111.77585531401222</v>
      </c>
    </row>
    <row r="49" spans="2:26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96">
        <f>(U24*1000)/47414</f>
        <v>79.09056396844814</v>
      </c>
      <c r="V49" s="96">
        <f>(V24*1000)/50651</f>
        <v>77.6687528380486</v>
      </c>
      <c r="W49" s="96">
        <f>(W24*1000)/53238</f>
        <v>80.86329313648146</v>
      </c>
      <c r="X49" s="96">
        <f>(X24*1000)/55466</f>
        <v>78.02978401182706</v>
      </c>
      <c r="Y49" s="96">
        <f>(Y24*1000)/56938</f>
        <v>78.04980856370086</v>
      </c>
      <c r="Z49" s="88">
        <f>(Z24*1000)/58346</f>
        <v>77.45175333356185</v>
      </c>
    </row>
    <row r="50" spans="2:26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96">
        <f>(U25*1000)/20821</f>
        <v>140.38710916862783</v>
      </c>
      <c r="V50" s="96">
        <f>(V25*1000)/21808</f>
        <v>142.012105649303</v>
      </c>
      <c r="W50" s="96">
        <f>(W25*1000)/23000</f>
        <v>143.2608695652174</v>
      </c>
      <c r="X50" s="96">
        <f>(X25*1000)/24467</f>
        <v>139.08529856541463</v>
      </c>
      <c r="Y50" s="96">
        <f>(Y25*1000)/25782</f>
        <v>138.7014195950663</v>
      </c>
      <c r="Z50" s="88">
        <f>(Z25*1000)/27165</f>
        <v>136.0206147616418</v>
      </c>
    </row>
    <row r="51" spans="2:26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96">
        <f>(U26*1000)/6050</f>
        <v>254.71074380165288</v>
      </c>
      <c r="V51" s="96">
        <f>(V26*1000)/6402</f>
        <v>255.07653858169323</v>
      </c>
      <c r="W51" s="96">
        <f>(W26*1000)/6847</f>
        <v>247.2615744121513</v>
      </c>
      <c r="X51" s="96">
        <f>(X26*1000)/7133</f>
        <v>243.93663255292304</v>
      </c>
      <c r="Y51" s="96">
        <f>(Y26*1000)/7105</f>
        <v>236.87543983110484</v>
      </c>
      <c r="Z51" s="88">
        <f>(Z26*1000)/7593</f>
        <v>241.8016594231529</v>
      </c>
    </row>
    <row r="52" spans="2:26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8">
        <f>(U27*1000)/970</f>
        <v>380.41237113402065</v>
      </c>
      <c r="V52" s="98">
        <f>(V27*1000)/980</f>
        <v>485.7142857142857</v>
      </c>
      <c r="W52" s="98">
        <f>(W27*1000)/1055</f>
        <v>392.41706161137444</v>
      </c>
      <c r="X52" s="98">
        <f>(X27*1000)/1105</f>
        <v>450.6787330316742</v>
      </c>
      <c r="Y52" s="98">
        <f>(Y27*1000)/1164</f>
        <v>436.426116838488</v>
      </c>
      <c r="Z52" s="90">
        <f>(Z27*1000)/1335</f>
        <v>379.0262172284644</v>
      </c>
    </row>
    <row r="53" ht="21.75" customHeight="1">
      <c r="B53" s="1" t="s">
        <v>38</v>
      </c>
    </row>
    <row r="54" ht="21.75" customHeight="1">
      <c r="B54" s="1" t="s">
        <v>46</v>
      </c>
    </row>
  </sheetData>
  <sheetProtection/>
  <printOptions/>
  <pageMargins left="0.7874015748031497" right="0.36" top="0.7874015748031497" bottom="0.7874015748031497" header="0.5118110236220472" footer="0.5118110236220472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2017-11-27T02:59:37Z</cp:lastPrinted>
  <dcterms:created xsi:type="dcterms:W3CDTF">1997-01-17T02:23:04Z</dcterms:created>
  <dcterms:modified xsi:type="dcterms:W3CDTF">2017-11-27T04:11:06Z</dcterms:modified>
  <cp:category/>
  <cp:version/>
  <cp:contentType/>
  <cp:contentStatus/>
</cp:coreProperties>
</file>